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A16FCCB7-1506-40ED-85B2-AA3C6DC7BBC2}" xr6:coauthVersionLast="47" xr6:coauthVersionMax="47" xr10:uidLastSave="{00000000-0000-0000-0000-000000000000}"/>
  <bookViews>
    <workbookView xWindow="540" yWindow="195" windowWidth="36330" windowHeight="19485" firstSheet="2" activeTab="2" xr2:uid="{992023F3-CAB7-4E5B-A348-08D563A0EF40}"/>
  </bookViews>
  <sheets>
    <sheet name="Home" sheetId="71" r:id="rId1"/>
    <sheet name="Results - Activity period" sheetId="13" r:id="rId2"/>
    <sheet name="Results - Product EI" sheetId="80" r:id="rId3"/>
    <sheet name="Input - Enterprise" sheetId="72" r:id="rId4"/>
    <sheet name="Input - Site" sheetId="75" r:id="rId5"/>
    <sheet name="Input - Dairy" sheetId="82" r:id="rId6"/>
    <sheet name="Input - Livestock sales" sheetId="77" r:id="rId7"/>
    <sheet name="Input - Dairy cattle purchases" sheetId="118" r:id="rId8"/>
    <sheet name="Input - Pasture" sheetId="114" r:id="rId9"/>
    <sheet name="Input - Fert Prod System" sheetId="76" r:id="rId10"/>
    <sheet name="Input - Fertiliser" sheetId="93" r:id="rId11"/>
    <sheet name="Input - Fuel" sheetId="104" r:id="rId12"/>
    <sheet name="Input - Electricity" sheetId="101" r:id="rId13"/>
    <sheet name="Input - Common farm inputs" sheetId="119" r:id="rId14"/>
    <sheet name="Input - Crop pasture farm input" sheetId="120" r:id="rId15"/>
    <sheet name="Input - Livestock farm Inputs" sheetId="121" r:id="rId16"/>
    <sheet name="Input - Freight" sheetId="122" r:id="rId17"/>
    <sheet name="Input - Solid waste" sheetId="111" r:id="rId18"/>
    <sheet name="Input - Manure sent off-site" sheetId="123" r:id="rId19"/>
    <sheet name="3.3.1.1-2 Enteric Methane" sheetId="92" r:id="rId20"/>
    <sheet name="4.3.1.1-2 Methane" sheetId="83" r:id="rId21"/>
    <sheet name="4.3.1.3-4 Direct N20" sheetId="84" r:id="rId22"/>
    <sheet name="4.3.1.5 Atmos deposition" sheetId="85" r:id="rId23"/>
    <sheet name="4.3.1.6-7 Leaching and runoff" sheetId="86" r:id="rId24"/>
    <sheet name="4.3.1.8 Manure applied to soils" sheetId="87" r:id="rId25"/>
    <sheet name="4.3.1.9 Soil direct N2O" sheetId="88" r:id="rId26"/>
    <sheet name="4.3.1.10-11 Soil Atmos Dep" sheetId="89" r:id="rId27"/>
    <sheet name="4.3.1.12-13 Soil leach runoff" sheetId="90" r:id="rId28"/>
    <sheet name="5.1.1.1-2 Inorganic fert N2O" sheetId="94" r:id="rId29"/>
    <sheet name="5.1.1.3-4 Inorganic fert CO2" sheetId="95" r:id="rId30"/>
    <sheet name="5.2.1.1-2 Organic Fert N2O" sheetId="96" r:id="rId31"/>
    <sheet name="5.3.1.1-2 Lime CO2" sheetId="97" r:id="rId32"/>
    <sheet name="5.4.1.1-4 Atmos deposition" sheetId="98" r:id="rId33"/>
    <sheet name="5.5.1.1-2 Leaching and runoff" sheetId="99" r:id="rId34"/>
    <sheet name="6.2.1.1-2 Pasture residue N2O" sheetId="115" r:id="rId35"/>
    <sheet name="6.3.1.1-2 Leach runoff pasture" sheetId="116" r:id="rId36"/>
    <sheet name="8.1.1.1-2 Transport fuel" sheetId="105" r:id="rId37"/>
    <sheet name="8.2.1.1-2 Stationary fuel" sheetId="106" r:id="rId38"/>
    <sheet name="9.1.1.1-2 Refrigerant use" sheetId="109" r:id="rId39"/>
    <sheet name="10.1.1-2 Solid waste treatment" sheetId="112" r:id="rId40"/>
    <sheet name="14.1.1-2 Purchased electricity" sheetId="102" r:id="rId41"/>
    <sheet name="15 Scope 3" sheetId="124" r:id="rId42"/>
    <sheet name="Calcs - Manure sent off-site" sheetId="125" r:id="rId43"/>
    <sheet name="Constants - Dairy" sheetId="91" r:id="rId44"/>
    <sheet name="Constants - Ag Residue" sheetId="117" r:id="rId45"/>
    <sheet name="Constants - Common Livestock" sheetId="127" r:id="rId46"/>
    <sheet name="Constants - Electricity" sheetId="103" r:id="rId47"/>
    <sheet name="Constants - Fertiliser" sheetId="100" r:id="rId48"/>
    <sheet name="Constants - Fuel" sheetId="107" r:id="rId49"/>
    <sheet name="Constants - Scope 3" sheetId="126" r:id="rId50"/>
    <sheet name="Constants - Common" sheetId="79" r:id="rId51"/>
    <sheet name="Results" sheetId="81" r:id="rId52"/>
    <sheet name="Input - Refrigerants" sheetId="108" r:id="rId53"/>
    <sheet name="Constants - Refrigerants" sheetId="110" r:id="rId54"/>
    <sheet name="Constants - Solid Waste" sheetId="113" r:id="rId55"/>
    <sheet name="Acknowledgements" sheetId="128" r:id="rId56"/>
    <sheet name="Input - Data quality" sheetId="78" r:id="rId57"/>
  </sheets>
  <definedNames>
    <definedName name="_Toc225350871" localSheetId="32">'5.4.1.1-4 Atmos deposition'!$C$1</definedName>
    <definedName name="_Toc225350871" localSheetId="33">'5.5.1.1-2 Leaching and runoff'!$C$1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_xlfn.LAMBDA("fraction")</definedName>
    <definedName name="AgResidue_Equations_CropResidue.VEERG_6_1_1_2__1__FractionOfCropResidueRemovedBaled_Variable">_xlfn.LAMBDA("FFOD_c")</definedName>
    <definedName name="AgResidue_Equations_CropResidue.VEERG_6_1_1_2__1__FractionOfCropResidueRemovedBaled_Variation">_xlfn.LAMBDA("")</definedName>
    <definedName name="AgResidue_Equations_FieldBurning.VEERG_6_4_1_1__1__MethaneEmissionsFromBurningOfCropResidues" localSheetId="41">_xlfn.LAMBDA(_xlpm.Mburnc,_xlpm.CCc,_xlpm.EFCH4,_xlpm.C_CH4, _xlpm.Mburnc * _xlpm.CCc * _xlpm.EFCH4 * _xlpm.C_CH4 * 10 ^ (-3))</definedName>
    <definedName name="AgResidue_Equations_FieldBurning.VEERG_6_4_1_1__1__MethaneEmissionsFromBurningOfCropResidues" localSheetId="42">_xlfn.LAMBDA(_xlpm.Mburnc,_xlpm.CCc,_xlpm.EFCH4,_xlpm.C_CH4, _xlpm.Mburnc * _xlpm.CCc * _xlpm.EFCH4 * _xlpm.C_CH4 * 10 ^ (-3))</definedName>
    <definedName name="AgResidue_Equations_FieldBurning.VEERG_6_4_1_1__1__MethaneEmissionsFromBurningOfCropResidues" localSheetId="49">_xlfn.LAMBDA(_xlpm.Mburnc,_xlpm.CCc,_xlpm.EFCH4,_xlpm.C_CH4, _xlpm.Mburnc * _xlpm.CCc * _xlpm.EFCH4 * _xlpm.C_CH4 * 10 ^ (-3))</definedName>
    <definedName name="AgResidue_Equations_FieldBurning.VEERG_6_4_1_1__1__MethaneEmissionsFromBurningOfCropResidues" localSheetId="13">_xlfn.LAMBDA(_xlpm.Mburnc,_xlpm.CCc,_xlpm.EFCH4,_xlpm.C_CH4, _xlpm.Mburnc * _xlpm.CCc * _xlpm.EFCH4 * _xlpm.C_CH4 * 10 ^ (-3))</definedName>
    <definedName name="AgResidue_Equations_FieldBurning.VEERG_6_4_1_1__1__MethaneEmissionsFromBurningOfCropResidues" localSheetId="14">_xlfn.LAMBDA(_xlpm.Mburnc,_xlpm.CCc,_xlpm.EFCH4,_xlpm.C_CH4, _xlpm.Mburnc * _xlpm.CCc * _xlpm.EFCH4 * _xlpm.C_CH4 * 10 ^ (-3))</definedName>
    <definedName name="AgResidue_Equations_FieldBurning.VEERG_6_4_1_1__1__MethaneEmissionsFromBurningOfCropResidues" localSheetId="7">_xlfn.LAMBDA(_xlpm.Mburnc,_xlpm.CCc,_xlpm.EFCH4,_xlpm.C_CH4, _xlpm.Mburnc * _xlpm.CCc * _xlpm.EFCH4 * _xlpm.C_CH4 * 10 ^ (-3))</definedName>
    <definedName name="AgResidue_Equations_FieldBurning.VEERG_6_4_1_1__1__MethaneEmissionsFromBurningOfCropResidues" localSheetId="16">_xlfn.LAMBDA(_xlpm.Mburnc,_xlpm.CCc,_xlpm.EFCH4,_xlpm.C_CH4, _xlpm.Mburnc * _xlpm.CCc * _xlpm.EFCH4 * _xlpm.C_CH4 * 10 ^ (-3))</definedName>
    <definedName name="AgResidue_Equations_FieldBurning.VEERG_6_4_1_1__1__MethaneEmissionsFromBurningOfCropResidues" localSheetId="15">_xlfn.LAMBDA(_xlpm.Mburnc,_xlpm.CCc,_xlpm.EFCH4,_xlpm.C_CH4, _xlpm.Mburnc * _xlpm.CCc * _xlpm.EFCH4 * _xlpm.C_CH4 * 10 ^ (-3))</definedName>
    <definedName name="AgResidue_Equations_FieldBurning.VEERG_6_4_1_1__1__MethaneEmissionsFromBurningOfCropResidues" localSheetId="18">_xlfn.LAMBDA(_xlpm.Mburnc,_xlpm.CCc,_xlpm.EFCH4,_xlpm.C_CH4, _xlpm.Mburnc * _xlpm.CCc * _xlpm.EFCH4 * _xlpm.C_CH4 * 10 ^ (-3))</definedName>
    <definedName name="AgResidue_Equations_FieldBurning.VEERG_6_4_1_1__1__MethaneEmissionsFromBurningOfCropResidues">_xlfn.LAMBDA(_xlpm.M_burnc,_xlpm.CC_c,_xlpm.EF_CH4,_xlpm.C_CH4, (_xlpm.M_burnc * _xlpm.CC_c) * _xlpm.EF_CH4 * _xlpm.C_CH4 * 10 ^ (-3))</definedName>
    <definedName name="AgResidue_Equations_FieldBurning.VEERG_6_4_1_1__1__MethaneEmissionsFromBurningOfCropResidues_Arguments" localSheetId="41">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42">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49">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13">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14">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7">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16">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15">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18">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 localSheetId="41">_xlfn.LAMBDA("E_{CH4}=\sum_{c}(M_{burn,c}\times CC_{c}\times EF_{CH4}\times C_{CH4}\times 10^{-3})")</definedName>
    <definedName name="AgResidue_Equations_FieldBurning.VEERG_6_4_1_1__1__MethaneEmissionsFromBurningOfCropResidues_LatexEquation" localSheetId="42">_xlfn.LAMBDA("E_{CH4}=\sum_{c}(M_{burn,c}\times CC_{c}\times EF_{CH4}\times C_{CH4}\times 10^{-3})")</definedName>
    <definedName name="AgResidue_Equations_FieldBurning.VEERG_6_4_1_1__1__MethaneEmissionsFromBurningOfCropResidues_LatexEquation" localSheetId="49">_xlfn.LAMBDA("E_{CH4}=\sum_{c}(M_{burn,c}\times CC_{c}\times EF_{CH4}\times C_{CH4}\times 10^{-3})")</definedName>
    <definedName name="AgResidue_Equations_FieldBurning.VEERG_6_4_1_1__1__MethaneEmissionsFromBurningOfCropResidues_LatexEquation" localSheetId="13">_xlfn.LAMBDA("E_{CH4}=\sum_{c}(M_{burn,c}\times CC_{c}\times EF_{CH4}\times C_{CH4}\times 10^{-3})")</definedName>
    <definedName name="AgResidue_Equations_FieldBurning.VEERG_6_4_1_1__1__MethaneEmissionsFromBurningOfCropResidues_LatexEquation" localSheetId="14">_xlfn.LAMBDA("E_{CH4}=\sum_{c}(M_{burn,c}\times CC_{c}\times EF_{CH4}\times C_{CH4}\times 10^{-3})")</definedName>
    <definedName name="AgResidue_Equations_FieldBurning.VEERG_6_4_1_1__1__MethaneEmissionsFromBurningOfCropResidues_LatexEquation" localSheetId="7">_xlfn.LAMBDA("E_{CH4}=\sum_{c}(M_{burn,c}\times CC_{c}\times EF_{CH4}\times C_{CH4}\times 10^{-3})")</definedName>
    <definedName name="AgResidue_Equations_FieldBurning.VEERG_6_4_1_1__1__MethaneEmissionsFromBurningOfCropResidues_LatexEquation" localSheetId="16">_xlfn.LAMBDA("E_{CH4}=\sum_{c}(M_{burn,c}\times CC_{c}\times EF_{CH4}\times C_{CH4}\times 10^{-3})")</definedName>
    <definedName name="AgResidue_Equations_FieldBurning.VEERG_6_4_1_1__1__MethaneEmissionsFromBurningOfCropResidues_LatexEquation" localSheetId="15">_xlfn.LAMBDA("E_{CH4}=\sum_{c}(M_{burn,c}\times CC_{c}\times EF_{CH4}\times C_{CH4}\times 10^{-3})")</definedName>
    <definedName name="AgResidue_Equations_FieldBurning.VEERG_6_4_1_1__1__MethaneEmissionsFromBurningOfCropResidues_LatexEquation" localSheetId="18">_xlfn.LAMBDA("E_{CH4}=\sum_{c}(M_{burn,c}\times CC_{c}\times EF_{CH4}\times C_{CH4}\times 10^{-3})")</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 localSheetId="41">_xlfn.LAMBDA(_xlpm.Mburnc,_xlpm.NCAGc,_xlpm.EFN2O,_xlpm.CN2O, _xlpm.Mburnc * _xlpm.NCAGc * _xlpm.EFN2O * _xlpm.CN2O * 10 ^ (-3))</definedName>
    <definedName name="AgResidue_Equations_FieldBurning.VEERG_6_4_1_1__2__NitrousOxideEmissionsFromBurningOfCropResidues" localSheetId="42">_xlfn.LAMBDA(_xlpm.Mburnc,_xlpm.NCAGc,_xlpm.EFN2O,_xlpm.CN2O, _xlpm.Mburnc * _xlpm.NCAGc * _xlpm.EFN2O * _xlpm.CN2O * 10 ^ (-3))</definedName>
    <definedName name="AgResidue_Equations_FieldBurning.VEERG_6_4_1_1__2__NitrousOxideEmissionsFromBurningOfCropResidues" localSheetId="49">_xlfn.LAMBDA(_xlpm.Mburnc,_xlpm.NCAGc,_xlpm.EFN2O,_xlpm.CN2O, _xlpm.Mburnc * _xlpm.NCAGc * _xlpm.EFN2O * _xlpm.CN2O * 10 ^ (-3))</definedName>
    <definedName name="AgResidue_Equations_FieldBurning.VEERG_6_4_1_1__2__NitrousOxideEmissionsFromBurningOfCropResidues" localSheetId="13">_xlfn.LAMBDA(_xlpm.Mburnc,_xlpm.NCAGc,_xlpm.EFN2O,_xlpm.CN2O, _xlpm.Mburnc * _xlpm.NCAGc * _xlpm.EFN2O * _xlpm.CN2O * 10 ^ (-3))</definedName>
    <definedName name="AgResidue_Equations_FieldBurning.VEERG_6_4_1_1__2__NitrousOxideEmissionsFromBurningOfCropResidues" localSheetId="14">_xlfn.LAMBDA(_xlpm.Mburnc,_xlpm.NCAGc,_xlpm.EFN2O,_xlpm.CN2O, _xlpm.Mburnc * _xlpm.NCAGc * _xlpm.EFN2O * _xlpm.CN2O * 10 ^ (-3))</definedName>
    <definedName name="AgResidue_Equations_FieldBurning.VEERG_6_4_1_1__2__NitrousOxideEmissionsFromBurningOfCropResidues" localSheetId="7">_xlfn.LAMBDA(_xlpm.Mburnc,_xlpm.NCAGc,_xlpm.EFN2O,_xlpm.CN2O, _xlpm.Mburnc * _xlpm.NCAGc * _xlpm.EFN2O * _xlpm.CN2O * 10 ^ (-3))</definedName>
    <definedName name="AgResidue_Equations_FieldBurning.VEERG_6_4_1_1__2__NitrousOxideEmissionsFromBurningOfCropResidues" localSheetId="16">_xlfn.LAMBDA(_xlpm.Mburnc,_xlpm.NCAGc,_xlpm.EFN2O,_xlpm.CN2O, _xlpm.Mburnc * _xlpm.NCAGc * _xlpm.EFN2O * _xlpm.CN2O * 10 ^ (-3))</definedName>
    <definedName name="AgResidue_Equations_FieldBurning.VEERG_6_4_1_1__2__NitrousOxideEmissionsFromBurningOfCropResidues" localSheetId="15">_xlfn.LAMBDA(_xlpm.Mburnc,_xlpm.NCAGc,_xlpm.EFN2O,_xlpm.CN2O, _xlpm.Mburnc * _xlpm.NCAGc * _xlpm.EFN2O * _xlpm.CN2O * 10 ^ (-3))</definedName>
    <definedName name="AgResidue_Equations_FieldBurning.VEERG_6_4_1_1__2__NitrousOxideEmissionsFromBurningOfCropResidues" localSheetId="18">_xlfn.LAMBDA(_xlpm.Mburnc,_xlpm.NCAGc,_xlpm.EFN2O,_xlpm.CN2O, _xlpm.Mburnc * _xlpm.NCAGc * _xlpm.EFN2O * _xlpm.CN2O * 10 ^ (-3))</definedName>
    <definedName name="AgResidue_Equations_FieldBurning.VEERG_6_4_1_1__2__NitrousOxideEmissionsFromBurningOfCropResidues">_xlfn.LAMBDA(_xlpm.M_burnc,_xlpm.NC_AGc,_xlpm.EF_N2O,_xlpm.C_N2O, (_xlpm.M_burnc * _xlpm.NC_AGc) * _xlpm.EF_N2O * _xlpm.C_N2O * 10 ^ (-3))</definedName>
    <definedName name="AgResidue_Equations_FieldBurning.VEERG_6_4_1_1__2__NitrousOxideEmissionsFromBurningOfCropResidues_Arguments" localSheetId="41">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42">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49">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13">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14">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7">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16">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15">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18">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 localSheetId="41">_xlfn.LAMBDA("E_{N2O}=\sum_{c}(M_{burn,c}\times NC_{AGc}\times EF_{N2O}\times C_{N2O}\times 10^{-3})")</definedName>
    <definedName name="AgResidue_Equations_FieldBurning.VEERG_6_4_1_1__2__NitrousOxideEmissionsFromBurningOfCropResidues_LatexEquation" localSheetId="42">_xlfn.LAMBDA("E_{N2O}=\sum_{c}(M_{burn,c}\times NC_{AGc}\times EF_{N2O}\times C_{N2O}\times 10^{-3})")</definedName>
    <definedName name="AgResidue_Equations_FieldBurning.VEERG_6_4_1_1__2__NitrousOxideEmissionsFromBurningOfCropResidues_LatexEquation" localSheetId="49">_xlfn.LAMBDA("E_{N2O}=\sum_{c}(M_{burn,c}\times NC_{AGc}\times EF_{N2O}\times C_{N2O}\times 10^{-3})")</definedName>
    <definedName name="AgResidue_Equations_FieldBurning.VEERG_6_4_1_1__2__NitrousOxideEmissionsFromBurningOfCropResidues_LatexEquation" localSheetId="13">_xlfn.LAMBDA("E_{N2O}=\sum_{c}(M_{burn,c}\times NC_{AGc}\times EF_{N2O}\times C_{N2O}\times 10^{-3})")</definedName>
    <definedName name="AgResidue_Equations_FieldBurning.VEERG_6_4_1_1__2__NitrousOxideEmissionsFromBurningOfCropResidues_LatexEquation" localSheetId="14">_xlfn.LAMBDA("E_{N2O}=\sum_{c}(M_{burn,c}\times NC_{AGc}\times EF_{N2O}\times C_{N2O}\times 10^{-3})")</definedName>
    <definedName name="AgResidue_Equations_FieldBurning.VEERG_6_4_1_1__2__NitrousOxideEmissionsFromBurningOfCropResidues_LatexEquation" localSheetId="7">_xlfn.LAMBDA("E_{N2O}=\sum_{c}(M_{burn,c}\times NC_{AGc}\times EF_{N2O}\times C_{N2O}\times 10^{-3})")</definedName>
    <definedName name="AgResidue_Equations_FieldBurning.VEERG_6_4_1_1__2__NitrousOxideEmissionsFromBurningOfCropResidues_LatexEquation" localSheetId="16">_xlfn.LAMBDA("E_{N2O}=\sum_{c}(M_{burn,c}\times NC_{AGc}\times EF_{N2O}\times C_{N2O}\times 10^{-3})")</definedName>
    <definedName name="AgResidue_Equations_FieldBurning.VEERG_6_4_1_1__2__NitrousOxideEmissionsFromBurningOfCropResidues_LatexEquation" localSheetId="15">_xlfn.LAMBDA("E_{N2O}=\sum_{c}(M_{burn,c}\times NC_{AGc}\times EF_{N2O}\times C_{N2O}\times 10^{-3})")</definedName>
    <definedName name="AgResidue_Equations_FieldBurning.VEERG_6_4_1_1__2__NitrousOxideEmissionsFromBurningOfCropResidues_LatexEquation" localSheetId="18">_xlfn.LAMBDA("E_{N2O}=\sum_{c}(M_{burn,c}\times NC_{AGc}\times EF_{N2O}\times C_{N2O}\times 10^{-3})")</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 localSheetId="41">_xlfn.LAMBDA(_xlpm.Pc,_xlpm.RAGc,_xlpm.Sc,_xlpm.DMc,_xlpm.Zc,_xlpm.Fc, _xlpm.Pc * _xlpm.RAGc * _xlpm.Sc * _xlpm.DMc * _xlpm.Zc * _xlpm.Fc)</definedName>
    <definedName name="AgResidue_Equations_FieldBurning.VEERG_6_4_1_1__3__MassOfCropResidueBurnt" localSheetId="42">_xlfn.LAMBDA(_xlpm.Pc,_xlpm.RAGc,_xlpm.Sc,_xlpm.DMc,_xlpm.Zc,_xlpm.Fc, _xlpm.Pc * _xlpm.RAGc * _xlpm.Sc * _xlpm.DMc * _xlpm.Zc * _xlpm.Fc)</definedName>
    <definedName name="AgResidue_Equations_FieldBurning.VEERG_6_4_1_1__3__MassOfCropResidueBurnt" localSheetId="49">_xlfn.LAMBDA(_xlpm.Pc,_xlpm.RAGc,_xlpm.Sc,_xlpm.DMc,_xlpm.Zc,_xlpm.Fc, _xlpm.Pc * _xlpm.RAGc * _xlpm.Sc * _xlpm.DMc * _xlpm.Zc * _xlpm.Fc)</definedName>
    <definedName name="AgResidue_Equations_FieldBurning.VEERG_6_4_1_1__3__MassOfCropResidueBurnt" localSheetId="13">_xlfn.LAMBDA(_xlpm.Pc,_xlpm.RAGc,_xlpm.Sc,_xlpm.DMc,_xlpm.Zc,_xlpm.Fc, _xlpm.Pc * _xlpm.RAGc * _xlpm.Sc * _xlpm.DMc * _xlpm.Zc * _xlpm.Fc)</definedName>
    <definedName name="AgResidue_Equations_FieldBurning.VEERG_6_4_1_1__3__MassOfCropResidueBurnt" localSheetId="14">_xlfn.LAMBDA(_xlpm.Pc,_xlpm.RAGc,_xlpm.Sc,_xlpm.DMc,_xlpm.Zc,_xlpm.Fc, _xlpm.Pc * _xlpm.RAGc * _xlpm.Sc * _xlpm.DMc * _xlpm.Zc * _xlpm.Fc)</definedName>
    <definedName name="AgResidue_Equations_FieldBurning.VEERG_6_4_1_1__3__MassOfCropResidueBurnt" localSheetId="7">_xlfn.LAMBDA(_xlpm.Pc,_xlpm.RAGc,_xlpm.Sc,_xlpm.DMc,_xlpm.Zc,_xlpm.Fc, _xlpm.Pc * _xlpm.RAGc * _xlpm.Sc * _xlpm.DMc * _xlpm.Zc * _xlpm.Fc)</definedName>
    <definedName name="AgResidue_Equations_FieldBurning.VEERG_6_4_1_1__3__MassOfCropResidueBurnt" localSheetId="16">_xlfn.LAMBDA(_xlpm.Pc,_xlpm.RAGc,_xlpm.Sc,_xlpm.DMc,_xlpm.Zc,_xlpm.Fc, _xlpm.Pc * _xlpm.RAGc * _xlpm.Sc * _xlpm.DMc * _xlpm.Zc * _xlpm.Fc)</definedName>
    <definedName name="AgResidue_Equations_FieldBurning.VEERG_6_4_1_1__3__MassOfCropResidueBurnt" localSheetId="15">_xlfn.LAMBDA(_xlpm.Pc,_xlpm.RAGc,_xlpm.Sc,_xlpm.DMc,_xlpm.Zc,_xlpm.Fc, _xlpm.Pc * _xlpm.RAGc * _xlpm.Sc * _xlpm.DMc * _xlpm.Zc * _xlpm.Fc)</definedName>
    <definedName name="AgResidue_Equations_FieldBurning.VEERG_6_4_1_1__3__MassOfCropResidueBurnt" localSheetId="18">_xlfn.LAMBDA(_xlpm.Pc,_xlpm.RAGc,_xlpm.Sc,_xlpm.DMc,_xlpm.Zc,_xlpm.Fc, _xlpm.Pc * _xlpm.RAGc * _xlpm.Sc * _xlpm.DMc * _xlpm.Zc * _xlpm.Fc)</definedName>
    <definedName name="AgResidue_Equations_FieldBurning.VEERG_6_4_1_1__3__MassOfCropResidueBurnt">_xlfn.LAMBDA(_xlpm.P_c,_xlpm.R_AGc,_xlpm.S_c,_xlpm.DM_c,_xlpm.Z_c,_xlpm.F_c, _xlpm.P_c * _xlpm.R_AGc * _xlpm.S_c * _xlpm.DM_c * _xlpm.Z_c * _xlpm.F_c)</definedName>
    <definedName name="AgResidue_Equations_FieldBurning.VEERG_6_4_1_1__3__MassOfCropResidueBurnt_Arguments" localSheetId="41">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42">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49">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13">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14">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7">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16">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15">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18">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 localSheetId="41">_xlfn.LAMBDA("Mburnc")</definedName>
    <definedName name="AgResidue_Equations_FieldBurning.VEERG_6_4_1_1__3__MassOfCropResidueBurnt_Variable" localSheetId="42">_xlfn.LAMBDA("Mburnc")</definedName>
    <definedName name="AgResidue_Equations_FieldBurning.VEERG_6_4_1_1__3__MassOfCropResidueBurnt_Variable" localSheetId="49">_xlfn.LAMBDA("Mburnc")</definedName>
    <definedName name="AgResidue_Equations_FieldBurning.VEERG_6_4_1_1__3__MassOfCropResidueBurnt_Variable" localSheetId="13">_xlfn.LAMBDA("Mburnc")</definedName>
    <definedName name="AgResidue_Equations_FieldBurning.VEERG_6_4_1_1__3__MassOfCropResidueBurnt_Variable" localSheetId="14">_xlfn.LAMBDA("Mburnc")</definedName>
    <definedName name="AgResidue_Equations_FieldBurning.VEERG_6_4_1_1__3__MassOfCropResidueBurnt_Variable" localSheetId="7">_xlfn.LAMBDA("Mburnc")</definedName>
    <definedName name="AgResidue_Equations_FieldBurning.VEERG_6_4_1_1__3__MassOfCropResidueBurnt_Variable" localSheetId="16">_xlfn.LAMBDA("Mburnc")</definedName>
    <definedName name="AgResidue_Equations_FieldBurning.VEERG_6_4_1_1__3__MassOfCropResidueBurnt_Variable" localSheetId="15">_xlfn.LAMBDA("Mburnc")</definedName>
    <definedName name="AgResidue_Equations_FieldBurning.VEERG_6_4_1_1__3__MassOfCropResidueBurnt_Variable" localSheetId="18">_xlfn.LAMBDA("Mburnc")</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_xlfn.MAKEARRAY(17,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 localSheetId="1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5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_xlfn.LAMBDA(_xlpm.CropType,_xlpm.CropTypeArray,_xlpm.ResidueCropRatioArray,
    1/(1+Common_InputFunctions.Utility_LookupValueInTableNumber(_xlpm.CropType, _xlpm.CropTypeArray, _xlpm.ResidueCropRatioArray))
)</definedName>
    <definedName name="CommonCropping_InputFunctions.CommonCropping_CalculateResidueCropRatio">_xlfn.LAMBDA(_xlpm.HarvestIndex, (1 - _xlpm.HarvestIndex) / _xlpm.HarvestIndex)</definedName>
    <definedName name="CommonCropping_InputFunctions.CommonCropping_GetFracWET" localSheetId="1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5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 localSheetId="36">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 localSheetId="37">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 localSheetId="48">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 localSheetId="11">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 localSheetId="36">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 localSheetId="37">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 localSheetId="48">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 localSheetId="11">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 localSheetId="41">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42">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49">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3">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4">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7">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6">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5">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8">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 localSheetId="41">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4">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5">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42">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44">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49">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3">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4">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7">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6">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5">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 localSheetId="4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definedName>
    <definedName name="Fertiliser_InputFunctions.Fertiliser_TotalActiveIngredientAppliedAllIngredients" localSheetId="2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3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3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3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3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3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'6.2.1.1-2 Pasture residue N2O'!Fertiliser_InputFunctions.Fertiliser_SumProductApplied(_xlpm.ChemicalCompound, _xlpm.ProductIngredient1, _xlpm.calculatedAmount1) + IFERROR('6.2.1.1-2 Pasture residue N2O'!Fertiliser_InputFunctions.Fertiliser_SumProductApplied(_xlpm.ChemicalCompound, _xlpm.ProductIngredient2, _xlpm.calculatedAmount2), 0) + IFERROR('6.2.1.1-2 Pasture residue N2O'!Fertiliser_InputFunctions.Fertiliser_SumProductApplied(_xlpm.ChemicalCompound, _xlpm.ProductIngredient3, _xlpm.calculatedAmount3), 0)))</definedName>
    <definedName name="Fertiliser_InputFunctions.Fertiliser_TotalActiveIngredientAppliedAllIngredients" localSheetId="3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'6.3.1.1-2 Leach runoff pasture'!Fertiliser_InputFunctions.Fertiliser_SumProductApplied(_xlpm.ChemicalCompound, _xlpm.ProductIngredient1, _xlpm.calculatedAmount1) + IFERROR('6.3.1.1-2 Leach runoff pasture'!Fertiliser_InputFunctions.Fertiliser_SumProductApplied(_xlpm.ChemicalCompound, _xlpm.ProductIngredient2, _xlpm.calculatedAmount2), 0) + IFERROR('6.3.1.1-2 Leach runoff pasture'!Fertiliser_InputFunctions.Fertiliser_SumProductApplied(_xlpm.ChemicalCompound, _xlpm.ProductIngredient3, _xlpm.calculatedAmount3), 0)))</definedName>
    <definedName name="Fertiliser_InputFunctions.Fertiliser_TotalActiveIngredientAppliedAllIngredients" localSheetId="4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definedName>
    <definedName name="Fertiliser_InputFunctions.Fertiliser_TotalActiveIngredientAppliedAllIngredients" localSheetId="4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Ag Residue'!Fertiliser_InputFunctions.Fertiliser_SumProductApplied(_xlpm.ChemicalCompound, _xlpm.ProductIngredient1, _xlpm.calculatedAmount1) + IFERROR('Constants - Ag Residue'!Fertiliser_InputFunctions.Fertiliser_SumProductApplied(_xlpm.ChemicalCompound, _xlpm.ProductIngredient2, _xlpm.calculatedAmount2), 0) + IFERROR('Constants - Ag Residue'!Fertiliser_InputFunctions.Fertiliser_SumProductApplied(_xlpm.ChemicalCompound, _xlpm.ProductIngredient3, _xlpm.calculatedAmount3), 0)))</definedName>
    <definedName name="Fertiliser_InputFunctions.Fertiliser_TotalActiveIngredientAppliedAllIngredients" localSheetId="4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4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definedName>
    <definedName name="Fertiliser_InputFunctions.Fertiliser_TotalActiveIngredientAppliedAllIngredients" localSheetId="1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Common farm inputs'!Fertiliser_InputFunctions.Fertiliser_SumProductApplied(_xlpm.ChemicalCompound, _xlpm.ProductIngredient1, _xlpm.calculatedAmount1) + IFERROR('Input - Common farm inputs'!Fertiliser_InputFunctions.Fertiliser_SumProductApplied(_xlpm.ChemicalCompound, _xlpm.ProductIngredient2, _xlpm.calculatedAmount2), 0) + IFERROR('Input - Common farm inputs'!Fertiliser_InputFunctions.Fertiliser_SumProductApplied(_xlpm.ChemicalCompound, _xlpm.ProductIngredient3, _xlpm.calculatedAmount3), 0)))</definedName>
    <definedName name="Fertiliser_InputFunctions.Fertiliser_TotalActiveIngredientAppliedAllIngredients" localSheetId="1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Crop pasture farm input'!Fertiliser_InputFunctions.Fertiliser_SumProductApplied(_xlpm.ChemicalCompound, _xlpm.ProductIngredient1, _xlpm.calculatedAmount1) + IFERROR('Input - Crop pasture farm input'!Fertiliser_InputFunctions.Fertiliser_SumProductApplied(_xlpm.ChemicalCompound, _xlpm.ProductIngredient2, _xlpm.calculatedAmount2), 0) + IFERROR('Input - Crop pasture farm input'!Fertiliser_InputFunctions.Fertiliser_SumProductApplied(_xlpm.ChemicalCompound, _xlpm.ProductIngredient3, _xlpm.calculatedAmount3), 0)))</definedName>
    <definedName name="Fertiliser_InputFunctions.Fertiliser_TotalActiveIngredientAppliedAllIngredients" localSheetId="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Dairy cattle purchases'!Fertiliser_InputFunctions.Fertiliser_SumProductApplied(_xlpm.ChemicalCompound, _xlpm.ProductIngredient1, _xlpm.calculatedAmount1) + IFERROR('Input - Dairy cattle purchases'!Fertiliser_InputFunctions.Fertiliser_SumProductApplied(_xlpm.ChemicalCompound, _xlpm.ProductIngredient2, _xlpm.calculatedAmount2), 0) + IFERROR('Input - Dairy cattle purchases'!Fertiliser_InputFunctions.Fertiliser_SumProductApplied(_xlpm.ChemicalCompound, _xlpm.ProductIngredient3, _xlpm.calculatedAmount3), 0)))</definedName>
    <definedName name="Fertiliser_InputFunctions.Fertiliser_TotalActiveIngredientAppliedAllIngredients" localSheetId="1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definedName>
    <definedName name="Fertiliser_InputFunctions.Fertiliser_TotalActiveIngredientAppliedAllIngredients" localSheetId="1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Livestock farm Inputs'!Fertiliser_InputFunctions.Fertiliser_SumProductApplied(_xlpm.ChemicalCompound, _xlpm.ProductIngredient1, _xlpm.calculatedAmount1) + IFERROR('Input - Livestock farm Inputs'!Fertiliser_InputFunctions.Fertiliser_SumProductApplied(_xlpm.ChemicalCompound, _xlpm.ProductIngredient2, _xlpm.calculatedAmount2), 0) + IFERROR('Input - Livestock farm Inputs'!Fertiliser_InputFunctions.Fertiliser_SumProductApplied(_xlpm.ChemicalCompound, _xlpm.ProductIngredient3, _xlpm.calculatedAmount3), 0)))</definedName>
    <definedName name="Fertiliser_InputFunctions.Fertiliser_TotalActiveIngredientAppliedAllIngredients" localSheetId="1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definedName>
    <definedName name="Fertiliser_InputFunctions.Fertiliser_TotalActiveIngredientAppliedAllIngredients" localSheetId="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Pasture'!Fertiliser_InputFunctions.Fertiliser_SumProductApplied(_xlpm.ChemicalCompound, _xlpm.ProductIngredient1, _xlpm.calculatedAmount1) + IFERROR('Input - Pasture'!Fertiliser_InputFunctions.Fertiliser_SumProductApplied(_xlpm.ChemicalCompound, _xlpm.ProductIngredient2, _xlpm.calculatedAmount2), 0) + IFERROR('Input - Pasture'!Fertiliser_InputFunctions.Fertiliser_SumProductApplied(_xlpm.ChemicalCompound, _xlpm.ProductIngredient3, _xlpm.calculatedAmount3),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 localSheetId="4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 + IFERROR('15 Scope 3'!Fertiliser_InputFunctions.Fertiliser_SumProductApplied(_xlpm.ChemicalCompound, _xlpm.ProductIngredient4, _xlpm.calculatedAmount4), 0) + IFERROR('15 Scope 3'!Fertiliser_InputFunctions.Fertiliser_SumProductApplied(_xlpm.ChemicalCompound, _xlpm.ProductIngredient5, _xlpm.calculatedAmount5), 0) + IFERROR('15 Scope 3'!Fertiliser_InputFunctions.Fertiliser_SumProductApplied(_xlpm.ChemicalCompound, _xlpm.ProductIngredient6, _xlpm.calculatedAmount6), 0)))</definedName>
    <definedName name="Fertiliser_InputFunctions.Fertiliser_TotalChemicalCompoundAppliedAllIngredients" localSheetId="2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3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3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3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3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3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'6.2.1.1-2 Pasture residue N2O'!Fertiliser_InputFunctions.Fertiliser_SumProductApplied(
      _xlpm.ChemicalCompound,
      _xlpm.ProductIngredient1,
      _xlpm.calculatedAmount1
    ) + IFERROR(
      '6.2.1.1-2 Pasture residue N2O'!Fertiliser_InputFunctions.Fertiliser_SumProductApplied(
        _xlpm.ChemicalCompound,
        _xlpm.ProductIngredient2,
        _xlpm.calculatedAmount2
      ),
      0
    ) + IFERROR(
      '6.2.1.1-2 Pasture residue N2O'!Fertiliser_InputFunctions.Fertiliser_SumProductApplied(
        _xlpm.ChemicalCompound,
        _xlpm.ProductIngredient3,
        _xlpm.calculatedAmount3
      ),
      0
    ) + IFERROR(
      '6.2.1.1-2 Pasture residue N2O'!Fertiliser_InputFunctions.Fertiliser_SumProductApplied(
        _xlpm.ChemicalCompound,
        _xlpm.ProductIngredient4,
        _xlpm.calculatedAmount4
      ),
      0
    ) + IFERROR(
      '6.2.1.1-2 Pasture residue N2O'!Fertiliser_InputFunctions.Fertiliser_SumProductApplied(
        _xlpm.ChemicalCompound,
        _xlpm.ProductIngredient5,
        _xlpm.calculatedAmount5
      ),
      0
    ) + IFERROR(
      '6.2.1.1-2 Pasture residue N2O'!Fertiliser_InputFunctions.Fertiliser_SumProductApplied(
        _xlpm.ChemicalCompound,
        _xlpm.ProductIngredient6,
        _xlpm.calculatedAmount6
      ),
      0
    )
  )
)</definedName>
    <definedName name="Fertiliser_InputFunctions.Fertiliser_TotalChemicalCompoundAppliedAllIngredients" localSheetId="3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'6.3.1.1-2 Leach runoff pasture'!Fertiliser_InputFunctions.Fertiliser_SumProductApplied(
      _xlpm.ChemicalCompound,
      _xlpm.ProductIngredient1,
      _xlpm.calculatedAmount1
    ) + IFERROR(
      '6.3.1.1-2 Leach runoff pasture'!Fertiliser_InputFunctions.Fertiliser_SumProductApplied(
        _xlpm.ChemicalCompound,
        _xlpm.ProductIngredient2,
        _xlpm.calculatedAmount2
      ),
      0
    ) + IFERROR(
      '6.3.1.1-2 Leach runoff pasture'!Fertiliser_InputFunctions.Fertiliser_SumProductApplied(
        _xlpm.ChemicalCompound,
        _xlpm.ProductIngredient3,
        _xlpm.calculatedAmount3
      ),
      0
    ) + IFERROR(
      '6.3.1.1-2 Leach runoff pasture'!Fertiliser_InputFunctions.Fertiliser_SumProductApplied(
        _xlpm.ChemicalCompound,
        _xlpm.ProductIngredient4,
        _xlpm.calculatedAmount4
      ),
      0
    ) + IFERROR(
      '6.3.1.1-2 Leach runoff pasture'!Fertiliser_InputFunctions.Fertiliser_SumProductApplied(
        _xlpm.ChemicalCompound,
        _xlpm.ProductIngredient5,
        _xlpm.calculatedAmount5
      ),
      0
    ) + IFERROR(
      '6.3.1.1-2 Leach runoff pasture'!Fertiliser_InputFunctions.Fertiliser_SumProductApplied(
        _xlpm.ChemicalCompound,
        _xlpm.ProductIngredient6,
        _xlpm.calculatedAmount6
      ),
      0
    )
  )
)</definedName>
    <definedName name="Fertiliser_InputFunctions.Fertiliser_TotalChemicalCompoundAppliedAllIngredients" localSheetId="4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 + IFERROR('Calcs - Manure sent off-site'!Fertiliser_InputFunctions.Fertiliser_SumProductApplied(_xlpm.ChemicalCompound, _xlpm.ProductIngredient4, _xlpm.calculatedAmount4), 0) + IFERROR('Calcs - Manure sent off-site'!Fertiliser_InputFunctions.Fertiliser_SumProductApplied(_xlpm.ChemicalCompound, _xlpm.ProductIngredient5, _xlpm.calculatedAmount5), 0) + IFERROR('Calcs - Manure sent off-site'!Fertiliser_InputFunctions.Fertiliser_SumProductApplied(_xlpm.ChemicalCompound, _xlpm.ProductIngredient6, _xlpm.calculatedAmount6), 0)))</definedName>
    <definedName name="Fertiliser_InputFunctions.Fertiliser_TotalChemicalCompoundAppliedAllIngredients" localSheetId="4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'Constants - Ag Residue'!Fertiliser_InputFunctions.Fertiliser_SumProductApplied(
      _xlpm.ChemicalCompound,
      _xlpm.ProductIngredient1,
      _xlpm.calculatedAmount1
    ) + IFERROR(
      'Constants - Ag Residue'!Fertiliser_InputFunctions.Fertiliser_SumProductApplied(
        _xlpm.ChemicalCompound,
        _xlpm.ProductIngredient2,
        _xlpm.calculatedAmount2
      ),
      0
    ) + IFERROR(
      'Constants - Ag Residue'!Fertiliser_InputFunctions.Fertiliser_SumProductApplied(
        _xlpm.ChemicalCompound,
        _xlpm.ProductIngredient3,
        _xlpm.calculatedAmount3
      ),
      0
    ) + IFERROR(
      'Constants - Ag Residue'!Fertiliser_InputFunctions.Fertiliser_SumProductApplied(
        _xlpm.ChemicalCompound,
        _xlpm.ProductIngredient4,
        _xlpm.calculatedAmount4
      ),
      0
    ) + IFERROR(
      'Constants - Ag Residue'!Fertiliser_InputFunctions.Fertiliser_SumProductApplied(
        _xlpm.ChemicalCompound,
        _xlpm.ProductIngredient5,
        _xlpm.calculatedAmount5
      ),
      0
    ) + IFERROR(
      'Constants - Ag Residue'!Fertiliser_InputFunctions.Fertiliser_SumProductApplied(
        _xlpm.ChemicalCompound,
        _xlpm.ProductIngredient6,
        _xlpm.calculatedAmount6
      ),
      0
    )
  )
)</definedName>
    <definedName name="Fertiliser_InputFunctions.Fertiliser_TotalChemicalCompoundAppliedAllIngredients" localSheetId="4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4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 + IFERROR('Constants - Scope 3'!Fertiliser_InputFunctions.Fertiliser_SumProductApplied(_xlpm.ChemicalCompound, _xlpm.ProductIngredient4, _xlpm.calculatedAmount4), 0) + IFERROR('Constants - Scope 3'!Fertiliser_InputFunctions.Fertiliser_SumProductApplied(_xlpm.ChemicalCompound, _xlpm.ProductIngredient5, _xlpm.calculatedAmount5), 0) + IFERROR('Constants - Scope 3'!Fertiliser_InputFunctions.Fertiliser_SumProductApplied(_xlpm.ChemicalCompound, _xlpm.ProductIngredient6, _xlpm.calculatedAmount6), 0)))</definedName>
    <definedName name="Fertiliser_InputFunctions.Fertiliser_TotalChemicalCompoundAppliedAllIngredients" localSheetId="1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Common farm inputs'!Fertiliser_InputFunctions.Fertiliser_SumProductApplied(_xlpm.ChemicalCompound, _xlpm.ProductIngredient1, _xlpm.calculatedAmount1) + IFERROR('Input - Common farm inputs'!Fertiliser_InputFunctions.Fertiliser_SumProductApplied(_xlpm.ChemicalCompound, _xlpm.ProductIngredient2, _xlpm.calculatedAmount2), 0) + IFERROR('Input - Common farm inputs'!Fertiliser_InputFunctions.Fertiliser_SumProductApplied(_xlpm.ChemicalCompound, _xlpm.ProductIngredient3, _xlpm.calculatedAmount3), 0) + IFERROR('Input - Common farm inputs'!Fertiliser_InputFunctions.Fertiliser_SumProductApplied(_xlpm.ChemicalCompound, _xlpm.ProductIngredient4, _xlpm.calculatedAmount4), 0) + IFERROR('Input - Common farm inputs'!Fertiliser_InputFunctions.Fertiliser_SumProductApplied(_xlpm.ChemicalCompound, _xlpm.ProductIngredient5, _xlpm.calculatedAmount5), 0) + IFERROR('Input - Common farm inputs'!Fertiliser_InputFunctions.Fertiliser_SumProductApplied(_xlpm.ChemicalCompound, _xlpm.ProductIngredient6, _xlpm.calculatedAmount6), 0)))</definedName>
    <definedName name="Fertiliser_InputFunctions.Fertiliser_TotalChemicalCompoundAppliedAllIngredients" localSheetId="1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Crop pasture farm input'!Fertiliser_InputFunctions.Fertiliser_SumProductApplied(_xlpm.ChemicalCompound, _xlpm.ProductIngredient1, _xlpm.calculatedAmount1) + IFERROR('Input - Crop pasture farm input'!Fertiliser_InputFunctions.Fertiliser_SumProductApplied(_xlpm.ChemicalCompound, _xlpm.ProductIngredient2, _xlpm.calculatedAmount2), 0) + IFERROR('Input - Crop pasture farm input'!Fertiliser_InputFunctions.Fertiliser_SumProductApplied(_xlpm.ChemicalCompound, _xlpm.ProductIngredient3, _xlpm.calculatedAmount3), 0) + IFERROR('Input - Crop pasture farm input'!Fertiliser_InputFunctions.Fertiliser_SumProductApplied(_xlpm.ChemicalCompound, _xlpm.ProductIngredient4, _xlpm.calculatedAmount4), 0) + IFERROR('Input - Crop pasture farm input'!Fertiliser_InputFunctions.Fertiliser_SumProductApplied(_xlpm.ChemicalCompound, _xlpm.ProductIngredient5, _xlpm.calculatedAmount5), 0) + IFERROR('Input - Crop pasture farm input'!Fertiliser_InputFunctions.Fertiliser_SumProductApplied(_xlpm.ChemicalCompound, _xlpm.ProductIngredient6, _xlpm.calculatedAmount6), 0)))</definedName>
    <definedName name="Fertiliser_InputFunctions.Fertiliser_TotalChemicalCompoundAppliedAllIngredients" localSheetId="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Dairy cattle purchases'!Fertiliser_InputFunctions.Fertiliser_SumProductApplied(_xlpm.ChemicalCompound, _xlpm.ProductIngredient1, _xlpm.calculatedAmount1) + IFERROR('Input - Dairy cattle purchases'!Fertiliser_InputFunctions.Fertiliser_SumProductApplied(_xlpm.ChemicalCompound, _xlpm.ProductIngredient2, _xlpm.calculatedAmount2), 0) + IFERROR('Input - Dairy cattle purchases'!Fertiliser_InputFunctions.Fertiliser_SumProductApplied(_xlpm.ChemicalCompound, _xlpm.ProductIngredient3, _xlpm.calculatedAmount3), 0) + IFERROR('Input - Dairy cattle purchases'!Fertiliser_InputFunctions.Fertiliser_SumProductApplied(_xlpm.ChemicalCompound, _xlpm.ProductIngredient4, _xlpm.calculatedAmount4), 0) + IFERROR('Input - Dairy cattle purchases'!Fertiliser_InputFunctions.Fertiliser_SumProductApplied(_xlpm.ChemicalCompound, _xlpm.ProductIngredient5, _xlpm.calculatedAmount5), 0) + IFERROR('Input - Dairy cattle purchases'!Fertiliser_InputFunctions.Fertiliser_SumProductApplied(_xlpm.ChemicalCompound, _xlpm.ProductIngredient6, _xlpm.calculatedAmount6), 0)))</definedName>
    <definedName name="Fertiliser_InputFunctions.Fertiliser_TotalChemicalCompoundAppliedAllIngredients" localSheetId="1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 + IFERROR('Input - Freight'!Fertiliser_InputFunctions.Fertiliser_SumProductApplied(_xlpm.ChemicalCompound, _xlpm.ProductIngredient4, _xlpm.calculatedAmount4), 0) + IFERROR('Input - Freight'!Fertiliser_InputFunctions.Fertiliser_SumProductApplied(_xlpm.ChemicalCompound, _xlpm.ProductIngredient5, _xlpm.calculatedAmount5), 0) + IFERROR('Input - Freight'!Fertiliser_InputFunctions.Fertiliser_SumProductApplied(_xlpm.ChemicalCompound, _xlpm.ProductIngredient6, _xlpm.calculatedAmount6), 0)))</definedName>
    <definedName name="Fertiliser_InputFunctions.Fertiliser_TotalChemicalCompoundAppliedAllIngredients" localSheetId="1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Livestock farm Inputs'!Fertiliser_InputFunctions.Fertiliser_SumProductApplied(_xlpm.ChemicalCompound, _xlpm.ProductIngredient1, _xlpm.calculatedAmount1) + IFERROR('Input - Livestock farm Inputs'!Fertiliser_InputFunctions.Fertiliser_SumProductApplied(_xlpm.ChemicalCompound, _xlpm.ProductIngredient2, _xlpm.calculatedAmount2), 0) + IFERROR('Input - Livestock farm Inputs'!Fertiliser_InputFunctions.Fertiliser_SumProductApplied(_xlpm.ChemicalCompound, _xlpm.ProductIngredient3, _xlpm.calculatedAmount3), 0) + IFERROR('Input - Livestock farm Inputs'!Fertiliser_InputFunctions.Fertiliser_SumProductApplied(_xlpm.ChemicalCompound, _xlpm.ProductIngredient4, _xlpm.calculatedAmount4), 0) + IFERROR('Input - Livestock farm Inputs'!Fertiliser_InputFunctions.Fertiliser_SumProductApplied(_xlpm.ChemicalCompound, _xlpm.ProductIngredient5, _xlpm.calculatedAmount5), 0) + IFERROR('Input - Livestock farm Inputs'!Fertiliser_InputFunctions.Fertiliser_SumProductApplied(_xlpm.ChemicalCompound, _xlpm.ProductIngredient6, _xlpm.calculatedAmount6), 0)))</definedName>
    <definedName name="Fertiliser_InputFunctions.Fertiliser_TotalChemicalCompoundAppliedAllIngredients" localSheetId="1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 + IFERROR('Input - Manure sent off-site'!Fertiliser_InputFunctions.Fertiliser_SumProductApplied(_xlpm.ChemicalCompound, _xlpm.ProductIngredient4, _xlpm.calculatedAmount4), 0) + IFERROR('Input - Manure sent off-site'!Fertiliser_InputFunctions.Fertiliser_SumProductApplied(_xlpm.ChemicalCompound, _xlpm.ProductIngredient5, _xlpm.calculatedAmount5), 0) + IFERROR('Input - Manure sent off-site'!Fertiliser_InputFunctions.Fertiliser_SumProductApplied(_xlpm.ChemicalCompound, _xlpm.ProductIngredient6, _xlpm.calculatedAmount6), 0)))</definedName>
    <definedName name="Fertiliser_InputFunctions.Fertiliser_TotalChemicalCompoundAppliedAllIngredients" localSheetId="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'Input - Pasture'!Fertiliser_InputFunctions.Fertiliser_SumProductApplied(
      _xlpm.ChemicalCompound,
      _xlpm.ProductIngredient1,
      _xlpm.calculatedAmount1
    ) + IFERROR(
      'Input - Pasture'!Fertiliser_InputFunctions.Fertiliser_SumProductApplied(
        _xlpm.ChemicalCompound,
        _xlpm.ProductIngredient2,
        _xlpm.calculatedAmount2
      ),
      0
    ) + IFERROR(
      'Input - Pasture'!Fertiliser_InputFunctions.Fertiliser_SumProductApplied(
        _xlpm.ChemicalCompound,
        _xlpm.ProductIngredient3,
        _xlpm.calculatedAmount3
      ),
      0
    ) + IFERROR(
      'Input - Pasture'!Fertiliser_InputFunctions.Fertiliser_SumProductApplied(
        _xlpm.ChemicalCompound,
        _xlpm.ProductIngredient4,
        _xlpm.calculatedAmount4
      ),
      0
    ) + IFERROR(
      'Input - Pasture'!Fertiliser_InputFunctions.Fertiliser_SumProductApplied(
        _xlpm.ChemicalCompound,
        _xlpm.ProductIngredient5,
        _xlpm.calculatedAmount5
      ),
      0
    ) + IFERROR(
      'Input - Pasture'!Fertiliser_InputFunctions.Fertiliser_SumProductApplied(
        _xlpm.ChemicalCompound,
        _xlpm.ProductIngredient6,
        _xlpm.calculatedAmount6
      ),
      0
    )
  )
)</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 localSheetId="4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'15 Scope 3'!Fertiliser_InputFunctions.Fertiliser_SumProductApplied(_xlpm.ChemicalCompound, _xlpm.ProductIngredient1, _xlpm.calculatedAmount1, _xlpm.Source, _xlpm.ProductIngredientSource) + IFERROR('15 Scope 3'!Fertiliser_InputFunctions.Fertiliser_SumProductApplied(_xlpm.ChemicalCompound, _xlpm.ProductIngredient2, _xlpm.calculatedAmount2, _xlpm.Source, _xlpm.ProductIngredientSource), 0) + IFERROR('15 Scope 3'!Fertiliser_InputFunctions.Fertiliser_SumProductApplied(_xlpm.ChemicalCompound, _xlpm.ProductIngredient3, _xlpm.calculatedAmount3, _xlpm.Source, _xlpm.ProductIngredientSource), 0) + IFERROR('15 Scope 3'!Fertiliser_InputFunctions.Fertiliser_SumProductApplied(_xlpm.ChemicalCompound, _xlpm.ProductIngredient4, _xlpm.calculatedAmount4, _xlpm.Source, _xlpm.ProductIngredientSource), 0) + IFERROR('15 Scope 3'!Fertiliser_InputFunctions.Fertiliser_SumProductApplied(_xlpm.ChemicalCompound, _xlpm.ProductIngredient5, _xlpm.calculatedAmount5, _xlpm.Source, _xlpm.ProductIngredientSource), 0) + IFERROR('15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'6.2.1.1-2 Pasture residue N2O'!Fertiliser_InputFunctions.Fertiliser_SumProductApplied(
      _xlpm.ChemicalCompound,
      _xlpm.ProductIngredient1,
      _xlpm.calculatedAmount1,
      _xlpm.Source,
      _xlpm.ProductIngredientSource
    ) + IFERROR(
      '6.2.1.1-2 Pasture residue N2O'!Fertiliser_InputFunctions.Fertiliser_SumProductApplied(
        _xlpm.ChemicalCompound,
        _xlpm.ProductIngredient2,
        _xlpm.calculatedAmount2,
        _xlpm.Source,
        _xlpm.ProductIngredientSource
      ),
      0
    ) + IFERROR(
      '6.2.1.1-2 Pasture residue N2O'!Fertiliser_InputFunctions.Fertiliser_SumProductApplied(
        _xlpm.ChemicalCompound,
        _xlpm.ProductIngredient3,
        _xlpm.calculatedAmount3,
        _xlpm.Source,
        _xlpm.ProductIngredientSource
      ),
      0
    ) + IFERROR(
      '6.2.1.1-2 Pasture residue N2O'!Fertiliser_InputFunctions.Fertiliser_SumProductApplied(
        _xlpm.ChemicalCompound,
        _xlpm.ProductIngredient4,
        _xlpm.calculatedAmount4,
        _xlpm.Source,
        _xlpm.ProductIngredientSource
      ),
      0
    ) + IFERROR(
      '6.2.1.1-2 Pasture residue N2O'!Fertiliser_InputFunctions.Fertiliser_SumProductApplied(
        _xlpm.ChemicalCompound,
        _xlpm.ProductIngredient5,
        _xlpm.calculatedAmount5,
        _xlpm.Source,
        _xlpm.ProductIngredientSource
      ),
      0
    ) + IFERROR(
      '6.2.1.1-2 Pasture residue N2O'!Fertiliser_InputFunctions.Fertiliser_SumProductApplied(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3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'6.3.1.1-2 Leach runoff pasture'!Fertiliser_InputFunctions.Fertiliser_SumProductApplied(
      _xlpm.ChemicalCompound,
      _xlpm.ProductIngredient1,
      _xlpm.calculatedAmount1,
      _xlpm.Source,
      _xlpm.ProductIngredientSource
    ) + IFERROR(
      '6.3.1.1-2 Leach runoff pasture'!Fertiliser_InputFunctions.Fertiliser_SumProductApplied(
        _xlpm.ChemicalCompound,
        _xlpm.ProductIngredient2,
        _xlpm.calculatedAmount2,
        _xlpm.Source,
        _xlpm.ProductIngredientSource
      ),
      0
    ) + IFERROR(
      '6.3.1.1-2 Leach runoff pasture'!Fertiliser_InputFunctions.Fertiliser_SumProductApplied(
        _xlpm.ChemicalCompound,
        _xlpm.ProductIngredient3,
        _xlpm.calculatedAmount3,
        _xlpm.Source,
        _xlpm.ProductIngredientSource
      ),
      0
    ) + IFERROR(
      '6.3.1.1-2 Leach runoff pasture'!Fertiliser_InputFunctions.Fertiliser_SumProductApplied(
        _xlpm.ChemicalCompound,
        _xlpm.ProductIngredient4,
        _xlpm.calculatedAmount4,
        _xlpm.Source,
        _xlpm.ProductIngredientSource
      ),
      0
    ) + IFERROR(
      '6.3.1.1-2 Leach runoff pasture'!Fertiliser_InputFunctions.Fertiliser_SumProductApplied(
        _xlpm.ChemicalCompound,
        _xlpm.ProductIngredient5,
        _xlpm.calculatedAmount5,
        _xlpm.Source,
        _xlpm.ProductIngredientSource
      ),
      0
    ) + IFERROR(
      '6.3.1.1-2 Leach runoff pasture'!Fertiliser_InputFunctions.Fertiliser_SumProductApplied(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4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'Calcs - Manure sent off-site'!Fertiliser_InputFunctions.Fertiliser_SumProductApplied(_xlpm.ChemicalCompound, _xlpm.ProductIngredient1, _xlpm.calculatedAmount1, _xlpm.Source, _xlpm.ProductIngredientSource) + IFERROR('Calcs - Manure sent off-site'!Fertiliser_InputFunctions.Fertiliser_SumProductApplied(_xlpm.ChemicalCompound, _xlpm.ProductIngredient2, _xlpm.calculatedAmount2, _xlpm.Source, _xlpm.ProductIngredientSource), 0) + IFERROR('Calcs - Manure sent off-site'!Fertiliser_InputFunctions.Fertiliser_SumProductApplied(_xlpm.ChemicalCompound, _xlpm.ProductIngredient3, _xlpm.calculatedAmount3, _xlpm.Source, _xlpm.ProductIngredientSource), 0) + IFERROR('Calcs - Manure sent off-site'!Fertiliser_InputFunctions.Fertiliser_SumProductApplied(_xlpm.ChemicalCompound, _xlpm.ProductIngredient4, _xlpm.calculatedAmount4, _xlpm.Source, _xlpm.ProductIngredientSource), 0) + IFERROR('Calcs - Manure sent off-site'!Fertiliser_InputFunctions.Fertiliser_SumProductApplied(_xlpm.ChemicalCompound, _xlpm.ProductIngredient5, _xlpm.calculatedAmount5, _xlpm.Source, _xlpm.ProductIngredientSource), 0) + IFERROR('Calcs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'Constants - Ag Residue'!Fertiliser_InputFunctions.Fertiliser_SumProductApplied(
      _xlpm.ChemicalCompound,
      _xlpm.ProductIngredient1,
      _xlpm.calculatedAmount1,
      _xlpm.Source,
      _xlpm.ProductIngredientSource
    ) + IFERROR(
      'Constants - Ag Residue'!Fertiliser_InputFunctions.Fertiliser_SumProductApplied(
        _xlpm.ChemicalCompound,
        _xlpm.ProductIngredient2,
        _xlpm.calculatedAmount2,
        _xlpm.Source,
        _xlpm.ProductIngredientSource
      ),
      0
    ) + IFERROR(
      'Constants - Ag Residue'!Fertiliser_InputFunctions.Fertiliser_SumProductApplied(
        _xlpm.ChemicalCompound,
        _xlpm.ProductIngredient3,
        _xlpm.calculatedAmount3,
        _xlpm.Source,
        _xlpm.ProductIngredientSource
      ),
      0
    ) + IFERROR(
      'Constants - Ag Residue'!Fertiliser_InputFunctions.Fertiliser_SumProductApplied(
        _xlpm.ChemicalCompound,
        _xlpm.ProductIngredient4,
        _xlpm.calculatedAmount4,
        _xlpm.Source,
        _xlpm.ProductIngredientSource
      ),
      0
    ) + IFERROR(
      'Constants - Ag Residue'!Fertiliser_InputFunctions.Fertiliser_SumProductApplied(
        _xlpm.ChemicalCompound,
        _xlpm.ProductIngredient5,
        _xlpm.calculatedAmount5,
        _xlpm.Source,
        _xlpm.ProductIngredientSource
      ),
      0
    ) + IFERROR(
      'Constants - Ag Residue'!Fertiliser_InputFunctions.Fertiliser_SumProductApplied(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4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Scope 3'!Fertiliser_InputFunctions.Fertiliser_SumProductApplied(_xlpm.ChemicalCompound, _xlpm.ProductIngredient1, _xlpm.calculatedAmount1, _xlpm.Source, _xlpm.ProductIngredientSource) + IFERROR('Constants - Scope 3'!Fertiliser_InputFunctions.Fertiliser_SumProductApplied(_xlpm.ChemicalCompound, _xlpm.ProductIngredient2, _xlpm.calculatedAmount2, _xlpm.Source, _xlpm.ProductIngredientSource), 0) + IFERROR('Constants - Scope 3'!Fertiliser_InputFunctions.Fertiliser_SumProductApplied(_xlpm.ChemicalCompound, _xlpm.ProductIngredient3, _xlpm.calculatedAmount3, _xlpm.Source, _xlpm.ProductIngredientSource), 0) + IFERROR('Constants - Scope 3'!Fertiliser_InputFunctions.Fertiliser_SumProductApplied(_xlpm.ChemicalCompound, _xlpm.ProductIngredient4, _xlpm.calculatedAmount4, _xlpm.Source, _xlpm.ProductIngredientSource), 0) + IFERROR('Constants - Scope 3'!Fertiliser_InputFunctions.Fertiliser_SumProductApplied(_xlpm.ChemicalCompound, _xlpm.ProductIngredient5, _xlpm.calculatedAmount5, _xlpm.Source, _xlpm.ProductIngredientSource), 0) + IFERROR('Constants -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Common farm inputs'!Fertiliser_InputFunctions.Fertiliser_SumProductApplied(_xlpm.ChemicalCompound, _xlpm.ProductIngredient1, _xlpm.calculatedAmount1, _xlpm.Source, _xlpm.ProductIngredientSource) + IFERROR('Input - Common farm inputs'!Fertiliser_InputFunctions.Fertiliser_SumProductApplied(_xlpm.ChemicalCompound, _xlpm.ProductIngredient2, _xlpm.calculatedAmount2, _xlpm.Source, _xlpm.ProductIngredientSource), 0) + IFERROR('Input - Common farm inputs'!Fertiliser_InputFunctions.Fertiliser_SumProductApplied(_xlpm.ChemicalCompound, _xlpm.ProductIngredient3, _xlpm.calculatedAmount3, _xlpm.Source, _xlpm.ProductIngredientSource), 0) + IFERROR('Input - Common farm inputs'!Fertiliser_InputFunctions.Fertiliser_SumProductApplied(_xlpm.ChemicalCompound, _xlpm.ProductIngredient4, _xlpm.calculatedAmount4, _xlpm.Source, _xlpm.ProductIngredientSource), 0) + IFERROR('Input - Common farm inputs'!Fertiliser_InputFunctions.Fertiliser_SumProductApplied(_xlpm.ChemicalCompound, _xlpm.ProductIngredient5, _xlpm.calculatedAmount5, _xlpm.Source, _xlpm.ProductIngredientSource), 0) + IFERROR('Input - Common farm inputs'!Fertiliser_InputFunctions.Fertiliser_SumProductApplied(_xlpm.ChemicalCompound,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Crop pasture farm input'!Fertiliser_InputFunctions.Fertiliser_SumProductApplied(_xlpm.ChemicalCompound, _xlpm.ProductIngredient1, _xlpm.calculatedAmount1, _xlpm.Source, _xlpm.ProductIngredientSource) + IFERROR('Input - Crop pasture farm input'!Fertiliser_InputFunctions.Fertiliser_SumProductApplied(_xlpm.ChemicalCompound, _xlpm.ProductIngredient2, _xlpm.calculatedAmount2, _xlpm.Source, _xlpm.ProductIngredientSource), 0) + IFERROR('Input - Crop pasture farm input'!Fertiliser_InputFunctions.Fertiliser_SumProductApplied(_xlpm.ChemicalCompound, _xlpm.ProductIngredient3, _xlpm.calculatedAmount3, _xlpm.Source, _xlpm.ProductIngredientSource), 0) + IFERROR('Input - Crop pasture farm input'!Fertiliser_InputFunctions.Fertiliser_SumProductApplied(_xlpm.ChemicalCompound, _xlpm.ProductIngredient4, _xlpm.calculatedAmount4, _xlpm.Source, _xlpm.ProductIngredientSource), 0) + IFERROR('Input - Crop pasture farm input'!Fertiliser_InputFunctions.Fertiliser_SumProductApplied(_xlpm.ChemicalCompound, _xlpm.ProductIngredient5, _xlpm.calculatedAmount5, _xlpm.Source, _xlpm.ProductIngredientSource), 0) + IFERROR('Input - Crop pasture farm input'!Fertiliser_InputFunctions.Fertiliser_SumProductApplied(_xlpm.ChemicalCompound,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Dairy cattle purchases'!Fertiliser_InputFunctions.Fertiliser_SumProductApplied(_xlpm.ChemicalCompound, _xlpm.ProductIngredient1, _xlpm.calculatedAmount1, _xlpm.Source, _xlpm.ProductIngredientSource) + IFERROR('Input - Dairy cattle purchases'!Fertiliser_InputFunctions.Fertiliser_SumProductApplied(_xlpm.ChemicalCompound, _xlpm.ProductIngredient2, _xlpm.calculatedAmount2, _xlpm.Source, _xlpm.ProductIngredientSource), 0) + IFERROR('Input - Dairy cattle purchases'!Fertiliser_InputFunctions.Fertiliser_SumProductApplied(_xlpm.ChemicalCompound, _xlpm.ProductIngredient3, _xlpm.calculatedAmount3, _xlpm.Source, _xlpm.ProductIngredientSource), 0) + IFERROR('Input - Dairy cattle purchases'!Fertiliser_InputFunctions.Fertiliser_SumProductApplied(_xlpm.ChemicalCompound, _xlpm.ProductIngredient4, _xlpm.calculatedAmount4, _xlpm.Source, _xlpm.ProductIngredientSource), 0) + IFERROR('Input - Dairy cattle purchases'!Fertiliser_InputFunctions.Fertiliser_SumProductApplied(_xlpm.ChemicalCompound, _xlpm.ProductIngredient5, _xlpm.calculatedAmount5, _xlpm.Source, _xlpm.ProductIngredientSource), 0) + IFERROR('Input - Dairy cattle purchases'!Fertiliser_InputFunctions.Fertiliser_SumProductApplied(_xlpm.ChemicalCompound,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Freight'!Fertiliser_InputFunctions.Fertiliser_SumProductApplied(_xlpm.ChemicalCompound, _xlpm.ProductIngredient1, _xlpm.calculatedAmount1, _xlpm.Source, _xlpm.ProductIngredientSource) + IFERROR('Input - Freight'!Fertiliser_InputFunctions.Fertiliser_SumProductApplied(_xlpm.ChemicalCompound, _xlpm.ProductIngredient2, _xlpm.calculatedAmount2, _xlpm.Source, _xlpm.ProductIngredientSource), 0) + IFERROR('Input - Freight'!Fertiliser_InputFunctions.Fertiliser_SumProductApplied(_xlpm.ChemicalCompound, _xlpm.ProductIngredient3, _xlpm.calculatedAmount3, _xlpm.Source, _xlpm.ProductIngredientSource), 0) + IFERROR('Input - Freight'!Fertiliser_InputFunctions.Fertiliser_SumProductApplied(_xlpm.ChemicalCompound, _xlpm.ProductIngredient4, _xlpm.calculatedAmount4, _xlpm.Source, _xlpm.ProductIngredientSource), 0) + IFERROR('Input - Freight'!Fertiliser_InputFunctions.Fertiliser_SumProductApplied(_xlpm.ChemicalCompound, _xlpm.ProductIngredient5, _xlpm.calculatedAmount5, _xlpm.Source, _xlpm.ProductIngredientSource), 0) + IFERROR('Input - Freight'!Fertiliser_InputFunctions.Fertiliser_SumProductApplied(_xlpm.ChemicalCompound,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Livestock farm Inputs'!Fertiliser_InputFunctions.Fertiliser_SumProductApplied(_xlpm.ChemicalCompound, _xlpm.ProductIngredient1, _xlpm.calculatedAmount1, _xlpm.Source, _xlpm.ProductIngredientSource) + IFERROR('Input - Livestock farm Inputs'!Fertiliser_InputFunctions.Fertiliser_SumProductApplied(_xlpm.ChemicalCompound, _xlpm.ProductIngredient2, _xlpm.calculatedAmount2, _xlpm.Source, _xlpm.ProductIngredientSource), 0) + IFERROR('Input - Livestock farm Inputs'!Fertiliser_InputFunctions.Fertiliser_SumProductApplied(_xlpm.ChemicalCompound, _xlpm.ProductIngredient3, _xlpm.calculatedAmount3, _xlpm.Source, _xlpm.ProductIngredientSource), 0) + IFERROR('Input - Livestock farm Inputs'!Fertiliser_InputFunctions.Fertiliser_SumProductApplied(_xlpm.ChemicalCompound, _xlpm.ProductIngredient4, _xlpm.calculatedAmount4, _xlpm.Source, _xlpm.ProductIngredientSource), 0) + IFERROR('Input - Livestock farm Inputs'!Fertiliser_InputFunctions.Fertiliser_SumProductApplied(_xlpm.ChemicalCompound, _xlpm.ProductIngredient5, _xlpm.calculatedAmount5, _xlpm.Source, _xlpm.ProductIngredientSource), 0) + IFERROR('Input - Livestock farm Inputs'!Fertiliser_InputFunctions.Fertiliser_SumProductApplied(_xlpm.ChemicalCompound,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Manure sent off-site'!Fertiliser_InputFunctions.Fertiliser_SumProductApplied(_xlpm.ChemicalCompound, _xlpm.ProductIngredient1, _xlpm.calculatedAmount1, _xlpm.Source, _xlpm.ProductIngredientSource) + IFERROR('Input - Manure sent off-site'!Fertiliser_InputFunctions.Fertiliser_SumProductApplied(_xlpm.ChemicalCompound, _xlpm.ProductIngredient2, _xlpm.calculatedAmount2, _xlpm.Source, _xlpm.ProductIngredientSource), 0) + IFERROR('Input - Manure sent off-site'!Fertiliser_InputFunctions.Fertiliser_SumProductApplied(_xlpm.ChemicalCompound, _xlpm.ProductIngredient3, _xlpm.calculatedAmount3, _xlpm.Source, _xlpm.ProductIngredientSource), 0) + IFERROR('Input - Manure sent off-site'!Fertiliser_InputFunctions.Fertiliser_SumProductApplied(_xlpm.ChemicalCompound, _xlpm.ProductIngredient4, _xlpm.calculatedAmount4, _xlpm.Source, _xlpm.ProductIngredientSource), 0) + IFERROR('Input - Manure sent off-site'!Fertiliser_InputFunctions.Fertiliser_SumProductApplied(_xlpm.ChemicalCompound, _xlpm.ProductIngredient5, _xlpm.calculatedAmount5, _xlpm.Source, _xlpm.ProductIngredientSource), 0) + IFERROR('Input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'Input - Pasture'!Fertiliser_InputFunctions.Fertiliser_SumProductApplied(
      _xlpm.ChemicalCompound,
      _xlpm.ProductIngredient1,
      _xlpm.calculatedAmount1,
      _xlpm.Source,
      _xlpm.ProductIngredientSource
    ) + IFERROR(
      'Input - Pasture'!Fertiliser_InputFunctions.Fertiliser_SumProductApplied(
        _xlpm.ChemicalCompound,
        _xlpm.ProductIngredient2,
        _xlpm.calculatedAmount2,
        _xlpm.Source,
        _xlpm.ProductIngredientSource
      ),
      0
    ) + IFERROR(
      'Input - Pasture'!Fertiliser_InputFunctions.Fertiliser_SumProductApplied(
        _xlpm.ChemicalCompound,
        _xlpm.ProductIngredient3,
        _xlpm.calculatedAmount3,
        _xlpm.Source,
        _xlpm.ProductIngredientSource
      ),
      0
    ) + IFERROR(
      'Input - Pasture'!Fertiliser_InputFunctions.Fertiliser_SumProductApplied(
        _xlpm.ChemicalCompound,
        _xlpm.ProductIngredient4,
        _xlpm.calculatedAmount4,
        _xlpm.Source,
        _xlpm.ProductIngredientSource
      ),
      0
    ) + IFERROR(
      'Input - Pasture'!Fertiliser_InputFunctions.Fertiliser_SumProductApplied(
        _xlpm.ChemicalCompound,
        _xlpm.ProductIngredient5,
        _xlpm.calculatedAmount5,
        _xlpm.Source,
        _xlpm.ProductIngredientSource
      ),
      0
    ) + IFERROR(
      'Input - Pasture'!Fertiliser_InputFunctions.Fertiliser_SumProductApplied(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 localSheetId="41">_xlfn.LAMBDA(_xlpm.Q_Transtq,_xlpm.EC_Transq,_xlpm.EF_Trans1tqg, [0]!Fuel_Equations.VEERG_8_FuelCombustion(_xlpm.Q_Transtq, _xlpm.EC_Transq, _xlpm.EF_Trans1tqg))</definedName>
    <definedName name="Fuel_Equations.VEERG_8_1_1_1__1_FuelCombustionTransport" localSheetId="36">_xlfn.LAMBDA(_xlpm.Q_Transtq,_xlpm.EC_Transq,_xlpm.EF_Trans1tqg, [0]!Fuel_Equations.VEERG_8_FuelCombustion(_xlpm.Q_Transtq, _xlpm.EC_Transq, _xlpm.EF_Trans1tqg))</definedName>
    <definedName name="Fuel_Equations.VEERG_8_1_1_1__1_FuelCombustionTransport" localSheetId="37">_xlfn.LAMBDA(_xlpm.Q_Transtq,_xlpm.EC_Transq,_xlpm.EF_Trans1tqg, [0]!Fuel_Equations.VEERG_8_FuelCombustion(_xlpm.Q_Transtq, _xlpm.EC_Transq, _xlpm.EF_Trans1tqg))</definedName>
    <definedName name="Fuel_Equations.VEERG_8_1_1_1__1_FuelCombustionTransport" localSheetId="38">_xlfn.LAMBDA(_xlpm.Q_Transtq,_xlpm.EC_Transq,_xlpm.EF_Trans1tqg, [0]!Fuel_Equations.VEERG_8_FuelCombustion(_xlpm.Q_Transtq, _xlpm.EC_Transq, _xlpm.EF_Trans1tqg))</definedName>
    <definedName name="Fuel_Equations.VEERG_8_1_1_1__1_FuelCombustionTransport" localSheetId="42">_xlfn.LAMBDA(_xlpm.Q_Transtq,_xlpm.EC_Transq,_xlpm.EF_Trans1tqg, [0]!Fuel_Equations.VEERG_8_FuelCombustion(_xlpm.Q_Transtq, _xlpm.EC_Transq, _xlpm.EF_Trans1tqg))</definedName>
    <definedName name="Fuel_Equations.VEERG_8_1_1_1__1_FuelCombustionTransport" localSheetId="48">_xlfn.LAMBDA(_xlpm.Q_Transtq,_xlpm.EC_Transq,_xlpm.EF_Trans1tqg, [0]!Fuel_Equations.VEERG_8_FuelCombustion(_xlpm.Q_Transtq, _xlpm.EC_Transq, _xlpm.EF_Trans1tqg))</definedName>
    <definedName name="Fuel_Equations.VEERG_8_1_1_1__1_FuelCombustionTransport" localSheetId="53">_xlfn.LAMBDA(_xlpm.Q_Transtq,_xlpm.EC_Transq,_xlpm.EF_Trans1tqg, [0]!Fuel_Equations.VEERG_8_FuelCombustion(_xlpm.Q_Transtq, _xlpm.EC_Transq, _xlpm.EF_Trans1tqg))</definedName>
    <definedName name="Fuel_Equations.VEERG_8_1_1_1__1_FuelCombustionTransport" localSheetId="49">_xlfn.LAMBDA(_xlpm.Q_Transtq,_xlpm.EC_Transq,_xlpm.EF_Trans1tqg, [0]!Fuel_Equations.VEERG_8_FuelCombustion(_xlpm.Q_Transtq, _xlpm.EC_Transq, _xlpm.EF_Trans1tqg))</definedName>
    <definedName name="Fuel_Equations.VEERG_8_1_1_1__1_FuelCombustionTransport" localSheetId="13">_xlfn.LAMBDA(_xlpm.Q_Transtq,_xlpm.EC_Transq,_xlpm.EF_Trans1tqg, [0]!Fuel_Equations.VEERG_8_FuelCombustion(_xlpm.Q_Transtq, _xlpm.EC_Transq, _xlpm.EF_Trans1tqg))</definedName>
    <definedName name="Fuel_Equations.VEERG_8_1_1_1__1_FuelCombustionTransport" localSheetId="14">_xlfn.LAMBDA(_xlpm.Q_Transtq,_xlpm.EC_Transq,_xlpm.EF_Trans1tqg, [0]!Fuel_Equations.VEERG_8_FuelCombustion(_xlpm.Q_Transtq, _xlpm.EC_Transq, _xlpm.EF_Trans1tqg))</definedName>
    <definedName name="Fuel_Equations.VEERG_8_1_1_1__1_FuelCombustionTransport" localSheetId="7">_xlfn.LAMBDA(_xlpm.Q_Transtq,_xlpm.EC_Transq,_xlpm.EF_Trans1tqg, [0]!Fuel_Equations.VEERG_8_FuelCombustion(_xlpm.Q_Transtq, _xlpm.EC_Transq, _xlpm.EF_Trans1tqg))</definedName>
    <definedName name="Fuel_Equations.VEERG_8_1_1_1__1_FuelCombustionTransport" localSheetId="16">_xlfn.LAMBDA(_xlpm.Q_Transtq,_xlpm.EC_Transq,_xlpm.EF_Trans1tqg, [0]!Fuel_Equations.VEERG_8_FuelCombustion(_xlpm.Q_Transtq, _xlpm.EC_Transq, _xlpm.EF_Trans1tqg))</definedName>
    <definedName name="Fuel_Equations.VEERG_8_1_1_1__1_FuelCombustionTransport" localSheetId="15">_xlfn.LAMBDA(_xlpm.Q_Transtq,_xlpm.EC_Transq,_xlpm.EF_Trans1tqg, [0]!Fuel_Equations.VEERG_8_FuelCombustion(_xlpm.Q_Transtq, _xlpm.EC_Transq, _xlpm.EF_Trans1tqg))</definedName>
    <definedName name="Fuel_Equations.VEERG_8_1_1_1__1_FuelCombustionTransport" localSheetId="18">_xlfn.LAMBDA(_xlpm.Q_Transtq,_xlpm.EC_Transq,_xlpm.EF_Trans1tqg, [0]!Fuel_Equations.VEERG_8_FuelCombustion(_xlpm.Q_Transtq, _xlpm.EC_Transq, _xlpm.EF_Trans1tqg))</definedName>
    <definedName name="Fuel_Equations.VEERG_8_1_1_1__1_FuelCombustionTransport" localSheetId="52">_xlfn.LAMBDA(_xlpm.Q_Transtq,_xlpm.EC_Transq,_xlpm.EF_Trans1tqg, [0]!Fuel_Equations.VEERG_8_FuelCombustion(_xlpm.Q_Transtq,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41">_xlfn.LAMBDA(_xlpm.Q_SCq,_xlpm.EC_SCq,_xlpm.EF_SC1qg, [0]!Fuel_Equations.VEERG_8_FuelCombustion(_xlpm.Q_SCq, _xlpm.EC_SCq, _xlpm.EF_SC1qg))</definedName>
    <definedName name="Fuel_Equations.VEERG_8_2_1_1__1_FuelCombustionStationary" localSheetId="36">_xlfn.LAMBDA(_xlpm.Q_SCq,_xlpm.EC_SCq,_xlpm.EF_SC1qg, [0]!Fuel_Equations.VEERG_8_FuelCombustion(_xlpm.Q_SCq, _xlpm.EC_SCq, _xlpm.EF_SC1qg))</definedName>
    <definedName name="Fuel_Equations.VEERG_8_2_1_1__1_FuelCombustionStationary" localSheetId="37">_xlfn.LAMBDA(_xlpm.Q_SCq,_xlpm.EC_SCq,_xlpm.EF_SC1qg, [0]!Fuel_Equations.VEERG_8_FuelCombustion(_xlpm.Q_SCq, _xlpm.EC_SCq, _xlpm.EF_SC1qg))</definedName>
    <definedName name="Fuel_Equations.VEERG_8_2_1_1__1_FuelCombustionStationary" localSheetId="38">_xlfn.LAMBDA(_xlpm.Q_SCq,_xlpm.EC_SCq,_xlpm.EF_SC1qg, [0]!Fuel_Equations.VEERG_8_FuelCombustion(_xlpm.Q_SCq, _xlpm.EC_SCq, _xlpm.EF_SC1qg))</definedName>
    <definedName name="Fuel_Equations.VEERG_8_2_1_1__1_FuelCombustionStationary" localSheetId="42">_xlfn.LAMBDA(_xlpm.Q_SCq,_xlpm.EC_SCq,_xlpm.EF_SC1qg, [0]!Fuel_Equations.VEERG_8_FuelCombustion(_xlpm.Q_SCq, _xlpm.EC_SCq, _xlpm.EF_SC1qg))</definedName>
    <definedName name="Fuel_Equations.VEERG_8_2_1_1__1_FuelCombustionStationary" localSheetId="48">_xlfn.LAMBDA(_xlpm.Q_SCq,_xlpm.EC_SCq,_xlpm.EF_SC1qg, [0]!Fuel_Equations.VEERG_8_FuelCombustion(_xlpm.Q_SCq, _xlpm.EC_SCq, _xlpm.EF_SC1qg))</definedName>
    <definedName name="Fuel_Equations.VEERG_8_2_1_1__1_FuelCombustionStationary" localSheetId="53">_xlfn.LAMBDA(_xlpm.Q_SCq,_xlpm.EC_SCq,_xlpm.EF_SC1qg, [0]!Fuel_Equations.VEERG_8_FuelCombustion(_xlpm.Q_SCq, _xlpm.EC_SCq, _xlpm.EF_SC1qg))</definedName>
    <definedName name="Fuel_Equations.VEERG_8_2_1_1__1_FuelCombustionStationary" localSheetId="49">_xlfn.LAMBDA(_xlpm.Q_SCq,_xlpm.EC_SCq,_xlpm.EF_SC1qg, [0]!Fuel_Equations.VEERG_8_FuelCombustion(_xlpm.Q_SCq, _xlpm.EC_SCq, _xlpm.EF_SC1qg))</definedName>
    <definedName name="Fuel_Equations.VEERG_8_2_1_1__1_FuelCombustionStationary" localSheetId="13">_xlfn.LAMBDA(_xlpm.Q_SCq,_xlpm.EC_SCq,_xlpm.EF_SC1qg, [0]!Fuel_Equations.VEERG_8_FuelCombustion(_xlpm.Q_SCq, _xlpm.EC_SCq, _xlpm.EF_SC1qg))</definedName>
    <definedName name="Fuel_Equations.VEERG_8_2_1_1__1_FuelCombustionStationary" localSheetId="14">_xlfn.LAMBDA(_xlpm.Q_SCq,_xlpm.EC_SCq,_xlpm.EF_SC1qg, [0]!Fuel_Equations.VEERG_8_FuelCombustion(_xlpm.Q_SCq, _xlpm.EC_SCq, _xlpm.EF_SC1qg))</definedName>
    <definedName name="Fuel_Equations.VEERG_8_2_1_1__1_FuelCombustionStationary" localSheetId="7">_xlfn.LAMBDA(_xlpm.Q_SCq,_xlpm.EC_SCq,_xlpm.EF_SC1qg, [0]!Fuel_Equations.VEERG_8_FuelCombustion(_xlpm.Q_SCq, _xlpm.EC_SCq, _xlpm.EF_SC1qg))</definedName>
    <definedName name="Fuel_Equations.VEERG_8_2_1_1__1_FuelCombustionStationary" localSheetId="16">_xlfn.LAMBDA(_xlpm.Q_SCq,_xlpm.EC_SCq,_xlpm.EF_SC1qg, [0]!Fuel_Equations.VEERG_8_FuelCombustion(_xlpm.Q_SCq, _xlpm.EC_SCq, _xlpm.EF_SC1qg))</definedName>
    <definedName name="Fuel_Equations.VEERG_8_2_1_1__1_FuelCombustionStationary" localSheetId="15">_xlfn.LAMBDA(_xlpm.Q_SCq,_xlpm.EC_SCq,_xlpm.EF_SC1qg, [0]!Fuel_Equations.VEERG_8_FuelCombustion(_xlpm.Q_SCq, _xlpm.EC_SCq, _xlpm.EF_SC1qg))</definedName>
    <definedName name="Fuel_Equations.VEERG_8_2_1_1__1_FuelCombustionStationary" localSheetId="18">_xlfn.LAMBDA(_xlpm.Q_SCq,_xlpm.EC_SCq,_xlpm.EF_SC1qg, [0]!Fuel_Equations.VEERG_8_FuelCombustion(_xlpm.Q_SCq, _xlpm.EC_SCq, _xlpm.EF_SC1qg))</definedName>
    <definedName name="Fuel_Equations.VEERG_8_2_1_1__1_FuelCombustionStationary" localSheetId="52">_xlfn.LAMBDA(_xlpm.Q_SCq,_xlpm.EC_SCq,_xlpm.EF_SC1qg, [0]!Fuel_Equations.VEERG_8_FuelCombustion(_xlpm.Q_SCq,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 localSheetId="41">_xlfn.LAMBDA(_xlpm.Cell, RIGHT(_xlpm.Cell, LEN(_xlpm.Cell) - FIND(", ", _xlpm.Cell)))</definedName>
    <definedName name="Fuel_InputFunctions.Fuel_GetStationaryFuelString" localSheetId="42">_xlfn.LAMBDA(_xlpm.Cell, RIGHT(_xlpm.Cell, LEN(_xlpm.Cell) - FIND(", ", _xlpm.Cell)))</definedName>
    <definedName name="Fuel_InputFunctions.Fuel_GetStationaryFuelString" localSheetId="49">_xlfn.LAMBDA(_xlpm.Cell, RIGHT(_xlpm.Cell, LEN(_xlpm.Cell) - FIND(", ", _xlpm.Cell)))</definedName>
    <definedName name="Fuel_InputFunctions.Fuel_GetStationaryFuelString" localSheetId="13">_xlfn.LAMBDA(_xlpm.Cell, RIGHT(_xlpm.Cell, LEN(_xlpm.Cell) - FIND(", ", _xlpm.Cell)))</definedName>
    <definedName name="Fuel_InputFunctions.Fuel_GetStationaryFuelString" localSheetId="14">_xlfn.LAMBDA(_xlpm.Cell, RIGHT(_xlpm.Cell, LEN(_xlpm.Cell) - FIND(", ", _xlpm.Cell)))</definedName>
    <definedName name="Fuel_InputFunctions.Fuel_GetStationaryFuelString" localSheetId="7">_xlfn.LAMBDA(_xlpm.Cell, RIGHT(_xlpm.Cell, LEN(_xlpm.Cell) - FIND(", ", _xlpm.Cell)))</definedName>
    <definedName name="Fuel_InputFunctions.Fuel_GetStationaryFuelString" localSheetId="16">_xlfn.LAMBDA(_xlpm.Cell, RIGHT(_xlpm.Cell, LEN(_xlpm.Cell) - FIND(", ", _xlpm.Cell)))</definedName>
    <definedName name="Fuel_InputFunctions.Fuel_GetStationaryFuelString" localSheetId="15">_xlfn.LAMBDA(_xlpm.Cell, RIGHT(_xlpm.Cell, LEN(_xlpm.Cell) - FIND(", ", _xlpm.Cell)))</definedName>
    <definedName name="Fuel_InputFunctions.Fuel_GetStationaryFuelString" localSheetId="18">_xlfn.LAMBDA(_xlpm.Cell, RIGHT(_xlpm.Cell, LEN(_xlpm.Cell) - FIND(", ", _xlpm.Cell)))</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_j">'4.3.1.3-4 Direct N20'!$N$212:$R$213</definedName>
    <definedName name="M1_Table_AE_j_Consumer_1">'4.3.1.3-4 Direct N20'!$D$212:$H$213</definedName>
    <definedName name="M1_Table_AE_j_Consumer_2">'4.3.1.9 Soil direct N2O'!$D$18:$H$19</definedName>
    <definedName name="M1_Table_AE_j124">'4.3.1.3-4 Direct N20'!$D$175:$H$176</definedName>
    <definedName name="M1_Table_CP_j">'4.3.1.3-4 Direct N20'!$D$120:$H$121</definedName>
    <definedName name="M1_Table_CPI_j">'4.3.1.3-4 Direct N20'!$D$125:$H$126</definedName>
    <definedName name="M1_Table_D_j" localSheetId="19">'3.3.1.1-2 Enteric Methane'!$D$164:$H$165</definedName>
    <definedName name="M1_Table_D_j">'4.3.1.1-2 Methane'!$D$274:$H$275</definedName>
    <definedName name="M1_Table_D_j124">'4.3.1.3-4 Direct N20'!$D$170:$H$171</definedName>
    <definedName name="M1_Table_D_j35">'4.3.1.3-4 Direct N20'!$N$202:$R$203</definedName>
    <definedName name="M1_Table_D_j35_Consumer_1">'4.3.1.3-4 Direct N20'!$D$202:$H$203</definedName>
    <definedName name="M1_Table_DMD_j" localSheetId="19">'3.3.1.1-2 Enteric Methane'!$D$18:$H$19</definedName>
    <definedName name="M1_Table_DMD_j">'4.3.1.1-2 Methane'!$D$18:$H$19</definedName>
    <definedName name="M1_Table_DPW_j">'4.3.1.3-4 Direct N20'!$D$207:$H$208</definedName>
    <definedName name="M1_Table_DPW_j_Consumer_1">'4.3.1.1-2 Methane'!$D$284:$H$285</definedName>
    <definedName name="M1_Table_DPW_j_Consumer_2">'4.3.1.1-2 Methane'!$O$284:$S$285</definedName>
    <definedName name="M1_Table_DPW_j_Consumer_3">'4.3.1.3-4 Direct N20'!$N$207:$R$208</definedName>
    <definedName name="M1_Table_DPW_j35">'3.3.1.1-2 Enteric Methane'!$D$169:$H$170</definedName>
    <definedName name="M1_Table_E_CH4">'4.3.1.1-2 Methane'!$O$289:$U$298</definedName>
    <definedName name="M1_Table_E_CH4_Consumer_1">'4.3.1.1-2 Methane'!$D$289:$J$298</definedName>
    <definedName name="M1_Table_E_CO2">'5.1.1.3-4 Inorganic fert CO2'!$D$57:$E$76</definedName>
    <definedName name="M1_Table_E_enteric">'3.3.1.1-2 Enteric Methane'!$M$179:$Q$180</definedName>
    <definedName name="M1_Table_E_enteric_Consumer_1">'3.3.1.1-2 Enteric Methane'!$D$179:$H$180</definedName>
    <definedName name="M1_Table_E_N2O" localSheetId="35">'6.3.1.1-2 Leach runoff pasture'!$N$44:$O$46</definedName>
    <definedName name="M1_Table_E_N2O">'5.1.1.1-2 Inorganic fert N2O'!$D$59:$E$78</definedName>
    <definedName name="M1_Table_E_N2O_Consumer_1" localSheetId="35">'6.3.1.1-2 Leach runoff pasture'!$D$44:$E$46</definedName>
    <definedName name="M1_Table_E_N2O_dir">'4.3.1.3-4 Direct N20'!$D$277:$J$285</definedName>
    <definedName name="M1_Table_E_N2O_dir_Consumer_1">'4.3.1.9 Soil direct N2O'!$D$50:$J$51</definedName>
    <definedName name="M1_Table_EF_N2O_leach">'4.3.1.6-7 Leaching and runoff'!$D$48:$J$50</definedName>
    <definedName name="M1_Table_FVS_j_m">'4.3.1.1-2 Methane'!$O$172:$U$179</definedName>
    <definedName name="M1_Table_FVS_j_m_Consumer_1">'4.3.1.1-2 Methane'!$D$172:$J$179</definedName>
    <definedName name="M1_Table_FVS_j_m4">'4.3.1.1-2 Methane'!$D$204:$J$206</definedName>
    <definedName name="M1_Table_I_j" localSheetId="19">'3.3.1.1-2 Enteric Methane'!$D$114:$H$115</definedName>
    <definedName name="M1_Table_I_j">'4.3.1.1-2 Methane'!$D$113:$H$114</definedName>
    <definedName name="M1_Table_I_j_Consumer_1">'4.3.1.3-4 Direct N20'!$D$49:$H$50</definedName>
    <definedName name="M1_Table_L_j">'4.3.1.3-4 Direct N20'!$D$64:$H$65</definedName>
    <definedName name="M1_Table_LWG_j" localSheetId="19">'3.3.1.1-2 Enteric Methane'!$D$104:$H$105</definedName>
    <definedName name="M1_Table_LWG_j">'4.3.1.3-4 Direct N20'!$D$97:$H$98</definedName>
    <definedName name="M1_Table_LWG_j_Consumer_1">'4.3.1.1-2 Methane'!$D$103:$H$104</definedName>
    <definedName name="M1_Table_M_j">'3.3.1.1-2 Enteric Methane'!$D$131:$H$132</definedName>
    <definedName name="M1_Table_M_leach_cp" localSheetId="35">'6.3.1.1-2 Leach runoff pasture'!$D$23:$I$25</definedName>
    <definedName name="M1_Table_M_leach_M14">'4.3.1.12-13 Soil leach runoff'!$D$27:$J$28</definedName>
    <definedName name="M1_Table_M_vol_m14">'4.3.1.10-11 Soil Atmos Dep'!$D$23:$J$24</definedName>
    <definedName name="M1_Table_MI_j" localSheetId="19">'3.3.1.1-2 Enteric Methane'!$D$79:$H$80</definedName>
    <definedName name="M1_Table_MI_j">'4.3.1.1-2 Methane'!$D$78:$H$79</definedName>
    <definedName name="M1_Table_MI_j_Consumer_1">'4.3.1.3-4 Direct N20'!$D$59:$H$60</definedName>
    <definedName name="M1_Table_MMS_j_m">'4.3.1.3-4 Direct N20'!$D$230:$J$238</definedName>
    <definedName name="M1_Table_MMS_j_m_Consumer_1">'4.3.1.1-2 Methane'!$D$150:$J$157</definedName>
    <definedName name="M1_Table_MMS_j_m14">'4.3.1.9 Soil direct N2O'!$D$24:$J$25</definedName>
    <definedName name="M1_Table_MMS_j_m4">'4.3.1.1-2 Methane'!$D$198:$J$200</definedName>
    <definedName name="M1_Table_MN_atmos">'4.3.1.5 Atmos deposition'!$D$39:$J$47</definedName>
    <definedName name="M1_Table_MN_j_m">'4.3.1.3-4 Direct N20'!$D$242:$J$250</definedName>
    <definedName name="M1_Table_MN_j_m_Consumer_1">'4.3.1.5 Atmos deposition'!$D$18:$J$26</definedName>
    <definedName name="M1_Table_MN_j_m_Consumer_2">'4.3.1.8 Manure applied to soils'!$D$39:$J$47</definedName>
    <definedName name="M1_Table_MN_j_m14">'4.3.1.9 Soil direct N2O'!$D$30:$J$31</definedName>
    <definedName name="M1_Table_MN_j_m14_Consumer_1">'4.3.1.10-11 Soil Atmos Dep'!$D$18:$J$19</definedName>
    <definedName name="M1_Table_MN_j_m14_Consumer_2">'4.3.1.12-13 Soil leach runoff'!$D$22:$J$23</definedName>
    <definedName name="M1_Table_MN_j_m4">'4.3.1.6-7 Leaching and runoff'!$D$22:$J$24</definedName>
    <definedName name="M1_Table_MN_leach_j_m">'4.3.1.8 Manure applied to soils'!$D$51:$J$59</definedName>
    <definedName name="M1_Table_MN_leach_j_m4">'4.3.1.6-7 Leaching and runoff'!$D$28:$J$30</definedName>
    <definedName name="M1_Table_MN_soil_scope1">'4.3.1.8 Manure applied to soils'!$D$75:$J$83</definedName>
    <definedName name="M1_Table_MN_soil_scope3">'4.3.1.8 Manure applied to soils'!$D$105:$J$113</definedName>
    <definedName name="M1_Table_MNSoil_scope3_fert">'4.3.1.8 Manure applied to soils'!$D$138:$J$146</definedName>
    <definedName name="M1_Table_MP_j_from_solids" localSheetId="19">'3.3.1.1-2 Enteric Methane'!$D$49:$H$50</definedName>
    <definedName name="M1_Table_MP_j_from_solids">'4.3.1.1-2 Methane'!$D$49:$H$50</definedName>
    <definedName name="M1_Table_MP_j_from_solids_Consumer_1">'4.3.1.3-4 Direct N20'!$D$87:$H$88</definedName>
    <definedName name="M1_Table_MPW_j35">'3.3.1.1-2 Enteric Methane'!$D$174:$E$175</definedName>
    <definedName name="M1_Table_MS_j" localSheetId="19">'3.3.1.1-2 Enteric Methane'!$D$44:$H$45</definedName>
    <definedName name="M1_Table_MS_j">'4.3.1.1-2 Methane'!$D$44:$H$45</definedName>
    <definedName name="M1_Table_NE_j">'4.3.1.3-4 Direct N20'!$D$145:$H$146</definedName>
    <definedName name="M1_Table_NR_j">'4.3.1.3-4 Direct N20'!$D$102:$H$103</definedName>
    <definedName name="M1_Table_qm_j" localSheetId="19">'3.3.1.1-2 Enteric Methane'!$D$23:$H$24</definedName>
    <definedName name="M1_Table_qm_j">'4.3.1.1-2 Methane'!$D$23:$H$24</definedName>
    <definedName name="M1_Table_SS_m">'4.3.1.1-2 Methane'!$D$161:$F$168</definedName>
    <definedName name="M1_Table_VS_j">'4.3.1.1-2 Methane'!$D$132:$H$133</definedName>
    <definedName name="M1_Table_W_j" localSheetId="19">'3.3.1.1-2 Enteric Methane'!$D$99:$H$100</definedName>
    <definedName name="M1_Table_W_j">'4.3.1.3-4 Direct N20'!$D$18:$H$19</definedName>
    <definedName name="M1_Table_W_j_Consumer_1">'4.3.1.1-2 Methane'!$D$98:$H$99</definedName>
    <definedName name="M1_Table_Z_j">'4.3.1.3-4 Direct N20'!$N$28:$R$29</definedName>
    <definedName name="M1_Table_Z_j_Consumer_1">'4.3.1.3-4 Direct N20'!$D$28:$H$29</definedName>
    <definedName name="M2_Table_AE_j">'4.3.1.9 Soil direct N2O'!$O$18:$S$19</definedName>
    <definedName name="M2_Table_AE_j124">'4.3.1.3-4 Direct N20'!$N$175:$R$176</definedName>
    <definedName name="M2_Table_CP_j">'4.3.1.3-4 Direct N20'!$N$120:$R$121</definedName>
    <definedName name="M2_Table_CPI_j">'4.3.1.3-4 Direct N20'!$N$125:$R$126</definedName>
    <definedName name="M2_Table_D_j" localSheetId="19">'3.3.1.1-2 Enteric Methane'!$M$164:$Q$165</definedName>
    <definedName name="M2_Table_D_j">'4.3.1.1-2 Methane'!$O$274:$S$275</definedName>
    <definedName name="M2_Table_D_j124">'4.3.1.3-4 Direct N20'!$N$170:$R$171</definedName>
    <definedName name="M2_Table_DMD_j" localSheetId="19">'3.3.1.1-2 Enteric Methane'!$M$18:$Q$19</definedName>
    <definedName name="M2_Table_DMD_j">'4.3.1.1-2 Methane'!$O$18:$S$19</definedName>
    <definedName name="M2_Table_DPW_j">'3.3.1.1-2 Enteric Methane'!$M$169:$Q$170</definedName>
    <definedName name="M2_Table_E_N2O_dir">'4.3.1.3-4 Direct N20'!$N$277:$T$285</definedName>
    <definedName name="M2_Table_E_N2O_dir_Consumer_1">'4.3.1.9 Soil direct N2O'!$O$50:$U$51</definedName>
    <definedName name="M2_Table_EF_N2O_leach">'4.3.1.6-7 Leaching and runoff'!$O$48:$U$50</definedName>
    <definedName name="M2_Table_FertApplications">'5.1.1.1-2 Inorganic fert N2O'!$M$10:$W$25</definedName>
    <definedName name="M2_Table_FVS_j_m4">'4.3.1.1-2 Methane'!$O$204:$U$206</definedName>
    <definedName name="M2_Table_I_j" localSheetId="19">'3.3.1.1-2 Enteric Methane'!$M$114:$Q$115</definedName>
    <definedName name="M2_Table_I_j">'4.3.1.1-2 Methane'!$O$113:$S$114</definedName>
    <definedName name="M2_Table_I_j_Consumer_1">'4.3.1.3-4 Direct N20'!$N$49:$R$50</definedName>
    <definedName name="M2_Table_L_j">'4.3.1.3-4 Direct N20'!$N$64:$R$65</definedName>
    <definedName name="M2_Table_LWG_j" localSheetId="19">'3.3.1.1-2 Enteric Methane'!$M$104:$Q$105</definedName>
    <definedName name="M2_Table_LWG_j">'4.3.1.3-4 Direct N20'!$N$97:$R$98</definedName>
    <definedName name="M2_Table_LWG_j_Consumer_1">'4.3.1.1-2 Methane'!$O$103:$S$104</definedName>
    <definedName name="M2_Table_M_j">'3.3.1.1-2 Enteric Methane'!$M$131:$Q$132</definedName>
    <definedName name="M2_Table_M_leach_cp" localSheetId="35">'6.3.1.1-2 Leach runoff pasture'!$N$23:$S$23</definedName>
    <definedName name="M2_Table_M_leach_M14">'4.3.1.12-13 Soil leach runoff'!$O$27:$U$28</definedName>
    <definedName name="M2_Table_M_vol_m14">'4.3.1.10-11 Soil Atmos Dep'!$O$23:$U$24</definedName>
    <definedName name="M2_Table_MI_j" localSheetId="19">'3.3.1.1-2 Enteric Methane'!$M$79:$Q$80</definedName>
    <definedName name="M2_Table_MI_j">'4.3.1.1-2 Methane'!$O$78:$S$79</definedName>
    <definedName name="M2_Table_MMS_j_m">'4.3.1.3-4 Direct N20'!$N$230:$T$238</definedName>
    <definedName name="M2_Table_MMS_j_m_Consumer_1">'4.3.1.1-2 Methane'!$O$150:$U$157</definedName>
    <definedName name="M2_Table_MMS_j_m14">'4.3.1.9 Soil direct N2O'!$O$24:$U$25</definedName>
    <definedName name="M2_Table_MMS_j_m4">'4.3.1.1-2 Methane'!$O$198:$U$200</definedName>
    <definedName name="M2_Table_MN_atmos">'4.3.1.5 Atmos deposition'!$O$39:$U$47</definedName>
    <definedName name="M2_Table_MN_j_m">'4.3.1.3-4 Direct N20'!$N$242:$T$250</definedName>
    <definedName name="M2_Table_MN_j_m_Consumer_1">'4.3.1.5 Atmos deposition'!$O$18:$U$26</definedName>
    <definedName name="M2_Table_MN_j_m_Consumer_2">'4.3.1.8 Manure applied to soils'!$O$39:$U$47</definedName>
    <definedName name="M2_Table_MN_j_m14">'4.3.1.9 Soil direct N2O'!$O$30:$U$31</definedName>
    <definedName name="M2_Table_MN_j_m14_Consumer_1">'4.3.1.10-11 Soil Atmos Dep'!$O$18:$U$19</definedName>
    <definedName name="M2_Table_MN_j_m14_Consumer_2">'4.3.1.12-13 Soil leach runoff'!$O$22:$U$23</definedName>
    <definedName name="M2_Table_MN_j_m4">'4.3.1.6-7 Leaching and runoff'!$O$22:$U$24</definedName>
    <definedName name="M2_Table_MN_leach_j_m">'4.3.1.8 Manure applied to soils'!$O$51:$U$59</definedName>
    <definedName name="M2_Table_MN_leach_j_m4">'4.3.1.6-7 Leaching and runoff'!$O$28:$U$30</definedName>
    <definedName name="M2_Table_MN_soil_scope1">'4.3.1.8 Manure applied to soils'!$O$75:$U$83</definedName>
    <definedName name="M2_Table_MN_soil_scope3">'4.3.1.8 Manure applied to soils'!$O$105:$U$113</definedName>
    <definedName name="M2_Table_MNSoil_scope3_fert">'4.3.1.8 Manure applied to soils'!$O$138:$U$146</definedName>
    <definedName name="M2_Table_MP_j_from_solids" localSheetId="19">'3.3.1.1-2 Enteric Methane'!$M$49:$Q$50</definedName>
    <definedName name="M2_Table_MP_j_from_solids">'4.3.1.1-2 Methane'!$O$49:$S$50</definedName>
    <definedName name="M2_Table_MP_j_from_solids_Consumer_1">'4.3.1.3-4 Direct N20'!$N$87:$R$88</definedName>
    <definedName name="M2_Table_NE_j">'4.3.1.3-4 Direct N20'!$N$145:$R$146</definedName>
    <definedName name="M2_Table_NR_j">'4.3.1.3-4 Direct N20'!$N$102:$R$103</definedName>
    <definedName name="M2_Table_qm_j" localSheetId="19">'3.3.1.1-2 Enteric Methane'!$M$23:$Q$24</definedName>
    <definedName name="M2_Table_qm_j">'4.3.1.1-2 Methane'!$O$23:$S$24</definedName>
    <definedName name="M2_Table_SS_m">'4.3.1.1-2 Methane'!$O$161:$Q$168</definedName>
    <definedName name="M2_Table_VS_j">'4.3.1.1-2 Methane'!$O$132:$S$133</definedName>
    <definedName name="M2_Table_W_j" localSheetId="19">'3.3.1.1-2 Enteric Methane'!$M$99:$Q$100</definedName>
    <definedName name="M2_Table_W_j">'4.3.1.3-4 Direct N20'!$N$18:$R$19</definedName>
    <definedName name="M2_Table_W_j_Consumer_1">'4.3.1.1-2 Methane'!$O$98:$S$99</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frigerants_Equations.VEERG_9_1_1__1_RefrigerantLeaking">_xlfn.LAMBDA(_xlpm.charge_Ra,_xlpm.leakagerate_a, (_xlpm.charge_Ra * (_xlpm.leakagerate_a / 100)) * 10 ^ -3)</definedName>
    <definedName name="Refrigerants_Equations.VEERG_9_1_1__1_RefrigerantLeaking_Arguments">_xlfn.LAMBDA(_xlfn.MAKEARRAY(4, 4, _xlfn.LAMBDA(_xlpm.r,_xlpm.c, INDEX({"charge_Ra","Amount of refrigerant R contained in appliance a","kg","Input";"leakagerate_a","Prcentage of total charge leaked from appliance a each year","Percent","Constant";"a","Appliance type","","Input";"R","Refrigerant","","Input"}, _xlpm.r, _xlpm.c))))</definedName>
    <definedName name="Refrigerants_Equations.VEERG_9_1_1__1_RefrigerantLeaking_LatexEquation">_xlfn.LAMBDA("E_R = \sum\nolimits_a \left( charge_{Ra} \times \frac{leakage\,rate_a}{100} \right) \times 10^{-3}")</definedName>
    <definedName name="Refrigerants_Equations.VEERG_9_1_1__1_RefrigerantLeaking_ReadableEquation">_xlfn.LAMBDA("charge_Ra * (leakagerate_a/100) * 10 ^ - 3")</definedName>
    <definedName name="Refrigerants_Equations.VEERG_9_1_1__1_RefrigerantLeaking_Source">_xlfn.LAMBDA("VEERG 2026: 9.1.1, Equation (1)")</definedName>
    <definedName name="Refrigerants_Equations.VEERG_9_1_1__1_RefrigerantLeaking_Title">_xlfn.LAMBDA("The total emissions of refrigerant leaking during operation (not during installation or disposal)")</definedName>
    <definedName name="Refrigerants_Equations.VEERG_9_1_1__1_RefrigerantLeaking_Unit">_xlfn.LAMBDA("t refrigerant gas")</definedName>
    <definedName name="Refrigerants_Equations.VEERG_9_1_1__1_RefrigerantLeaking_Variable">_xlfn.LAMBDA("E_R")</definedName>
    <definedName name="Refrigerants_Equations.VEERG_9_1_1__1_RefrigerantLeaking_Variation">_xlfn.LAMBDA("VARIATION ON SOURCE: Added equation to convert refrigerant R to CO2-e using the refrigerant's global warming potential (GWP).")</definedName>
    <definedName name="Refrigerants_Equations.VEERG_9_1_1__1_RefrigerantLeakingGWP">_xlfn.LAMBDA(_xlpm.E_R,_xlpm.GWP_R, ((_xlpm.E_R * 10 ^ 3) * _xlpm.GWP_R) * 10 ^ -3)</definedName>
    <definedName name="Refrigerants_Equations.VEERG_9_1_1__1_RefrigerantLeakingGWP_Arguments">_xlfn.LAMBDA(_xlfn.MAKEARRAY(2, 4, _xlfn.LAMBDA(_xlpm.r,_xlpm.c, INDEX({"E_R","Total emissions of refrigerant R","t refrigerant gas","Calculated from 9.1.1 (1)";"GWP_R","Global warming potential of refrigerant R","Dimensionless","Constant"}, _xlpm.r, _xlpm.c))))</definedName>
    <definedName name="Refrigerants_Equations.VEERG_9_1_1__1_RefrigerantLeakingGWP_LatexEquation">_xlfn.LAMBDA("E_CO2e = \left(E_R \times 10^{3} \right) \times GWP_R \times 10^{-3}")</definedName>
    <definedName name="Refrigerants_Equations.VEERG_9_1_1__1_RefrigerantLeakingGWP_Source">_xlfn.LAMBDA("Australian National Greenhouse Accounts Factors 2025 - 3.1 Estimating industrial processes emissions - Refrigerant leakage")</definedName>
    <definedName name="Refrigerants_Equations.VEERG_9_1_1__1_RefrigerantLeakingGWP_Title">_xlfn.LAMBDA("Refrigerant leakage emissions converted to CO2-e")</definedName>
    <definedName name="Refrigerants_Equations.VEERG_9_1_1__1_RefrigerantLeakingGWP_Unit">_xlfn.LAMBDA("t CO2-e")</definedName>
    <definedName name="Refrigerants_Equations.VEERG_9_1_1__1_RefrigerantLeakingGWP_Variable">_xlfn.LAMBDA("E_CO2e")</definedName>
    <definedName name="Refrigerants_InputFunctions.Refrigerants_CalculateBlendGWP">_xlfn.LAMBDA(_xlpm.ConstituentFaction1,_xlpm.ConstituentGWP1,_xlpm.ConstituentFaction2,_xlpm.ConstituentGWP2,_xlpm.ConstituentFaction3,_xlpm.ConstituentGWP3,_xlpm.ConstituentFaction4,_xlpm.ConstituentGWP4, (_xlpm.ConstituentFaction1 * _xlpm.ConstituentGWP1) + (_xlpm.ConstituentFaction2 * _xlpm.ConstituentGWP2) + (_xlpm.ConstituentFaction3 * _xlpm.ConstituentGWP3) + (_xlpm.ConstituentFaction4 * _xlpm.ConstituentGWP4))</definedName>
    <definedName name="Refrigerants_SourceData.Refrigerants_ChemicalBlends_Data">_xlfn.LAMBDA(_xlfn.MAKEARRAY(51, 3, _xlfn.LAMBDA(_xlpm.r,_xlpm.c, INDEX({"Blend","Constituents","Composition (%)";"R-400","CFC-12/CFC-114","R-400 can have various proportions of CFC-12 and CFC-114. The exact composition needs to be specified, e.g., R-400 (60/40).";"R-401A","HCFC-22/HFC-152a/HCFC-124","(53.0/13.0/34.0)";"R-401B","HCFC-22/HFC-152a/HCFC-124","(61.0/11.0/28.0)";"R-401C","HCFC-22/HFC-152a/HCFC-124","(33.0/15.0/52.0)";"R-402A","HFC-125/HC-290/HCFC-22","(60.0/2.0/38.0)";"R-402B","HFC-125/HC-290/HCFC-22","(38.0/2.0/60.0)";"R-403A","HC-290/HCFC-22/PFC-218","(5.0/75.0/20.0)";"R-403B","HC-290/HCFC-22/PFC-218","(5.0/56.0/39.0)";"R-404A","HFC-125/HFC-143a/HFC-134a","(44.0/52.0/4.0)";"R-405A","HCFC-22/ HFC-152a/HCFC-142b/PFC-318","(45.0/7.0/5.5/42.5)";"R-406A","HCFC-22/HC-600a/HCFC-142b","(55.0/14.0/41.0)";"R-407A","HFC-32/HFC-125/HFC-134a","(20.0/40.0/40.0)";"R-407B","HFC-32/HFC-125/HFC-134a","(10.0/70.0/20.0)";"R-407C","HFC-32/HFC-125/HFC-134a","(23.0/25.0/52.0)";"R-407D","HFC-32/HFC-125/HFC-134a","(15.0/15.0/70.0)";"R-407E","HFC-32/HFC-125/HFC-134a","(25.0/15.0/60.0)";"R-408A","HFC-125/HFC-143a/HCFC-22","(7.0/46.0/47.0)";"R-409A","HCFC-22/HCFC-124/HCFC-142b","(60.0/25.0/15.0)";"R-409B","HCFC-22/HCFC-124/HCFC-142b","(65.0/25.0/10.0)";"R-410A","HFC-32/HFC-125","(50.0/50.0)";"R-410B","HFC-32/HFC-125","(45.0/55.0)";"R-411A","HC-1270/HCFC-22/HFC-152a","(1.5/87.5/11.0)";"R-411B","HC-1270/HCFC-22/HFC-152a","(3.0/94.0/3.0)";"R-411C","HC-1270/HCFC-22/HFC-152a","(3.0/95.5/1.5)";"R-412A","HCFC-22/PFC-218/HCFC-142b","(70.0/5.0/25.0)";"R-413A","PFC-218/HFC-134a/HC-600a","(9.0/88.0/3.0)";"R-414A","HCFC-22/HCFC-124/HC-600a/HCFC-142b","(51.0/28.5/4.0/16.5)";"R-414B","HCFC-22/HCFC-124/HC-600a/HCFC-142b","(50.0/39.0/1.5/9.5)";"R-415A","HCFC-22/HFC-152a","(82.0/18.0)";"R-415B","HCFC-22/HFC-152a","(25.0/75.0)";"R-416A","HFC-134a/HCFC-124/HC-600","(59.0/39.5/1.5)";"R-417A","HFC-125/HFC-134a/HC-600","(46.6/50.0/3.4)";"R-418A","HC-290/HCFC-22/HFC-152a","(1.5/96.0/2.5)";"R-419A","HFC-125/HFC-134a/HE-E170","(77.0/19.0/4.0)";"R-420A","HFC-134a/HCFC-142b","(88.0/12.0)";"R-421A","HFC-125/HFC-134a","(58.0/42.0)";"R-422A","HFC-125/HFC-134a/HC-600a","(85.1/11.5/3.4)";"R-422B","HFC-125/HFC-134a/HC-600a","(55.0/42.0/3.0)";"R-422C","HFC-125/HFC-134a/HC-600a","(82.0/15.0/3.0)";"R-500","CFC-12/HFC-152a","(73.8/26.2)";"R-501","HCFC-22/CFC-12","(75.0/25.0)";"R-502","HCFC-22/CFC-115","(48.8/51.2)";"R-503","HFC-23/CFC-13","(40.1/59.9)";"R-504","HFC-32/CFC-115","(48.2/51.8)";"R-505","CFC-12/HCFC-31","(78.0/22.0)";"R-506","CFC-31/CFC-114","(55.1/44.9)";"R-507A","HFC-125/HFC-143a","(50.0/50.0)";"R-508A","HFC-23/PFC-116","(39.0/61.0)";"R-508B","HFC-23/PFC-116","(46.0/54.0)";"R-509A","HCFC-22/PFC-218","(44.0/56.0)"}, _xlpm.r, _xlpm.c))))</definedName>
    <definedName name="Refrigerants_SourceData.Refrigerants_ChemicalBlends_Description">_xlfn.LAMBDA((""))</definedName>
    <definedName name="Refrigerants_SourceData.Refrigerants_ChemicalBlends_Source">_xlfn.LAMBDA(("Australian National Greenhouse Accounts Factors 2025 - Appendix 2 - Table 24"))</definedName>
    <definedName name="Refrigerants_SourceData.Refrigerants_ChemicalBlends_Title">_xlfn.LAMBDA(("Blended refrigerants (many containing HFCS and/or PFCS)"))</definedName>
    <definedName name="Refrigerants_SourceData.Refrigerants_ChemicalBlends_Variation">_xlfn.LAMBDA(("VARIATION OF SOURCE DATA: Fixed typo - changed HC600a to HC-600a for blend R-414B. Fixed typo for blend R-405A - Changed HCFC142b to HCFC-142b."))</definedName>
    <definedName name="Refrigerants_SourceData.Refrigerants_ChemicalGWP_Data">_xlfn.LAMBDA(_xlfn.MAKEARRAY(39, 5, _xlfn.LAMBDA(_xlpm.r,_xlpm.c, INDEX({"Gas","Chemical formula","Global Warming Potential (AR5)","Gas - FC name","Aditional data source";"Carbon dioxide","CO2",1,"CO2","";"Methane","CH4",28,"CH4","";"Nitrous oxide","N2O",265,"N2O","";"Sulphur hexafluoride","SF6",23500,"SF6","";"HFC-23 (R-23)","CHF3",12400,"HFC-23","";"HFC-32 (R-32)","CH2F2",677,"HFC-32","";"HFC-41 (R-41)","CH3F",116,"HFC-41","";"HFC-43-10mee (R-4310mee)","C5H2F10",1650,"HFC-43-10mee","";"HFC-125 (R-125)","C2HF5",3170,"HFC-125","";"HFC-134 (R-134)","C2H2F4 (CHF2CHF2)",1120,"HFC-134","";"HFC-134a (R-134a)","C2H2F4 (CH2FCF3)",1300,"HFC-134a","";"HFC-143 (R-143)","C2H3F3 (CHF2CH2F)",328,"HFC-143","";"HFC-143a (R-143a)","C2H3F3 (CF3CH3)",4800,"HFC-143a","";"HFC-152a (R-152a)","C2H4F2 (CH3CHF2)",138,"HFC-152a","";"HFC-227ea (R-227ea)","C3HF7",3350,"HFC-227ea","";"HFC-236fa (R-236fa)","C3H2F6",8060,"HFC-236fa","";"HFC-245ca (R-245ca)","C3H3F5",716,"HFC-245ca","";"HFC-245fa (R-245fa)","CHF2CH2CF3",858,"HFC-245fa","";"HFC-365mfc (R-365mfc)","CH3CF2CH2CF3",804,"HFC-365mfc","";"HCFC-22 (R-22)","CHClF2",1760,"HCFC-22","";"HCFC-123 (R-123)","CHCl22CF3",79,"HCFC-123","";"HCFC-124 (R-124)","CHClFCF3",527,"HCFC-124","";"HCFC-141b (R-141b)","CH3CCl2F",782,"HCFC-141b","";"HCFC-142b (R-142b)","CH2CClF2",1980,"HCFC-142b","";"HCFC-225ca (R-225ca)","CHCl2CF2CF3",127,"HCFC-225ca","";"HCFC-225cb (R-225cb)","CHClFCF2CCIF2",525,"HCFC-225cb","";"PFC-14 Perfluoromethane (tetrafluoromethane)","CF4",6630,"PFC-14","";"PFC-116 Perfluoroethane (hexafluoroethane)","C2F6",11100,"PFC-116","";"PFC-218 Perfluoropropane","C3F8",8900,"PFC-218","";"PFC-31-10 Perfluorobutane","C4F10",9200,"PFC-31-10","";"PFC-318 Perfluorocyclobutane","c-C4F8",9540,"PFC-318","";"PFC-41-12 Perfluoropentane","C5F12",8550,"PFC-41-12","";"PFC-51-14 Perfluorohexane","C6F14",7910,"PFC-51-14","";"PFC-91-18 Perflunafene","C10F18",7190,"PFC-91-18","";"CFC-12","CCl2F2",10200,"CFC-12","IPCC Global Warming Potential Values v2.0 - (AR5)";"CFC-13","CClF3",13900,"CFC-13","IPCC Global Warming Potential Values v2.0 - (AR5)";"CFC-114","CClF2CClF2",8590,"CFC-114","IPCC Global Warming Potential Values v2.0 - (AR5)";"CFC-115","CClF2CF3",7670,"CFC-115","IPCC Global Warming Potential Values v2.0 - (AR5)"}, _xlpm.r, _xlpm.c))))</definedName>
    <definedName name="Refrigerants_SourceData.Refrigerants_ChemicalGWP_Description">_xlfn.LAMBDA((""))</definedName>
    <definedName name="Refrigerants_SourceData.Refrigerants_ChemicalGWP_Source">_xlfn.LAMBDA(("Australian National Greenhouse Accounts Factors 2025 - Appendix 2 - Table 23"))</definedName>
    <definedName name="Refrigerants_SourceData.Refrigerants_ChemicalGWP_Title">_xlfn.LAMBDA(("Global Warming Potentials"))</definedName>
    <definedName name="Refrigerants_SourceData.Refrigerants_ChemicalGWP_Variation">_xlfn.LAMBDA(("VARIATION OF SOURCE DATA: Added 'GAS - FC name' column with truncated gas name to allow matching with other tables. Added extra gases from IPCC Global Warming Potential Values v2.0 - (AR5). Added 'Additional data source' column."))</definedName>
    <definedName name="Refrigerants_SourceData.Refrigerants_LeakageRates_Data">_xlfn.LAMBDA(_xlfn.MAKEARRAY(8, 2, _xlfn.LAMBDA(_xlpm.r,_xlpm.c, INDEX({"Product","Annual leakage rate (%)";"Domestic refrigerators",1.7;"Transport refrigeration",15.7;"Domestic A/C portable",2.5;"Domestic A/C split",3.5;"Domestic A/C packaged",2.5;"Light vehicle A/C",6.7;"Heavy vehicle A/C",10.8}, _xlpm.r, _xlpm.c))))</definedName>
    <definedName name="Refrigerants_SourceData.Refrigerants_LeakageRates_Description">_xlfn.LAMBDA((""))</definedName>
    <definedName name="Refrigerants_SourceData.Refrigerants_LeakageRates_Source">_xlfn.LAMBDA(("Australian National Greenhouse Accounts Factors 2025 - Table 10"))</definedName>
    <definedName name="Refrigerants_SourceData.Refrigerants_LeakageRates_Title">_xlfn.LAMBDA(("Indicative leakage rates for common refrigeration and air - conditioning equipment"))</definedName>
    <definedName name="Refrigerants_SourceData.Refrigerants_LeakageRates_Variation">_xlfn.LAMBDA((""))</definedName>
    <definedName name="Result_CarbonRemovalsFromPlantings">'Results - Activity period'!$E$99</definedName>
    <definedName name="Result_EmissionsForWholeProductionCycle_Gross_Method1">'Results - Activity period'!$E$82</definedName>
    <definedName name="Result_EmissionsForWholeProductionCycle_Gross_Method2">'Results - Activity period'!$F$82</definedName>
    <definedName name="Result_EmissionsForWholeProductionCycle_Method1">'Results - Activity period'!$E$88</definedName>
    <definedName name="Result_EmissionsForWholeProductionCycle_Method2">'Results - Activity period'!$F$88</definedName>
    <definedName name="Result_EmissionsForWholeProductionCycle_Net_Method1">'Results - Activity period'!$E$83</definedName>
    <definedName name="Result_EmissionsForWholeProductionCycle_Net_Method2">'Results - Activity period'!$F$83</definedName>
    <definedName name="Result_Enterprise_Gross_Method1">'Results - Activity period'!$E$82</definedName>
    <definedName name="Result_Enterprise_Gross_Method2">'Results - Activity period'!$F$82</definedName>
    <definedName name="Result_Enterprise_Method1">Results!$H$25</definedName>
    <definedName name="Result_Enterprise_Method2">Results!$I$25</definedName>
    <definedName name="Result_Enterprise_Net_Method1">'Results - Activity period'!$E$83</definedName>
    <definedName name="Result_Enterprise_Net_Method2">'Results - Activity period'!$F$82</definedName>
    <definedName name="Result_Enterprise_Removals">'Results - Activity period'!$E$76</definedName>
    <definedName name="Result_Enterprise_Scope1_Method1">'Results - Activity period'!$H$43</definedName>
    <definedName name="Result_Enterprise_Scope1_Method2">'Results - Activity period'!$I$43</definedName>
    <definedName name="Result_Enterprise_Scope2_Method1">'Results - Activity period'!$H$50</definedName>
    <definedName name="Result_Enterprise_Scope2_Method2">'Results - Activity period'!$I$50</definedName>
    <definedName name="Result_Enterprise_Scope3_Method1">'Results - Activity period'!$H$71</definedName>
    <definedName name="Result_Enterprise_Scope3_Method2">'Results - Activity period'!$I$65</definedName>
    <definedName name="Result_NetEmissions_Method1">'Results - Activity period'!$E$105</definedName>
    <definedName name="Result_NetEmissions_Method2">'Results - Activity period'!$F$105</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 localSheetId="41">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42">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49">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13">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14">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7">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16">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15">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18">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 localSheetId="41">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42">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49">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13">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14">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7">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16">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15">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18">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 localSheetId="41">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42">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49">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13">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14">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7">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16">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15">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18">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
  )</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 localSheetId="41">_xlfn.LAMBDA(_xlpm.E_N2O,_xlpm.E_ad,_xlpm.E_leach, _xlpm.E_N2O + _xlpm.E_ad + _xlpm.E_leach)</definedName>
    <definedName name="Scope3_Equations.VEERG_15_13_1_3__1_EmissionsFromSolidWasteTreatmentFacility" localSheetId="42">_xlfn.LAMBDA(_xlpm.E_N2O,_xlpm.E_ad,_xlpm.E_leach, _xlpm.E_N2O + _xlpm.E_ad + _xlpm.E_leach)</definedName>
    <definedName name="Scope3_Equations.VEERG_15_13_1_3__1_EmissionsFromSolidWasteTreatmentFacility" localSheetId="49">_xlfn.LAMBDA(_xlpm.E_N2O,_xlpm.E_ad,_xlpm.E_leach, _xlpm.E_N2O + _xlpm.E_ad + _xlpm.E_leach)</definedName>
    <definedName name="Scope3_Equations.VEERG_15_13_1_3__1_EmissionsFromSolidWasteTreatmentFacility" localSheetId="13">_xlfn.LAMBDA(_xlpm.E_N2O,_xlpm.E_ad,_xlpm.E_leach, _xlpm.E_N2O + _xlpm.E_ad + _xlpm.E_leach)</definedName>
    <definedName name="Scope3_Equations.VEERG_15_13_1_3__1_EmissionsFromSolidWasteTreatmentFacility" localSheetId="14">_xlfn.LAMBDA(_xlpm.E_N2O,_xlpm.E_ad,_xlpm.E_leach, _xlpm.E_N2O + _xlpm.E_ad + _xlpm.E_leach)</definedName>
    <definedName name="Scope3_Equations.VEERG_15_13_1_3__1_EmissionsFromSolidWasteTreatmentFacility" localSheetId="7">_xlfn.LAMBDA(_xlpm.E_N2O,_xlpm.E_ad,_xlpm.E_leach, _xlpm.E_N2O + _xlpm.E_ad + _xlpm.E_leach)</definedName>
    <definedName name="Scope3_Equations.VEERG_15_13_1_3__1_EmissionsFromSolidWasteTreatmentFacility" localSheetId="16">_xlfn.LAMBDA(_xlpm.E_N2O,_xlpm.E_ad,_xlpm.E_leach, _xlpm.E_N2O + _xlpm.E_ad + _xlpm.E_leach)</definedName>
    <definedName name="Scope3_Equations.VEERG_15_13_1_3__1_EmissionsFromSolidWasteTreatmentFacility" localSheetId="15">_xlfn.LAMBDA(_xlpm.E_N2O,_xlpm.E_ad,_xlpm.E_leach, _xlpm.E_N2O + _xlpm.E_ad + _xlpm.E_leach)</definedName>
    <definedName name="Scope3_Equations.VEERG_15_13_1_3__1_EmissionsFromSolidWasteTreatmentFacility" localSheetId="18">_xlfn.LAMBDA(_xlpm.E_N2O,_xlpm.E_ad,_xlpm.E_leach, _xlpm.E_N2O + _xlpm.E_ad + _xlpm.E_leach)</definedName>
    <definedName name="Scope3_Equations.VEERG_15_13_1_3__1_EmissionsFromSolidWasteTreatmentFacility">_xlfn.LAMBDA(_xlpm.E_N2O,_xlpm.E_ad,_xlpm.E_leach,
    _xlpm.E_N2O + _xlpm.E_ad + _xlpm.E_leach
  )</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 localSheetId="19">'Constants - Dairy'!$D$221</definedName>
    <definedName name="SourceData_Dairy_FatContentInMilk_Data">'Constants - Dairy'!$D$227</definedName>
    <definedName name="SourceData_Dairy_FracGASMSoil_Data">'Constants - Dairy'!$D$221</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 localSheetId="19">'Constants - Dairy'!$D$227</definedName>
    <definedName name="SourceData_Dairy_ProteinContentInMilk_Data">'Constants - Dairy'!$D$233</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
    _xlfn.MAKEARRAY(5, 2,
      _xlfn.LAMBDA(_xlpm.r,_xlpm.c,
        INDEX({"Livestock Class j","Average Liveweight (kg)";"Chicken",1.3;"Hen &gt;/=1 yr",2;"Pullets",1.4;"Broilers",1.2}, _xlpm.r, _xlpm.c)
      )
    )
  )</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E_ad_inorganic">'5.4.1.1-4 Atmos deposition'!$D$58:$F$77</definedName>
    <definedName name="Table_E_ad_organic">'5.4.1.1-4 Atmos deposition'!$D$133:$F$136</definedName>
    <definedName name="Table_E_CO2e">'9.1.1.1-2 Refrigerant use'!$D$61:$G$71</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E_R">'9.1.1.1-2 Refrigerant use'!$D$35:$E$39</definedName>
    <definedName name="Table_EF_m">'4.3.1.8 Manure applied to soils'!$D$21:$E$26</definedName>
    <definedName name="Table_EF_m_Consumer_1">'4.3.1.3-4 Direct N20'!$D$268:$E$273</definedName>
    <definedName name="Table_FracGASM_m">'4.3.1.8 Manure applied to soils'!$D$30:$E$35</definedName>
    <definedName name="Table_FracGASM_m_Consumer_1">'4.3.1.5 Atmos deposition'!$D$30:$E$35</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P_j" localSheetId="19">'3.3.1.1-2 Enteric Methane'!$D$74:$H$75</definedName>
    <definedName name="Table_MP_j">'4.3.1.3-4 Direct N20'!$D$92:$H$93</definedName>
    <definedName name="Table_MP_j_Consumer_1">'4.3.1.1-2 Methane'!$D$73:$H$74</definedName>
    <definedName name="Table_MPW_manure_j35">'4.3.1.1-2 Methane'!$D$279:$H$280</definedName>
    <definedName name="Table_MR_j" localSheetId="19">'3.3.1.1-2 Enteric Methane'!$D$109:$H$110</definedName>
    <definedName name="Table_MR_j">'4.3.1.3-4 Direct N20'!$D$54:$H$55</definedName>
    <definedName name="Table_MR_j_Consumer_1">'4.3.1.1-2 Methane'!$D$108:$H$109</definedName>
    <definedName name="Table_MU_j_f">'5.1.1.3-4 Inorganic fert CO2'!$D$18:$G$37</definedName>
    <definedName name="Table_N_j" localSheetId="19">'3.3.1.1-2 Enteric Methane'!$D$159:$H$160</definedName>
    <definedName name="Table_N_j">'4.3.1.3-4 Direct N20'!$D$165:$H$166</definedName>
    <definedName name="Table_N_j_Consumer_1">'4.3.1.1-2 Methane'!$D$269:$H$270</definedName>
    <definedName name="Table_NPW_j35">'4.3.1.3-4 Direct N20'!$D$197:$H$198</definedName>
    <definedName name="Table_PF_fert">'4.3.1.8 Manure applied to soils'!$D$126:$F$134</definedName>
    <definedName name="Table_PF_scope">'4.3.1.8 Manure applied to soils'!$D$63:$F$71</definedName>
    <definedName name="Table_V_w_t_offsite">'10.1.1-2 Solid waste treatment'!$D$58:$E$92</definedName>
    <definedName name="Table_V_w_t_onsite">'10.1.1-2 Solid waste treatment'!$D$20:$E$54</definedName>
    <definedName name="Table_WR_j">'4.3.1.3-4 Direct N20'!$D$23:$H$24</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3_3_1_1__1_TotalAnnualMethaneFromEntericFermentationVariation_Result_Method1">'3.3.1.1-2 Enteric Methane'!$E$182</definedName>
    <definedName name="VEERG_3_3_1_1__1_TotalAnnualMethaneFromEntericFermentationVariation_Result_Method2">'3.3.1.1-2 Enteric Methane'!$N$182</definedName>
    <definedName name="VEERG_4_3_1_1__1_TotalAnnualMethaneFromManureManagement_Result_Method1">'4.3.1.1-2 Methane'!$E$300</definedName>
    <definedName name="VEERG_4_3_1_1__1_TotalAnnualMethaneFromManureManagement_Result_Method2">'4.3.1.1-2 Methane'!$P$300</definedName>
    <definedName name="VEERG_4_3_1_10__1_AtmosphericDepositionEmissionsFromUrineAndDungOnPasture_Result_Method1">'4.3.1.10-11 Soil Atmos Dep'!$E$45</definedName>
    <definedName name="VEERG_4_3_1_10__1_AtmosphericDepositionEmissionsFromUrineAndDungOnPasture_Result_Method2">'4.3.1.10-11 Soil Atmos Dep'!$P$45</definedName>
    <definedName name="VEERG_4_3_1_12__1_LeachingAndRunoffEmissionsFromUrineAndDungOnPasture_Result_Method1">'4.3.1.12-13 Soil leach runoff'!$E$47</definedName>
    <definedName name="VEERG_4_3_1_12__1_LeachingAndRunoffEmissionsFromUrineAndDungOnPasture_Result_Method2">'4.3.1.12-13 Soil leach runoff'!$P$47</definedName>
    <definedName name="VEERG_4_3_1_3__1_TotalAnnualDirectNitrousOxideEmissionsFromMMS_Result_Method1">'4.3.1.3-4 Direct N20'!$E$287</definedName>
    <definedName name="VEERG_4_3_1_3__1_TotalAnnualDirectNitrousOxideEmissionsFromMMS_Result_Method2">'4.3.1.3-4 Direct N20'!$O$287</definedName>
    <definedName name="VEERG_4_3_1_5__1_AnnualAtmosphericDepositionEmissionsFromMMS_Result_Method1">'4.3.1.5 Atmos deposition'!$E$68</definedName>
    <definedName name="VEERG_4_3_1_5__1_AnnualAtmosphericDepositionEmissionsFromMMS_Result_Method2">'4.3.1.5 Atmos deposition'!$P$68</definedName>
    <definedName name="VEERG_4_3_1_6__1_AnnualEmissionsFromLeachingAndRunoffFromMMS_Result_Method1">'4.3.1.6-7 Leaching and runoff'!$E$52</definedName>
    <definedName name="VEERG_4_3_1_6__1_AnnualEmissionsFromLeachingAndRunoffFromMMS_Result_Method2">'4.3.1.6-7 Leaching and runoff'!$P$52</definedName>
    <definedName name="VEERG_4_3_1_6__2_MassOfNitrogenLostToLeachingAndRunoffFromSolidStorage_Result_Method1">'4.3.1.6-7 Leaching and runoff'!$E$52</definedName>
    <definedName name="VEERG_4_3_1_6__2_MassOfNitrogenLostToLeachingAndRunoffFromSolidStorage_Result_Method2">'4.3.1.6-7 Leaching and runoff'!$P$52</definedName>
    <definedName name="VEERG_4_3_1_8__1_MassOfNitrogenAppliedToSoilsScope1_Result_Method1">'4.3.1.8 Manure applied to soils'!$E$85</definedName>
    <definedName name="VEERG_4_3_1_8__1_MassOfNitrogenAppliedToSoilsScope1_Result_Method2">'4.3.1.8 Manure applied to soils'!$P$85</definedName>
    <definedName name="VEERG_4_3_1_8__2_MassOfNitrogenAppliedToSoilsScope3_Result_Method1">'4.3.1.8 Manure applied to soils'!$E$115</definedName>
    <definedName name="VEERG_4_3_1_8__2_MassOfNitrogenAppliedToSoilsScope3_Result_Method2">'4.3.1.8 Manure applied to soils'!$P$115</definedName>
    <definedName name="VEERG_4_3_1_9__1_DirectNitrousOxideEmissionsOnPasture_Result_Method1">'4.3.1.9 Soil direct N2O'!$E$53</definedName>
    <definedName name="VEERG_4_3_1_9__1_DirectNitrousOxideEmissionsOnPasture_Result_Method2">'4.3.1.9 Soil direct N2O'!$P$53</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 localSheetId="41">'Calcs - Manure sent off-site'!$E$55</definedName>
    <definedName name="VEERG_5_4_1_3__1_OrganicFertiliserAtmosphericDepositionN2OEmissions_Result_Method1" localSheetId="42">'Calcs - Manure sent off-site'!$E$55</definedName>
    <definedName name="VEERG_5_4_1_3__1_OrganicFertiliserAtmosphericDepositionN2OEmissions_Result_Method1" localSheetId="49">'Calcs - Manure sent off-site'!$E$55</definedName>
    <definedName name="VEERG_5_4_1_3__1_OrganicFertiliserAtmosphericDepositionN2OEmissions_Result_Method1" localSheetId="13">'Calcs - Manure sent off-site'!$E$55</definedName>
    <definedName name="VEERG_5_4_1_3__1_OrganicFertiliserAtmosphericDepositionN2OEmissions_Result_Method1" localSheetId="14">'Calcs - Manure sent off-site'!$E$55</definedName>
    <definedName name="VEERG_5_4_1_3__1_OrganicFertiliserAtmosphericDepositionN2OEmissions_Result_Method1" localSheetId="7">'Calcs - Manure sent off-site'!$E$55</definedName>
    <definedName name="VEERG_5_4_1_3__1_OrganicFertiliserAtmosphericDepositionN2OEmissions_Result_Method1" localSheetId="16">'Calcs - Manure sent off-site'!$E$55</definedName>
    <definedName name="VEERG_5_4_1_3__1_OrganicFertiliserAtmosphericDepositionN2OEmissions_Result_Method1" localSheetId="15">'Calcs - Manure sent off-site'!$E$55</definedName>
    <definedName name="VEERG_5_4_1_3__1_OrganicFertiliserAtmosphericDepositionN2OEmissions_Result_Method1" localSheetId="18">'Calcs - Manure sent off-site'!$E$55</definedName>
    <definedName name="VEERG_5_4_1_3__1_OrganicFertiliserAtmosphericDepositionN2OEmissions_Result_Method1">'5.4.1.1-4 Atmos deposition'!$E$146</definedName>
    <definedName name="VEERG_5_4_1_3__1_OrganicFertiliserAtmosphericDepositionN2OEmissions_Result_Method2">'Calcs - Manure sent off-site'!$O$55</definedName>
    <definedName name="VEERG_5_5_1_1__1_FertiliserLeachingAndRunoffN2OEmissions_Result_Method1" localSheetId="41">'Calcs - Manure sent off-site'!$E$90</definedName>
    <definedName name="VEERG_5_5_1_1__1_FertiliserLeachingAndRunoffN2OEmissions_Result_Method1" localSheetId="42">'Calcs - Manure sent off-site'!$E$90</definedName>
    <definedName name="VEERG_5_5_1_1__1_FertiliserLeachingAndRunoffN2OEmissions_Result_Method1" localSheetId="49">'Calcs - Manure sent off-site'!$E$90</definedName>
    <definedName name="VEERG_5_5_1_1__1_FertiliserLeachingAndRunoffN2OEmissions_Result_Method1" localSheetId="13">'Calcs - Manure sent off-site'!$E$90</definedName>
    <definedName name="VEERG_5_5_1_1__1_FertiliserLeachingAndRunoffN2OEmissions_Result_Method1" localSheetId="14">'Calcs - Manure sent off-site'!$E$90</definedName>
    <definedName name="VEERG_5_5_1_1__1_FertiliserLeachingAndRunoffN2OEmissions_Result_Method1" localSheetId="7">'Calcs - Manure sent off-site'!$E$90</definedName>
    <definedName name="VEERG_5_5_1_1__1_FertiliserLeachingAndRunoffN2OEmissions_Result_Method1" localSheetId="16">'Calcs - Manure sent off-site'!$E$90</definedName>
    <definedName name="VEERG_5_5_1_1__1_FertiliserLeachingAndRunoffN2OEmissions_Result_Method1" localSheetId="15">'Calcs - Manure sent off-site'!$E$90</definedName>
    <definedName name="VEERG_5_5_1_1__1_FertiliserLeachingAndRunoffN2OEmissions_Result_Method1" localSheetId="18">'Calcs - Manure sent off-site'!$E$90</definedName>
    <definedName name="VEERG_5_5_1_1__1_FertiliserLeachingAndRunoffN2OEmissions_result_Method1">'5.5.1.1-2 Leaching and runoff'!$E$94</definedName>
    <definedName name="VEERG_5_5_1_1__1_FertiliserLeachingAndRunoffN2OEmissions_Result_Method2">'Calcs - Manure sent off-site'!$O$90</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6_3_1_1__1__LeachingAndRunoffEmissionsCropAndPastureResidue_Result_Method1" localSheetId="35">'6.3.1.1-2 Leach runoff pasture'!$E$48</definedName>
    <definedName name="VEERG_6_3_1_1__1__LeachingAndRunoffEmissionsCropAndPastureResidue_Result_Method2" localSheetId="35">'6.3.1.1-2 Leach runoff pasture'!$O$48</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VEERG_9_1_1__1_RefrigerantLeaking_Result_Blend1_Name_Method1">'9.1.1.1-2 Refrigerant use'!$D$36</definedName>
    <definedName name="VEERG_9_1_1__1_RefrigerantLeaking_Result_Blend1_Value_Method1">'9.1.1.1-2 Refrigerant use'!$E$36</definedName>
    <definedName name="VEERG_9_1_1__1_RefrigerantLeaking_Result_Blend10_Name_Method1">'9.1.1.1-2 Refrigerant use'!$D$45</definedName>
    <definedName name="VEERG_9_1_1__1_RefrigerantLeaking_Result_Blend10_Value_Method1">'9.1.1.1-2 Refrigerant use'!$E$45</definedName>
    <definedName name="VEERG_9_1_1__1_RefrigerantLeaking_Result_Blend2_Name_Method1">'9.1.1.1-2 Refrigerant use'!$D$37</definedName>
    <definedName name="VEERG_9_1_1__1_RefrigerantLeaking_Result_Blend2_Value_Method1">'9.1.1.1-2 Refrigerant use'!$E$37</definedName>
    <definedName name="VEERG_9_1_1__1_RefrigerantLeaking_Result_Blend3_Name_Method1">'9.1.1.1-2 Refrigerant use'!$D$38</definedName>
    <definedName name="VEERG_9_1_1__1_RefrigerantLeaking_Result_Blend3_Value_Method1">'9.1.1.1-2 Refrigerant use'!$E$38</definedName>
    <definedName name="VEERG_9_1_1__1_RefrigerantLeaking_Result_Blend4_Name_Method1">'9.1.1.1-2 Refrigerant use'!$D$39</definedName>
    <definedName name="VEERG_9_1_1__1_RefrigerantLeaking_Result_Blend4_Value_Method1">'9.1.1.1-2 Refrigerant use'!$E$39</definedName>
    <definedName name="VEERG_9_1_1__1_RefrigerantLeaking_Result_Blend5_Name_Method1">'9.1.1.1-2 Refrigerant use'!$D$40</definedName>
    <definedName name="VEERG_9_1_1__1_RefrigerantLeaking_Result_Blend5_Value_Method1">'9.1.1.1-2 Refrigerant use'!$E$40</definedName>
    <definedName name="VEERG_9_1_1__1_RefrigerantLeaking_Result_Blend6_Name_Method1">'9.1.1.1-2 Refrigerant use'!$D$41</definedName>
    <definedName name="VEERG_9_1_1__1_RefrigerantLeaking_Result_Blend6_Value_Method1">'9.1.1.1-2 Refrigerant use'!$E$41</definedName>
    <definedName name="VEERG_9_1_1__1_RefrigerantLeaking_Result_Blend7_Name_Method1">'9.1.1.1-2 Refrigerant use'!$D$42</definedName>
    <definedName name="VEERG_9_1_1__1_RefrigerantLeaking_Result_Blend7_Value_Method1">'9.1.1.1-2 Refrigerant use'!$E$42</definedName>
    <definedName name="VEERG_9_1_1__1_RefrigerantLeaking_Result_Blend8_Name_Method1">'9.1.1.1-2 Refrigerant use'!$D$43</definedName>
    <definedName name="VEERG_9_1_1__1_RefrigerantLeaking_Result_Blend8_Value_Method1">'9.1.1.1-2 Refrigerant use'!$E$43</definedName>
    <definedName name="VEERG_9_1_1__1_RefrigerantLeaking_Result_Blend9_Name_Method1">'9.1.1.1-2 Refrigerant use'!$D$44</definedName>
    <definedName name="VEERG_9_1_1__1_RefrigerantLeaking_Result_Blend9_Value_Method1">'9.1.1.1-2 Refrigerant use'!$E$44</definedName>
    <definedName name="VEERG_9_1_1__1_RefrigerantLeakingGWP_Result_Method1">'9.1.1.1-2 Refrigerant use'!$E$73</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Dairy_Breed">'Input - Dairy'!$E$7</definedName>
    <definedName name="X_Cell_Dairy_ManureAppliedIrrigationMethod">'Input - Dairy'!$E$124</definedName>
    <definedName name="X_Cell_Dairy_ManureAppliedProductionSystem">'Input - Dairy'!$E$123</definedName>
    <definedName name="X_Cell_Dairy_MilkProductionAmount">'Input - Dairy'!$E$50</definedName>
    <definedName name="X_Cell_Dairy_MilkProductionUnit">'Input - Dairy'!$E$47</definedName>
    <definedName name="X_Cell_Dairy_MilkSolidsFatContent_Method1">'Input - Dairy'!$E$53</definedName>
    <definedName name="X_Cell_Dairy_MilkSolidsFatContent_Method2">'Input - Dairy'!$F$53</definedName>
    <definedName name="X_Cell_Dairy_MilkSolidsProteinContent_Method1">'Input - Dairy'!$E$54</definedName>
    <definedName name="X_Cell_Dairy_MilkSolidsProteinContent_Method2">'Input - Dairy'!$F$54</definedName>
    <definedName name="X_Cell_Dairy_ProductionSystemTemplate">'Input - Dairy'!$E$60</definedName>
    <definedName name="X_Cell_Dairy_Stage1MMS_1_AnaerobicLagoon_AmountSeparated_Method1">'Input - Dairy'!$E$81</definedName>
    <definedName name="X_Cell_Dairy_Stage1MMS_1_AnaerobicLagoon_AmountSeparated_Method2">'Input - Dairy'!$E$82</definedName>
    <definedName name="X_Cell_Dairy_Stage1MMS_1_AnaerobicLagoon_SolidsSeparated">'Input - Dairy'!$E$80</definedName>
    <definedName name="X_Cell_Dairy_Stage1MMS_1_DrainsToPaddock_AmountSeparated_Method1">'Input - Dairy'!$E$91</definedName>
    <definedName name="X_Cell_Dairy_Stage1MMS_1_DrainsToPaddock_AmountSeparated_Method2">'Input - Dairy'!$E$92</definedName>
    <definedName name="X_Cell_Dairy_Stage1MMS_1_DrainsToPaddock_SolidsSeparated">'Input - Dairy'!$E$90</definedName>
    <definedName name="X_Cell_Dairy_Stage1MMS_1_SumpAndDispersal_AmountSeparated_Method1">'Input - Dairy'!$E$86</definedName>
    <definedName name="X_Cell_Dairy_Stage1MMS_1_SumpAndDispersal_AmountSeparated_Method2">'Input - Dairy'!$E$87</definedName>
    <definedName name="X_Cell_Dairy_Stage1MMS_1_SumpAndDispersal_SolidsSeparated">'Input - Dairy'!$E$85</definedName>
    <definedName name="X_Cell_Dairy_Stage1MMS_2_AnaerobicLagoon_AmountSeparated_Method1">'Input - Dairy'!$E$105</definedName>
    <definedName name="X_Cell_Dairy_Stage1MMS_2_AnaerobicLagoon_AmountSeparated_Method2">'Input - Dairy'!$E$106</definedName>
    <definedName name="X_Cell_Dairy_Stage1MMS_2_AnaerobicLagoon_SolidsSeparated">'Input - Dairy'!$E$104</definedName>
    <definedName name="X_Cell_Dairy_Stage1MMS_2_DrainsToPaddock_AmountSeparated_Method1">'Input - Dairy'!$E$115</definedName>
    <definedName name="X_Cell_Dairy_Stage1MMS_2_DrainsToPaddock_AmountSeparated_Method2">'Input - Dairy'!$E$116</definedName>
    <definedName name="X_Cell_Dairy_Stage1MMS_2_DrainsToPaddock_SolidsSeparated">'Input - Dairy'!$E$114</definedName>
    <definedName name="X_Cell_Dairy_Stage1MMS_2_SumpAndDispersal_AmountSeparated_Method1">'Input - Dairy'!$E$110</definedName>
    <definedName name="X_Cell_Dairy_Stage1MMS_2_SumpAndDispersal_AmountSeparated_Method2">'Input - Dairy'!$E$111</definedName>
    <definedName name="X_Cell_Dairy_Stage1MMS_2_SumpAndDispersal_SolidsSeparated">'Input - Dairy'!$E$109</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rprise_LiveweightSold">'Input - Enterprise'!$E$22</definedName>
    <definedName name="X_Cell_Enterprise_ManureSoldTonnes">'Input - Enterprise'!$E$25</definedName>
    <definedName name="X_Cell_Enterprise_ManureUsedAsFertiliserTonnes">'Input - Enterprise'!$E$26</definedName>
    <definedName name="X_Cell_Enterprise_MilkProduced">'Input - Enterprise'!$E$24</definedName>
    <definedName name="X_Cell_Enterprise_MilkProducedUnit">'Input - Enterprise'!$E$23</definedName>
    <definedName name="X_Cell_Enterprise_PercentIncomeFromLiveweight">'Input - Enterprise'!$E$29</definedName>
    <definedName name="X_Cell_Enterprise_PercentIncomeFromManure">'Input - Enterprise'!$E$30</definedName>
    <definedName name="X_Cell_Enterprise_PercentIncomeFromMilk">'Input - Enterprise'!$E$28</definedName>
    <definedName name="X_Cell_Enterprise_ProductionTimeframeEnd">'Input - Enterprise'!$E$19</definedName>
    <definedName name="X_Cell_Enterprise_ProductionTimeframeStart">'Input - Enterprise'!$E$18</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armInputs_Seed_BarleyGrain">'Input - Crop pasture farm input'!$E$23</definedName>
    <definedName name="X_Cell_FarmInputs_Seed_MaizeGrain">'Input - Crop pasture farm input'!$E$24</definedName>
    <definedName name="X_Cell_FarmInputs_Seed_OatGrain">'Input - Crop pasture farm input'!$E$25</definedName>
    <definedName name="X_Cell_FarmInputs_Seed_SorghumGrain">'Input - Crop pasture farm input'!$E$26</definedName>
    <definedName name="X_Cell_FarmInputs_Seed_WheatGrain">'Input - Crop pasture farm input'!$E$27</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Dairy'!$D$52:$F$54</definedName>
    <definedName name="X_Table_Dairy_ProductionSystems_Method1">'Input - Dairy'!$D$62:$I$65</definedName>
    <definedName name="X_Table_Dairy_ProductionSystems_Method2">'Input - Dairy'!$D$67:$I$70</definedName>
    <definedName name="X_Table_Dairy_Stage1MMS_1_AnaerobicLagoon">'Input - Dairy'!$D$78:$I$79</definedName>
    <definedName name="X_Table_Dairy_Stage1MMS_1_AnaerobicLagoon_Destinations">'Input - Dairy'!$K$78:$N$79</definedName>
    <definedName name="X_Table_Dairy_Stage1MMS_1_DrainsToPaddock">'Input - Dairy'!$D$88:$I$89</definedName>
    <definedName name="X_Table_Dairy_Stage1MMS_1_DrainsToPaddock_Destinations">'Input - Dairy'!$K$88:$N$89</definedName>
    <definedName name="X_Table_Dairy_Stage1MMS_1_SolidStorage">'Input - Dairy'!$D$93:$I$94</definedName>
    <definedName name="X_Table_Dairy_Stage1MMS_1_SolidStorage_Destinations">'Input - Dairy'!$K$93:$N$94</definedName>
    <definedName name="X_Table_Dairy_Stage1MMS_1_SumpAndDispersal">'Input - Dairy'!$D$83:$I$84</definedName>
    <definedName name="X_Table_Dairy_Stage1MMS_1_SumpAndDispersal_Destinations">'Input - Dairy'!$K$83:$N$84</definedName>
    <definedName name="X_Table_Dairy_Stage1MMS_2_AnaerobicLagoon">'Input - Dairy'!$D$102:$I$103</definedName>
    <definedName name="X_Table_Dairy_Stage1MMS_2_AnaerobicLagoon_Destinations">'Input - Dairy'!$K$102:$N$103</definedName>
    <definedName name="X_Table_Dairy_Stage1MMS_2_DrainsToPaddock">'Input - Dairy'!$D$112:$I$113</definedName>
    <definedName name="X_Table_Dairy_Stage1MMS_2_DrainsToPaddock_Destinations">'Input - Dairy'!$K$112:$N$113</definedName>
    <definedName name="X_Table_Dairy_Stage1MMS_2_SolidStorage">'Input - Dairy'!$D$117:$I$118</definedName>
    <definedName name="X_Table_Dairy_Stage1MMS_2_SolidStorage_Destinations">'Input - Dairy'!$K$117:$N$118</definedName>
    <definedName name="X_Table_Dairy_Stage1MMS_2_SumpAndDispersal">'Input - Dairy'!$D$107:$I$108</definedName>
    <definedName name="X_Table_Dairy_Stage1MMS_2_SumpAndDispersal_Destinations">'Input - Dairy'!$K$107:$N$108</definedName>
    <definedName name="X_Table_Result_CarbonRemovalsFromPlantings_RowsToCols">'Results - Activity period'!$D$93:$E$98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0" i="72" l="1"/>
  <c r="E80" i="72"/>
  <c r="E79" i="72"/>
  <c r="F79" i="72"/>
  <c r="E78" i="72"/>
  <c r="F76" i="72"/>
  <c r="E76" i="72"/>
  <c r="F42" i="13"/>
  <c r="A68" i="78" l="1"/>
  <c r="A67" i="78"/>
  <c r="A66" i="78"/>
  <c r="A65" i="78"/>
  <c r="A64" i="78"/>
  <c r="A63" i="78"/>
  <c r="A62" i="78"/>
  <c r="A61" i="78"/>
  <c r="A60" i="78"/>
  <c r="A59" i="78"/>
  <c r="A58" i="78"/>
  <c r="A54" i="78"/>
  <c r="A53" i="78"/>
  <c r="A52" i="78"/>
  <c r="A51" i="78"/>
  <c r="A50" i="78"/>
  <c r="A49" i="78"/>
  <c r="A48" i="78"/>
  <c r="A47" i="78"/>
  <c r="A46" i="78"/>
  <c r="A45" i="78"/>
  <c r="A44" i="78"/>
  <c r="A43" i="78"/>
  <c r="A42" i="78"/>
  <c r="A41" i="78"/>
  <c r="A40" i="78"/>
  <c r="A39" i="78"/>
  <c r="A38" i="78"/>
  <c r="A37" i="78"/>
  <c r="A36" i="78"/>
  <c r="A35" i="78"/>
  <c r="A34" i="78"/>
  <c r="A33" i="78"/>
  <c r="A32" i="78"/>
  <c r="A31" i="78"/>
  <c r="A27" i="78"/>
  <c r="A26" i="78"/>
  <c r="A25" i="78"/>
  <c r="A24" i="78"/>
  <c r="A23" i="78"/>
  <c r="A22" i="78"/>
  <c r="A21" i="78"/>
  <c r="A20" i="78"/>
  <c r="A19" i="78"/>
  <c r="A18" i="78"/>
  <c r="A17" i="78"/>
  <c r="A16" i="78"/>
  <c r="A15" i="78"/>
  <c r="A14" i="78"/>
  <c r="A13" i="78"/>
  <c r="A12" i="78"/>
  <c r="A11" i="78"/>
  <c r="A10" i="78"/>
  <c r="A6" i="78"/>
  <c r="A5" i="78"/>
  <c r="A4" i="78"/>
  <c r="A3" i="78"/>
  <c r="A68" i="128"/>
  <c r="A67" i="128"/>
  <c r="A66" i="128"/>
  <c r="A65" i="128"/>
  <c r="A64" i="128"/>
  <c r="A63" i="128"/>
  <c r="A62" i="128"/>
  <c r="A61" i="128"/>
  <c r="A60" i="128"/>
  <c r="A59" i="128"/>
  <c r="A58" i="128"/>
  <c r="A54" i="128"/>
  <c r="A53" i="128"/>
  <c r="A52" i="128"/>
  <c r="A51" i="128"/>
  <c r="A50" i="128"/>
  <c r="A49" i="128"/>
  <c r="A48" i="128"/>
  <c r="A47" i="128"/>
  <c r="A46" i="128"/>
  <c r="A45" i="128"/>
  <c r="A44" i="128"/>
  <c r="A43" i="128"/>
  <c r="A42" i="128"/>
  <c r="A41" i="128"/>
  <c r="A40" i="128"/>
  <c r="A39" i="128"/>
  <c r="A38" i="128"/>
  <c r="A37" i="128"/>
  <c r="A36" i="128"/>
  <c r="A35" i="128"/>
  <c r="A34" i="128"/>
  <c r="A33" i="128"/>
  <c r="A32" i="128"/>
  <c r="A31" i="128"/>
  <c r="A27" i="128"/>
  <c r="A26" i="128"/>
  <c r="A25" i="128"/>
  <c r="A24" i="128"/>
  <c r="A23" i="128"/>
  <c r="A22" i="128"/>
  <c r="A21" i="128"/>
  <c r="A20" i="128"/>
  <c r="A19" i="128"/>
  <c r="A18" i="128"/>
  <c r="A17" i="128"/>
  <c r="A16" i="128"/>
  <c r="A15" i="128"/>
  <c r="A14" i="128"/>
  <c r="A13" i="128"/>
  <c r="A12" i="128"/>
  <c r="A11" i="128"/>
  <c r="A10" i="128"/>
  <c r="A6" i="128"/>
  <c r="A5" i="128"/>
  <c r="A4" i="128"/>
  <c r="A3" i="128"/>
  <c r="A68" i="113"/>
  <c r="A67" i="113"/>
  <c r="A66" i="113"/>
  <c r="A65" i="113"/>
  <c r="A64" i="113"/>
  <c r="A63" i="113"/>
  <c r="A62" i="113"/>
  <c r="A61" i="113"/>
  <c r="A60" i="113"/>
  <c r="A59" i="113"/>
  <c r="A58" i="113"/>
  <c r="A54" i="113"/>
  <c r="A53" i="113"/>
  <c r="A52" i="113"/>
  <c r="A51" i="113"/>
  <c r="A50" i="113"/>
  <c r="A49" i="113"/>
  <c r="A48" i="113"/>
  <c r="A47" i="113"/>
  <c r="A46" i="113"/>
  <c r="A45" i="113"/>
  <c r="A44" i="113"/>
  <c r="A43" i="113"/>
  <c r="A42" i="113"/>
  <c r="A41" i="113"/>
  <c r="A40" i="113"/>
  <c r="A39" i="113"/>
  <c r="A38" i="113"/>
  <c r="A37" i="113"/>
  <c r="A36" i="113"/>
  <c r="A35" i="113"/>
  <c r="A34" i="113"/>
  <c r="A33" i="113"/>
  <c r="A32" i="113"/>
  <c r="A31" i="113"/>
  <c r="A27" i="113"/>
  <c r="A26" i="113"/>
  <c r="A25" i="113"/>
  <c r="A24" i="113"/>
  <c r="A23" i="113"/>
  <c r="A22" i="113"/>
  <c r="A21" i="113"/>
  <c r="A20" i="113"/>
  <c r="A19" i="113"/>
  <c r="A18" i="113"/>
  <c r="A17" i="113"/>
  <c r="A16" i="113"/>
  <c r="A15" i="113"/>
  <c r="A14" i="113"/>
  <c r="A13" i="113"/>
  <c r="A12" i="113"/>
  <c r="A11" i="113"/>
  <c r="A10" i="113"/>
  <c r="A6" i="113"/>
  <c r="A5" i="113"/>
  <c r="A4" i="113"/>
  <c r="A3" i="113"/>
  <c r="A68" i="110"/>
  <c r="A67" i="110"/>
  <c r="A66" i="110"/>
  <c r="A65" i="110"/>
  <c r="A64" i="110"/>
  <c r="A63" i="110"/>
  <c r="A62" i="110"/>
  <c r="A61" i="110"/>
  <c r="A60" i="110"/>
  <c r="A59" i="110"/>
  <c r="A58" i="110"/>
  <c r="A54" i="110"/>
  <c r="A53" i="110"/>
  <c r="A52" i="110"/>
  <c r="A51" i="110"/>
  <c r="A50" i="110"/>
  <c r="A49" i="110"/>
  <c r="A48" i="110"/>
  <c r="A47" i="110"/>
  <c r="A46" i="110"/>
  <c r="A45" i="110"/>
  <c r="A44" i="110"/>
  <c r="A43" i="110"/>
  <c r="A42" i="110"/>
  <c r="A41" i="110"/>
  <c r="A40" i="110"/>
  <c r="A39" i="110"/>
  <c r="A38" i="110"/>
  <c r="A37" i="110"/>
  <c r="A36" i="110"/>
  <c r="A35" i="110"/>
  <c r="A34" i="110"/>
  <c r="A33" i="110"/>
  <c r="A32" i="110"/>
  <c r="A31" i="110"/>
  <c r="A27" i="110"/>
  <c r="A26" i="110"/>
  <c r="A25" i="110"/>
  <c r="A24" i="110"/>
  <c r="A23" i="110"/>
  <c r="A22" i="110"/>
  <c r="A21" i="110"/>
  <c r="A20" i="110"/>
  <c r="A19" i="110"/>
  <c r="A18" i="110"/>
  <c r="A17" i="110"/>
  <c r="A16" i="110"/>
  <c r="A15" i="110"/>
  <c r="A14" i="110"/>
  <c r="A13" i="110"/>
  <c r="A12" i="110"/>
  <c r="A11" i="110"/>
  <c r="A10" i="110"/>
  <c r="A6" i="110"/>
  <c r="A5" i="110"/>
  <c r="A4" i="110"/>
  <c r="A3" i="110"/>
  <c r="A68" i="108"/>
  <c r="A67" i="108"/>
  <c r="A66" i="108"/>
  <c r="A65" i="108"/>
  <c r="A64" i="108"/>
  <c r="A63" i="108"/>
  <c r="A62" i="108"/>
  <c r="A61" i="108"/>
  <c r="A60" i="108"/>
  <c r="A59" i="108"/>
  <c r="A58" i="108"/>
  <c r="A54" i="108"/>
  <c r="A53" i="108"/>
  <c r="A52" i="108"/>
  <c r="A51" i="108"/>
  <c r="A50" i="108"/>
  <c r="A49" i="108"/>
  <c r="A48" i="108"/>
  <c r="A47" i="108"/>
  <c r="A46" i="108"/>
  <c r="A45" i="108"/>
  <c r="A44" i="108"/>
  <c r="A43" i="108"/>
  <c r="A42" i="108"/>
  <c r="A41" i="108"/>
  <c r="A40" i="108"/>
  <c r="A39" i="108"/>
  <c r="A38" i="108"/>
  <c r="A37" i="108"/>
  <c r="A36" i="108"/>
  <c r="A35" i="108"/>
  <c r="A34" i="108"/>
  <c r="A33" i="108"/>
  <c r="A32" i="108"/>
  <c r="A31" i="108"/>
  <c r="A27" i="108"/>
  <c r="A26" i="108"/>
  <c r="A25" i="108"/>
  <c r="A24" i="108"/>
  <c r="A23" i="108"/>
  <c r="A22" i="108"/>
  <c r="A21" i="108"/>
  <c r="A20" i="108"/>
  <c r="A19" i="108"/>
  <c r="A18" i="108"/>
  <c r="A17" i="108"/>
  <c r="A16" i="108"/>
  <c r="A15" i="108"/>
  <c r="A14" i="108"/>
  <c r="A13" i="108"/>
  <c r="A12" i="108"/>
  <c r="A11" i="108"/>
  <c r="A10" i="108"/>
  <c r="A6" i="108"/>
  <c r="A5" i="108"/>
  <c r="A4" i="108"/>
  <c r="A3" i="108"/>
  <c r="A68" i="81"/>
  <c r="A67" i="81"/>
  <c r="A66" i="81"/>
  <c r="A65" i="81"/>
  <c r="A64" i="81"/>
  <c r="A63" i="81"/>
  <c r="A62" i="81"/>
  <c r="A61" i="81"/>
  <c r="A60" i="81"/>
  <c r="A59" i="81"/>
  <c r="A58" i="81"/>
  <c r="A54" i="81"/>
  <c r="A53" i="81"/>
  <c r="A52" i="81"/>
  <c r="A51" i="81"/>
  <c r="A50" i="81"/>
  <c r="A49" i="81"/>
  <c r="A48" i="81"/>
  <c r="A47" i="81"/>
  <c r="A46" i="81"/>
  <c r="A45" i="81"/>
  <c r="A44" i="81"/>
  <c r="A43" i="81"/>
  <c r="A42" i="81"/>
  <c r="A41" i="81"/>
  <c r="A40" i="81"/>
  <c r="A39" i="81"/>
  <c r="A38" i="81"/>
  <c r="A37" i="81"/>
  <c r="A36" i="81"/>
  <c r="A35" i="81"/>
  <c r="A34" i="81"/>
  <c r="A33" i="81"/>
  <c r="A32" i="81"/>
  <c r="A31" i="81"/>
  <c r="A27" i="81"/>
  <c r="A26" i="81"/>
  <c r="A25" i="81"/>
  <c r="A24" i="81"/>
  <c r="A23" i="81"/>
  <c r="A22" i="81"/>
  <c r="A21" i="81"/>
  <c r="A20" i="81"/>
  <c r="A19" i="81"/>
  <c r="A18" i="81"/>
  <c r="A17" i="81"/>
  <c r="A16" i="81"/>
  <c r="A15" i="81"/>
  <c r="A14" i="81"/>
  <c r="A13" i="81"/>
  <c r="A12" i="81"/>
  <c r="A11" i="81"/>
  <c r="A10" i="81"/>
  <c r="A6" i="81"/>
  <c r="A5" i="81"/>
  <c r="A4" i="81"/>
  <c r="A3" i="81"/>
  <c r="A68" i="79"/>
  <c r="A67" i="79"/>
  <c r="A66" i="79"/>
  <c r="A65" i="79"/>
  <c r="A64" i="79"/>
  <c r="A63" i="79"/>
  <c r="A62" i="79"/>
  <c r="A61" i="79"/>
  <c r="A60" i="79"/>
  <c r="A59" i="79"/>
  <c r="A58" i="79"/>
  <c r="A54" i="79"/>
  <c r="A53" i="79"/>
  <c r="A52" i="79"/>
  <c r="A51" i="79"/>
  <c r="A50" i="79"/>
  <c r="A49" i="79"/>
  <c r="A48" i="79"/>
  <c r="A47" i="79"/>
  <c r="A46" i="79"/>
  <c r="A45" i="79"/>
  <c r="A44" i="79"/>
  <c r="A43" i="79"/>
  <c r="A42" i="79"/>
  <c r="A41" i="79"/>
  <c r="A40" i="79"/>
  <c r="A39" i="79"/>
  <c r="A38" i="79"/>
  <c r="A37" i="79"/>
  <c r="A36" i="79"/>
  <c r="A35" i="79"/>
  <c r="A34" i="79"/>
  <c r="A33" i="79"/>
  <c r="A32" i="79"/>
  <c r="A31" i="79"/>
  <c r="A27" i="79"/>
  <c r="A26" i="79"/>
  <c r="A25" i="79"/>
  <c r="A24" i="79"/>
  <c r="A23" i="79"/>
  <c r="A22" i="79"/>
  <c r="A21" i="79"/>
  <c r="A20" i="79"/>
  <c r="A19" i="79"/>
  <c r="A18" i="79"/>
  <c r="A17" i="79"/>
  <c r="A16" i="79"/>
  <c r="A15" i="79"/>
  <c r="A14" i="79"/>
  <c r="A13" i="79"/>
  <c r="A12" i="79"/>
  <c r="A11" i="79"/>
  <c r="A10" i="79"/>
  <c r="A6" i="79"/>
  <c r="A5" i="79"/>
  <c r="A4" i="79"/>
  <c r="A3" i="79"/>
  <c r="A68" i="126"/>
  <c r="A67" i="126"/>
  <c r="A66" i="126"/>
  <c r="A65" i="126"/>
  <c r="A64" i="126"/>
  <c r="A63" i="126"/>
  <c r="A62" i="126"/>
  <c r="A61" i="126"/>
  <c r="A60" i="126"/>
  <c r="A59" i="126"/>
  <c r="A58" i="126"/>
  <c r="A54" i="126"/>
  <c r="A53" i="126"/>
  <c r="A52" i="126"/>
  <c r="A51" i="126"/>
  <c r="A50" i="126"/>
  <c r="A49" i="126"/>
  <c r="A48" i="126"/>
  <c r="A47" i="126"/>
  <c r="A46" i="126"/>
  <c r="A45" i="126"/>
  <c r="A44" i="126"/>
  <c r="A43" i="126"/>
  <c r="A42" i="126"/>
  <c r="A41" i="126"/>
  <c r="A40" i="126"/>
  <c r="A39" i="126"/>
  <c r="A38" i="126"/>
  <c r="A37" i="126"/>
  <c r="A36" i="126"/>
  <c r="A35" i="126"/>
  <c r="A34" i="126"/>
  <c r="A33" i="126"/>
  <c r="A32" i="126"/>
  <c r="A31" i="126"/>
  <c r="A27" i="126"/>
  <c r="A26" i="126"/>
  <c r="A25" i="126"/>
  <c r="A24" i="126"/>
  <c r="A23" i="126"/>
  <c r="A22" i="126"/>
  <c r="A21" i="126"/>
  <c r="A20" i="126"/>
  <c r="A19" i="126"/>
  <c r="A18" i="126"/>
  <c r="A17" i="126"/>
  <c r="A16" i="126"/>
  <c r="A15" i="126"/>
  <c r="A14" i="126"/>
  <c r="A13" i="126"/>
  <c r="A12" i="126"/>
  <c r="A11" i="126"/>
  <c r="A10" i="126"/>
  <c r="A6" i="126"/>
  <c r="A5" i="126"/>
  <c r="A4" i="126"/>
  <c r="A3" i="126"/>
  <c r="A68" i="107"/>
  <c r="A67" i="107"/>
  <c r="A66" i="107"/>
  <c r="A65" i="107"/>
  <c r="A64" i="107"/>
  <c r="A63" i="107"/>
  <c r="A62" i="107"/>
  <c r="A61" i="107"/>
  <c r="A60" i="107"/>
  <c r="A59" i="107"/>
  <c r="A58" i="107"/>
  <c r="A54" i="107"/>
  <c r="A53" i="107"/>
  <c r="A52" i="107"/>
  <c r="A51" i="107"/>
  <c r="A50" i="107"/>
  <c r="A49" i="107"/>
  <c r="A48" i="107"/>
  <c r="A47" i="107"/>
  <c r="A46" i="107"/>
  <c r="A45" i="107"/>
  <c r="A44" i="107"/>
  <c r="A43" i="107"/>
  <c r="A42" i="107"/>
  <c r="A41" i="107"/>
  <c r="A40" i="107"/>
  <c r="A39" i="107"/>
  <c r="A38" i="107"/>
  <c r="A37" i="107"/>
  <c r="A36" i="107"/>
  <c r="A35" i="107"/>
  <c r="A34" i="107"/>
  <c r="A33" i="107"/>
  <c r="A32" i="107"/>
  <c r="A31" i="107"/>
  <c r="A27" i="107"/>
  <c r="A26" i="107"/>
  <c r="A25" i="107"/>
  <c r="A24" i="107"/>
  <c r="A23" i="107"/>
  <c r="A22" i="107"/>
  <c r="A21" i="107"/>
  <c r="A20" i="107"/>
  <c r="A19" i="107"/>
  <c r="A18" i="107"/>
  <c r="A17" i="107"/>
  <c r="A16" i="107"/>
  <c r="A15" i="107"/>
  <c r="A14" i="107"/>
  <c r="A13" i="107"/>
  <c r="A12" i="107"/>
  <c r="A11" i="107"/>
  <c r="A10" i="107"/>
  <c r="A6" i="107"/>
  <c r="A5" i="107"/>
  <c r="A4" i="107"/>
  <c r="A3" i="107"/>
  <c r="A68" i="100"/>
  <c r="A67" i="100"/>
  <c r="A66" i="100"/>
  <c r="A65" i="100"/>
  <c r="A64" i="100"/>
  <c r="A63" i="100"/>
  <c r="A62" i="100"/>
  <c r="A61" i="100"/>
  <c r="A60" i="100"/>
  <c r="A59" i="100"/>
  <c r="A58" i="100"/>
  <c r="A54" i="100"/>
  <c r="A53" i="100"/>
  <c r="A52" i="100"/>
  <c r="A51" i="100"/>
  <c r="A50" i="100"/>
  <c r="A49" i="100"/>
  <c r="A48" i="100"/>
  <c r="A47" i="100"/>
  <c r="A46" i="100"/>
  <c r="A45" i="100"/>
  <c r="A44" i="100"/>
  <c r="A43" i="100"/>
  <c r="A42" i="100"/>
  <c r="A41" i="100"/>
  <c r="A40" i="100"/>
  <c r="A39" i="100"/>
  <c r="A38" i="100"/>
  <c r="A37" i="100"/>
  <c r="A36" i="100"/>
  <c r="A35" i="100"/>
  <c r="A34" i="100"/>
  <c r="A33" i="100"/>
  <c r="A32" i="100"/>
  <c r="A31" i="100"/>
  <c r="A27" i="100"/>
  <c r="A26" i="100"/>
  <c r="A25" i="100"/>
  <c r="A24" i="100"/>
  <c r="A23" i="100"/>
  <c r="A22" i="100"/>
  <c r="A21" i="100"/>
  <c r="A20" i="100"/>
  <c r="A19" i="100"/>
  <c r="A18" i="100"/>
  <c r="A17" i="100"/>
  <c r="A16" i="100"/>
  <c r="A15" i="100"/>
  <c r="A14" i="100"/>
  <c r="A13" i="100"/>
  <c r="A12" i="100"/>
  <c r="A11" i="100"/>
  <c r="A10" i="100"/>
  <c r="A6" i="100"/>
  <c r="A5" i="100"/>
  <c r="A4" i="100"/>
  <c r="A3" i="100"/>
  <c r="A68" i="103"/>
  <c r="A67" i="103"/>
  <c r="A66" i="103"/>
  <c r="A65" i="103"/>
  <c r="A64" i="103"/>
  <c r="A63" i="103"/>
  <c r="A62" i="103"/>
  <c r="A61" i="103"/>
  <c r="A60" i="103"/>
  <c r="A59" i="103"/>
  <c r="A58" i="103"/>
  <c r="A54" i="103"/>
  <c r="A53" i="103"/>
  <c r="A52" i="103"/>
  <c r="A51" i="103"/>
  <c r="A50" i="103"/>
  <c r="A49" i="103"/>
  <c r="A48" i="103"/>
  <c r="A47" i="103"/>
  <c r="A46" i="103"/>
  <c r="A45" i="103"/>
  <c r="A44" i="103"/>
  <c r="A43" i="103"/>
  <c r="A42" i="103"/>
  <c r="A41" i="103"/>
  <c r="A40" i="103"/>
  <c r="A39" i="103"/>
  <c r="A38" i="103"/>
  <c r="A37" i="103"/>
  <c r="A36" i="103"/>
  <c r="A35" i="103"/>
  <c r="A34" i="103"/>
  <c r="A33" i="103"/>
  <c r="A32" i="103"/>
  <c r="A31" i="103"/>
  <c r="A27" i="103"/>
  <c r="A26" i="103"/>
  <c r="A25" i="103"/>
  <c r="A24" i="103"/>
  <c r="A23" i="103"/>
  <c r="A22" i="103"/>
  <c r="A21" i="103"/>
  <c r="A20" i="103"/>
  <c r="A19" i="103"/>
  <c r="A18" i="103"/>
  <c r="A17" i="103"/>
  <c r="A16" i="103"/>
  <c r="A15" i="103"/>
  <c r="A14" i="103"/>
  <c r="A13" i="103"/>
  <c r="A12" i="103"/>
  <c r="A11" i="103"/>
  <c r="A10" i="103"/>
  <c r="A6" i="103"/>
  <c r="A5" i="103"/>
  <c r="A4" i="103"/>
  <c r="A3" i="103"/>
  <c r="A68" i="127"/>
  <c r="A67" i="127"/>
  <c r="A66" i="127"/>
  <c r="A65" i="127"/>
  <c r="A64" i="127"/>
  <c r="A63" i="127"/>
  <c r="A62" i="127"/>
  <c r="A61" i="127"/>
  <c r="A60" i="127"/>
  <c r="A59" i="127"/>
  <c r="A58" i="127"/>
  <c r="A54" i="127"/>
  <c r="A53" i="127"/>
  <c r="A52" i="127"/>
  <c r="A51" i="127"/>
  <c r="A50" i="127"/>
  <c r="A49" i="127"/>
  <c r="A48" i="127"/>
  <c r="A47" i="127"/>
  <c r="A46" i="127"/>
  <c r="A45" i="127"/>
  <c r="A44" i="127"/>
  <c r="A43" i="127"/>
  <c r="A42" i="127"/>
  <c r="A41" i="127"/>
  <c r="A40" i="127"/>
  <c r="A39" i="127"/>
  <c r="A38" i="127"/>
  <c r="A37" i="127"/>
  <c r="A36" i="127"/>
  <c r="A35" i="127"/>
  <c r="A34" i="127"/>
  <c r="A33" i="127"/>
  <c r="A32" i="127"/>
  <c r="A31" i="127"/>
  <c r="A27" i="127"/>
  <c r="A26" i="127"/>
  <c r="A25" i="127"/>
  <c r="A24" i="127"/>
  <c r="A23" i="127"/>
  <c r="A22" i="127"/>
  <c r="A21" i="127"/>
  <c r="A20" i="127"/>
  <c r="A19" i="127"/>
  <c r="A18" i="127"/>
  <c r="A17" i="127"/>
  <c r="A16" i="127"/>
  <c r="A15" i="127"/>
  <c r="A14" i="127"/>
  <c r="A13" i="127"/>
  <c r="A12" i="127"/>
  <c r="A11" i="127"/>
  <c r="A10" i="127"/>
  <c r="A6" i="127"/>
  <c r="A5" i="127"/>
  <c r="A4" i="127"/>
  <c r="A3" i="127"/>
  <c r="A68" i="117"/>
  <c r="A67" i="117"/>
  <c r="A66" i="117"/>
  <c r="A65" i="117"/>
  <c r="A64" i="117"/>
  <c r="A63" i="117"/>
  <c r="A62" i="117"/>
  <c r="A61" i="117"/>
  <c r="A60" i="117"/>
  <c r="A59" i="117"/>
  <c r="A58" i="117"/>
  <c r="A54" i="117"/>
  <c r="A53" i="117"/>
  <c r="A52" i="117"/>
  <c r="A51" i="117"/>
  <c r="A50" i="117"/>
  <c r="A49" i="117"/>
  <c r="A48" i="117"/>
  <c r="A47" i="117"/>
  <c r="A46" i="117"/>
  <c r="A45" i="117"/>
  <c r="A44" i="117"/>
  <c r="A43" i="117"/>
  <c r="A42" i="117"/>
  <c r="A41" i="117"/>
  <c r="A40" i="117"/>
  <c r="A39" i="117"/>
  <c r="A38" i="117"/>
  <c r="A37" i="117"/>
  <c r="A36" i="117"/>
  <c r="A35" i="117"/>
  <c r="A34" i="117"/>
  <c r="A33" i="117"/>
  <c r="A32" i="117"/>
  <c r="A31" i="117"/>
  <c r="A27" i="117"/>
  <c r="A26" i="117"/>
  <c r="A25" i="117"/>
  <c r="A24" i="117"/>
  <c r="A23" i="117"/>
  <c r="A22" i="117"/>
  <c r="A21" i="117"/>
  <c r="A20" i="117"/>
  <c r="A19" i="117"/>
  <c r="A18" i="117"/>
  <c r="A17" i="117"/>
  <c r="A16" i="117"/>
  <c r="A15" i="117"/>
  <c r="A14" i="117"/>
  <c r="A13" i="117"/>
  <c r="A12" i="117"/>
  <c r="A11" i="117"/>
  <c r="A10" i="117"/>
  <c r="A6" i="117"/>
  <c r="A5" i="117"/>
  <c r="A4" i="117"/>
  <c r="A3" i="117"/>
  <c r="A68" i="91"/>
  <c r="A67" i="91"/>
  <c r="A66" i="91"/>
  <c r="A65" i="91"/>
  <c r="A64" i="91"/>
  <c r="A63" i="91"/>
  <c r="A62" i="91"/>
  <c r="A61" i="91"/>
  <c r="A60" i="91"/>
  <c r="A59" i="91"/>
  <c r="A58" i="91"/>
  <c r="A54" i="91"/>
  <c r="A53" i="91"/>
  <c r="A52" i="91"/>
  <c r="A51" i="91"/>
  <c r="A50" i="91"/>
  <c r="A49" i="91"/>
  <c r="A48" i="91"/>
  <c r="A47" i="91"/>
  <c r="A46" i="91"/>
  <c r="A45" i="91"/>
  <c r="A44" i="91"/>
  <c r="A43" i="91"/>
  <c r="A42" i="91"/>
  <c r="A41" i="91"/>
  <c r="A40" i="91"/>
  <c r="A39" i="91"/>
  <c r="A38" i="91"/>
  <c r="A37" i="91"/>
  <c r="A36" i="91"/>
  <c r="A35" i="91"/>
  <c r="A34" i="91"/>
  <c r="A33" i="91"/>
  <c r="A32" i="91"/>
  <c r="A31" i="91"/>
  <c r="A27" i="91"/>
  <c r="A26" i="91"/>
  <c r="A25" i="91"/>
  <c r="A24" i="91"/>
  <c r="A23" i="91"/>
  <c r="A22" i="91"/>
  <c r="A21" i="91"/>
  <c r="A20" i="91"/>
  <c r="A19" i="91"/>
  <c r="A18" i="91"/>
  <c r="A17" i="91"/>
  <c r="A16" i="91"/>
  <c r="A15" i="91"/>
  <c r="A14" i="91"/>
  <c r="A13" i="91"/>
  <c r="A12" i="91"/>
  <c r="A11" i="91"/>
  <c r="A10" i="91"/>
  <c r="A6" i="91"/>
  <c r="A5" i="91"/>
  <c r="A4" i="91"/>
  <c r="A3" i="91"/>
  <c r="A68" i="125"/>
  <c r="A67" i="125"/>
  <c r="A66" i="125"/>
  <c r="A65" i="125"/>
  <c r="A64" i="125"/>
  <c r="A63" i="125"/>
  <c r="A62" i="125"/>
  <c r="A61" i="125"/>
  <c r="A60" i="125"/>
  <c r="A59" i="125"/>
  <c r="A58" i="125"/>
  <c r="A54" i="125"/>
  <c r="A53" i="125"/>
  <c r="A52" i="125"/>
  <c r="A51" i="125"/>
  <c r="A50" i="125"/>
  <c r="A49" i="125"/>
  <c r="A48" i="125"/>
  <c r="A47" i="125"/>
  <c r="A46" i="125"/>
  <c r="A45" i="125"/>
  <c r="A44" i="125"/>
  <c r="A43" i="125"/>
  <c r="A42" i="125"/>
  <c r="A41" i="125"/>
  <c r="A40" i="125"/>
  <c r="A39" i="125"/>
  <c r="A38" i="125"/>
  <c r="A37" i="125"/>
  <c r="A36" i="125"/>
  <c r="A35" i="125"/>
  <c r="A34" i="125"/>
  <c r="A33" i="125"/>
  <c r="A32" i="125"/>
  <c r="A31" i="125"/>
  <c r="A27" i="125"/>
  <c r="A26" i="125"/>
  <c r="A25" i="125"/>
  <c r="A24" i="125"/>
  <c r="A23" i="125"/>
  <c r="A22" i="125"/>
  <c r="A21" i="125"/>
  <c r="A20" i="125"/>
  <c r="A19" i="125"/>
  <c r="A18" i="125"/>
  <c r="A17" i="125"/>
  <c r="A16" i="125"/>
  <c r="A15" i="125"/>
  <c r="A14" i="125"/>
  <c r="A13" i="125"/>
  <c r="A12" i="125"/>
  <c r="A11" i="125"/>
  <c r="A10" i="125"/>
  <c r="A6" i="125"/>
  <c r="A5" i="125"/>
  <c r="A4" i="125"/>
  <c r="A3" i="125"/>
  <c r="A68" i="124"/>
  <c r="A67" i="124"/>
  <c r="A66" i="124"/>
  <c r="A65" i="124"/>
  <c r="A64" i="124"/>
  <c r="A63" i="124"/>
  <c r="A62" i="124"/>
  <c r="A61" i="124"/>
  <c r="A60" i="124"/>
  <c r="A59" i="124"/>
  <c r="A58" i="124"/>
  <c r="A54" i="124"/>
  <c r="A53" i="124"/>
  <c r="A52" i="124"/>
  <c r="A51" i="124"/>
  <c r="A50" i="124"/>
  <c r="A49" i="124"/>
  <c r="A48" i="124"/>
  <c r="A47" i="124"/>
  <c r="A46" i="124"/>
  <c r="A45" i="124"/>
  <c r="A44" i="124"/>
  <c r="A43" i="124"/>
  <c r="A42" i="124"/>
  <c r="A41" i="124"/>
  <c r="A40" i="124"/>
  <c r="A39" i="124"/>
  <c r="A38" i="124"/>
  <c r="A37" i="124"/>
  <c r="A36" i="124"/>
  <c r="A35" i="124"/>
  <c r="A34" i="124"/>
  <c r="A33" i="124"/>
  <c r="A32" i="124"/>
  <c r="A31" i="124"/>
  <c r="A27" i="124"/>
  <c r="A26" i="124"/>
  <c r="A25" i="124"/>
  <c r="A24" i="124"/>
  <c r="A23" i="124"/>
  <c r="A22" i="124"/>
  <c r="A21" i="124"/>
  <c r="A20" i="124"/>
  <c r="A19" i="124"/>
  <c r="A18" i="124"/>
  <c r="A17" i="124"/>
  <c r="A16" i="124"/>
  <c r="A15" i="124"/>
  <c r="A14" i="124"/>
  <c r="A13" i="124"/>
  <c r="A12" i="124"/>
  <c r="A11" i="124"/>
  <c r="A10" i="124"/>
  <c r="A6" i="124"/>
  <c r="A5" i="124"/>
  <c r="A4" i="124"/>
  <c r="A3" i="124"/>
  <c r="A68" i="102"/>
  <c r="A67" i="102"/>
  <c r="A66" i="102"/>
  <c r="A65" i="102"/>
  <c r="A64" i="102"/>
  <c r="A63" i="102"/>
  <c r="A62" i="102"/>
  <c r="A61" i="102"/>
  <c r="A60" i="102"/>
  <c r="A59" i="102"/>
  <c r="A58" i="102"/>
  <c r="A54" i="102"/>
  <c r="A53" i="102"/>
  <c r="A52" i="102"/>
  <c r="A51" i="102"/>
  <c r="A50" i="102"/>
  <c r="A49" i="102"/>
  <c r="A48" i="102"/>
  <c r="A47" i="102"/>
  <c r="A46" i="102"/>
  <c r="A45" i="102"/>
  <c r="A44" i="102"/>
  <c r="A43" i="102"/>
  <c r="A42" i="102"/>
  <c r="A41" i="102"/>
  <c r="A40" i="102"/>
  <c r="A39" i="102"/>
  <c r="A38" i="102"/>
  <c r="A37" i="102"/>
  <c r="A36" i="102"/>
  <c r="A35" i="102"/>
  <c r="A34" i="102"/>
  <c r="A33" i="102"/>
  <c r="A32" i="102"/>
  <c r="A31" i="102"/>
  <c r="A27" i="102"/>
  <c r="A26" i="102"/>
  <c r="A25" i="102"/>
  <c r="A24" i="102"/>
  <c r="A23" i="102"/>
  <c r="A22" i="102"/>
  <c r="A21" i="102"/>
  <c r="A20" i="102"/>
  <c r="A19" i="102"/>
  <c r="A18" i="102"/>
  <c r="A17" i="102"/>
  <c r="A16" i="102"/>
  <c r="A15" i="102"/>
  <c r="A14" i="102"/>
  <c r="A13" i="102"/>
  <c r="A12" i="102"/>
  <c r="A11" i="102"/>
  <c r="A10" i="102"/>
  <c r="A6" i="102"/>
  <c r="A5" i="102"/>
  <c r="A4" i="102"/>
  <c r="A3" i="102"/>
  <c r="A68" i="112"/>
  <c r="A67" i="112"/>
  <c r="A66" i="112"/>
  <c r="A65" i="112"/>
  <c r="A64" i="112"/>
  <c r="A63" i="112"/>
  <c r="A62" i="112"/>
  <c r="A61" i="112"/>
  <c r="A60" i="112"/>
  <c r="A59" i="112"/>
  <c r="A58" i="112"/>
  <c r="A54" i="112"/>
  <c r="A53" i="112"/>
  <c r="A52" i="112"/>
  <c r="A51" i="112"/>
  <c r="A50" i="112"/>
  <c r="A49" i="112"/>
  <c r="A48" i="112"/>
  <c r="A47" i="112"/>
  <c r="A46" i="112"/>
  <c r="A45" i="112"/>
  <c r="A44" i="112"/>
  <c r="A43" i="112"/>
  <c r="A42" i="112"/>
  <c r="A41" i="112"/>
  <c r="A40" i="112"/>
  <c r="A39" i="112"/>
  <c r="A38" i="112"/>
  <c r="A37" i="112"/>
  <c r="A36" i="112"/>
  <c r="A35" i="112"/>
  <c r="A34" i="112"/>
  <c r="A33" i="112"/>
  <c r="A32" i="112"/>
  <c r="A31" i="112"/>
  <c r="A27" i="112"/>
  <c r="A26" i="112"/>
  <c r="A25" i="112"/>
  <c r="A24" i="112"/>
  <c r="A23" i="112"/>
  <c r="A22" i="112"/>
  <c r="A21" i="112"/>
  <c r="A20" i="112"/>
  <c r="A19" i="112"/>
  <c r="A18" i="112"/>
  <c r="A17" i="112"/>
  <c r="A16" i="112"/>
  <c r="A15" i="112"/>
  <c r="A14" i="112"/>
  <c r="A13" i="112"/>
  <c r="A12" i="112"/>
  <c r="A11" i="112"/>
  <c r="A10" i="112"/>
  <c r="A6" i="112"/>
  <c r="A5" i="112"/>
  <c r="A4" i="112"/>
  <c r="A3" i="112"/>
  <c r="A68" i="109"/>
  <c r="A67" i="109"/>
  <c r="A66" i="109"/>
  <c r="A65" i="109"/>
  <c r="A64" i="109"/>
  <c r="A63" i="109"/>
  <c r="A62" i="109"/>
  <c r="A61" i="109"/>
  <c r="A60" i="109"/>
  <c r="A59" i="109"/>
  <c r="A58" i="109"/>
  <c r="A54" i="109"/>
  <c r="A53" i="109"/>
  <c r="A52" i="109"/>
  <c r="A51" i="109"/>
  <c r="A50" i="109"/>
  <c r="A49" i="109"/>
  <c r="A48" i="109"/>
  <c r="A47" i="109"/>
  <c r="A46" i="109"/>
  <c r="A45" i="109"/>
  <c r="A44" i="109"/>
  <c r="A43" i="109"/>
  <c r="A42" i="109"/>
  <c r="A41" i="109"/>
  <c r="A40" i="109"/>
  <c r="A39" i="109"/>
  <c r="A38" i="109"/>
  <c r="A37" i="109"/>
  <c r="A36" i="109"/>
  <c r="A35" i="109"/>
  <c r="A34" i="109"/>
  <c r="A33" i="109"/>
  <c r="A32" i="109"/>
  <c r="A31" i="109"/>
  <c r="A27" i="109"/>
  <c r="A26" i="109"/>
  <c r="A25" i="109"/>
  <c r="A24" i="109"/>
  <c r="A23" i="109"/>
  <c r="A22" i="109"/>
  <c r="A21" i="109"/>
  <c r="A20" i="109"/>
  <c r="A19" i="109"/>
  <c r="A18" i="109"/>
  <c r="A17" i="109"/>
  <c r="A16" i="109"/>
  <c r="A15" i="109"/>
  <c r="A14" i="109"/>
  <c r="A13" i="109"/>
  <c r="A12" i="109"/>
  <c r="A11" i="109"/>
  <c r="A10" i="109"/>
  <c r="A6" i="109"/>
  <c r="A5" i="109"/>
  <c r="A4" i="109"/>
  <c r="A3" i="109"/>
  <c r="A68" i="106"/>
  <c r="A67" i="106"/>
  <c r="A66" i="106"/>
  <c r="A65" i="106"/>
  <c r="A64" i="106"/>
  <c r="A63" i="106"/>
  <c r="A62" i="106"/>
  <c r="A61" i="106"/>
  <c r="A60" i="106"/>
  <c r="A59" i="106"/>
  <c r="A58" i="106"/>
  <c r="A54" i="106"/>
  <c r="A53" i="106"/>
  <c r="A52" i="106"/>
  <c r="A51" i="106"/>
  <c r="A50" i="106"/>
  <c r="A49" i="106"/>
  <c r="A48" i="106"/>
  <c r="A47" i="106"/>
  <c r="A46" i="106"/>
  <c r="A45" i="106"/>
  <c r="A44" i="106"/>
  <c r="A43" i="106"/>
  <c r="A42" i="106"/>
  <c r="A41" i="106"/>
  <c r="A40" i="106"/>
  <c r="A39" i="106"/>
  <c r="A38" i="106"/>
  <c r="A37" i="106"/>
  <c r="A36" i="106"/>
  <c r="A35" i="106"/>
  <c r="A34" i="106"/>
  <c r="A33" i="106"/>
  <c r="A32" i="106"/>
  <c r="A31" i="106"/>
  <c r="A27" i="106"/>
  <c r="A26" i="106"/>
  <c r="A25" i="106"/>
  <c r="A24" i="106"/>
  <c r="A23" i="106"/>
  <c r="A22" i="106"/>
  <c r="A21" i="106"/>
  <c r="A20" i="106"/>
  <c r="A19" i="106"/>
  <c r="A18" i="106"/>
  <c r="A17" i="106"/>
  <c r="A16" i="106"/>
  <c r="A15" i="106"/>
  <c r="A14" i="106"/>
  <c r="A13" i="106"/>
  <c r="A12" i="106"/>
  <c r="A11" i="106"/>
  <c r="A10" i="106"/>
  <c r="A6" i="106"/>
  <c r="A5" i="106"/>
  <c r="A4" i="106"/>
  <c r="A3" i="106"/>
  <c r="A68" i="105"/>
  <c r="A67" i="105"/>
  <c r="A66" i="105"/>
  <c r="A65" i="105"/>
  <c r="A64" i="105"/>
  <c r="A63" i="105"/>
  <c r="A62" i="105"/>
  <c r="A61" i="105"/>
  <c r="A60" i="105"/>
  <c r="A59" i="105"/>
  <c r="A58" i="105"/>
  <c r="A54" i="105"/>
  <c r="A53" i="105"/>
  <c r="A52" i="105"/>
  <c r="A51" i="105"/>
  <c r="A50" i="105"/>
  <c r="A49" i="105"/>
  <c r="A48" i="105"/>
  <c r="A47" i="105"/>
  <c r="A46" i="105"/>
  <c r="A45" i="105"/>
  <c r="A44" i="105"/>
  <c r="A43" i="105"/>
  <c r="A42" i="105"/>
  <c r="A41" i="105"/>
  <c r="A40" i="105"/>
  <c r="A39" i="105"/>
  <c r="A38" i="105"/>
  <c r="A37" i="105"/>
  <c r="A36" i="105"/>
  <c r="A35" i="105"/>
  <c r="A34" i="105"/>
  <c r="A33" i="105"/>
  <c r="A32" i="105"/>
  <c r="A31" i="105"/>
  <c r="A27" i="105"/>
  <c r="A26" i="105"/>
  <c r="A25" i="105"/>
  <c r="A24" i="105"/>
  <c r="A23" i="105"/>
  <c r="A22" i="105"/>
  <c r="A21" i="105"/>
  <c r="A20" i="105"/>
  <c r="A19" i="105"/>
  <c r="A18" i="105"/>
  <c r="A17" i="105"/>
  <c r="A16" i="105"/>
  <c r="A15" i="105"/>
  <c r="A14" i="105"/>
  <c r="A13" i="105"/>
  <c r="A12" i="105"/>
  <c r="A11" i="105"/>
  <c r="A10" i="105"/>
  <c r="A6" i="105"/>
  <c r="A5" i="105"/>
  <c r="A4" i="105"/>
  <c r="A3" i="105"/>
  <c r="A68" i="116"/>
  <c r="A67" i="116"/>
  <c r="A66" i="116"/>
  <c r="A65" i="116"/>
  <c r="A64" i="116"/>
  <c r="A63" i="116"/>
  <c r="A62" i="116"/>
  <c r="A61" i="116"/>
  <c r="A60" i="116"/>
  <c r="A59" i="116"/>
  <c r="A58" i="116"/>
  <c r="A54" i="116"/>
  <c r="A53" i="116"/>
  <c r="A52" i="116"/>
  <c r="A51" i="116"/>
  <c r="A50" i="116"/>
  <c r="A49" i="116"/>
  <c r="A48" i="116"/>
  <c r="A47" i="116"/>
  <c r="A46" i="116"/>
  <c r="A45" i="116"/>
  <c r="A44" i="116"/>
  <c r="A43" i="116"/>
  <c r="A42" i="116"/>
  <c r="A41" i="116"/>
  <c r="A40" i="116"/>
  <c r="A39" i="116"/>
  <c r="A38" i="116"/>
  <c r="A37" i="116"/>
  <c r="A36" i="116"/>
  <c r="A35" i="116"/>
  <c r="A34" i="116"/>
  <c r="A33" i="116"/>
  <c r="A32" i="116"/>
  <c r="A31" i="116"/>
  <c r="A27" i="116"/>
  <c r="A26" i="116"/>
  <c r="A25" i="116"/>
  <c r="A24" i="116"/>
  <c r="A23" i="116"/>
  <c r="A22" i="116"/>
  <c r="A21" i="116"/>
  <c r="A20" i="116"/>
  <c r="A19" i="116"/>
  <c r="A18" i="116"/>
  <c r="A17" i="116"/>
  <c r="A16" i="116"/>
  <c r="A15" i="116"/>
  <c r="A14" i="116"/>
  <c r="A13" i="116"/>
  <c r="A12" i="116"/>
  <c r="A11" i="116"/>
  <c r="A10" i="116"/>
  <c r="A6" i="116"/>
  <c r="A5" i="116"/>
  <c r="A4" i="116"/>
  <c r="A3" i="116"/>
  <c r="A68" i="115"/>
  <c r="A67" i="115"/>
  <c r="A66" i="115"/>
  <c r="A65" i="115"/>
  <c r="A64" i="115"/>
  <c r="A63" i="115"/>
  <c r="A62" i="115"/>
  <c r="A61" i="115"/>
  <c r="A60" i="115"/>
  <c r="A59" i="115"/>
  <c r="A58" i="115"/>
  <c r="A54" i="115"/>
  <c r="A53" i="115"/>
  <c r="A52" i="115"/>
  <c r="A51" i="115"/>
  <c r="A50" i="115"/>
  <c r="A49" i="115"/>
  <c r="A48" i="115"/>
  <c r="A47" i="115"/>
  <c r="A46" i="115"/>
  <c r="A45" i="115"/>
  <c r="A44" i="115"/>
  <c r="A43" i="115"/>
  <c r="A42" i="115"/>
  <c r="A41" i="115"/>
  <c r="A40" i="115"/>
  <c r="A39" i="115"/>
  <c r="A38" i="115"/>
  <c r="A37" i="115"/>
  <c r="A36" i="115"/>
  <c r="A35" i="115"/>
  <c r="A34" i="115"/>
  <c r="A33" i="115"/>
  <c r="A32" i="115"/>
  <c r="A31" i="115"/>
  <c r="A27" i="115"/>
  <c r="A26" i="115"/>
  <c r="A25" i="115"/>
  <c r="A24" i="115"/>
  <c r="A23" i="115"/>
  <c r="A22" i="115"/>
  <c r="A21" i="115"/>
  <c r="A20" i="115"/>
  <c r="A19" i="115"/>
  <c r="A18" i="115"/>
  <c r="A17" i="115"/>
  <c r="A16" i="115"/>
  <c r="A15" i="115"/>
  <c r="A14" i="115"/>
  <c r="A13" i="115"/>
  <c r="A12" i="115"/>
  <c r="A11" i="115"/>
  <c r="A10" i="115"/>
  <c r="A6" i="115"/>
  <c r="A5" i="115"/>
  <c r="A4" i="115"/>
  <c r="A3" i="115"/>
  <c r="A68" i="99"/>
  <c r="A67" i="99"/>
  <c r="A66" i="99"/>
  <c r="A65" i="99"/>
  <c r="A64" i="99"/>
  <c r="A63" i="99"/>
  <c r="A62" i="99"/>
  <c r="A61" i="99"/>
  <c r="A60" i="99"/>
  <c r="A59" i="99"/>
  <c r="A58" i="99"/>
  <c r="A54" i="99"/>
  <c r="A53" i="99"/>
  <c r="A52" i="99"/>
  <c r="A51" i="99"/>
  <c r="A50" i="99"/>
  <c r="A49" i="99"/>
  <c r="A48" i="99"/>
  <c r="A47" i="99"/>
  <c r="A46" i="99"/>
  <c r="A45" i="99"/>
  <c r="A44" i="99"/>
  <c r="A43" i="99"/>
  <c r="A42" i="99"/>
  <c r="A41" i="99"/>
  <c r="A40" i="99"/>
  <c r="A39" i="99"/>
  <c r="A38" i="99"/>
  <c r="A37" i="99"/>
  <c r="A36" i="99"/>
  <c r="A35" i="99"/>
  <c r="A34" i="99"/>
  <c r="A33" i="99"/>
  <c r="A32" i="99"/>
  <c r="A31" i="99"/>
  <c r="A27" i="99"/>
  <c r="A26" i="99"/>
  <c r="A25" i="99"/>
  <c r="A24" i="99"/>
  <c r="A23" i="99"/>
  <c r="A22" i="99"/>
  <c r="A21" i="99"/>
  <c r="A20" i="99"/>
  <c r="A19" i="99"/>
  <c r="A18" i="99"/>
  <c r="A17" i="99"/>
  <c r="A16" i="99"/>
  <c r="A15" i="99"/>
  <c r="A14" i="99"/>
  <c r="A13" i="99"/>
  <c r="A12" i="99"/>
  <c r="A11" i="99"/>
  <c r="A10" i="99"/>
  <c r="A6" i="99"/>
  <c r="A5" i="99"/>
  <c r="A4" i="99"/>
  <c r="A3" i="99"/>
  <c r="A68" i="98"/>
  <c r="A67" i="98"/>
  <c r="A66" i="98"/>
  <c r="A65" i="98"/>
  <c r="A64" i="98"/>
  <c r="A63" i="98"/>
  <c r="A62" i="98"/>
  <c r="A61" i="98"/>
  <c r="A60" i="98"/>
  <c r="A59" i="98"/>
  <c r="A58" i="98"/>
  <c r="A54" i="98"/>
  <c r="A53" i="98"/>
  <c r="A52" i="98"/>
  <c r="A51" i="98"/>
  <c r="A50" i="98"/>
  <c r="A49" i="98"/>
  <c r="A48" i="98"/>
  <c r="A47" i="98"/>
  <c r="A46" i="98"/>
  <c r="A45" i="98"/>
  <c r="A44" i="98"/>
  <c r="A43" i="98"/>
  <c r="A42" i="98"/>
  <c r="A41" i="98"/>
  <c r="A40" i="98"/>
  <c r="A39" i="98"/>
  <c r="A38" i="98"/>
  <c r="A37" i="98"/>
  <c r="A36" i="98"/>
  <c r="A35" i="98"/>
  <c r="A34" i="98"/>
  <c r="A33" i="98"/>
  <c r="A32" i="98"/>
  <c r="A31" i="98"/>
  <c r="A27" i="98"/>
  <c r="A26" i="98"/>
  <c r="A25" i="98"/>
  <c r="A24" i="98"/>
  <c r="A23" i="98"/>
  <c r="A22" i="98"/>
  <c r="A21" i="98"/>
  <c r="A20" i="98"/>
  <c r="A19" i="98"/>
  <c r="A18" i="98"/>
  <c r="A17" i="98"/>
  <c r="A16" i="98"/>
  <c r="A15" i="98"/>
  <c r="A14" i="98"/>
  <c r="A13" i="98"/>
  <c r="A12" i="98"/>
  <c r="A11" i="98"/>
  <c r="A10" i="98"/>
  <c r="A6" i="98"/>
  <c r="A5" i="98"/>
  <c r="A4" i="98"/>
  <c r="A3" i="98"/>
  <c r="A68" i="97"/>
  <c r="A67" i="97"/>
  <c r="A66" i="97"/>
  <c r="A65" i="97"/>
  <c r="A64" i="97"/>
  <c r="A63" i="97"/>
  <c r="A62" i="97"/>
  <c r="A61" i="97"/>
  <c r="A60" i="97"/>
  <c r="A59" i="97"/>
  <c r="A58" i="97"/>
  <c r="A54" i="97"/>
  <c r="A53" i="97"/>
  <c r="A52" i="97"/>
  <c r="A51" i="97"/>
  <c r="A50" i="97"/>
  <c r="A49" i="97"/>
  <c r="A48" i="97"/>
  <c r="A47" i="97"/>
  <c r="A46" i="97"/>
  <c r="A45" i="97"/>
  <c r="A44" i="97"/>
  <c r="A43" i="97"/>
  <c r="A42" i="97"/>
  <c r="A41" i="97"/>
  <c r="A40" i="97"/>
  <c r="A39" i="97"/>
  <c r="A38" i="97"/>
  <c r="A37" i="97"/>
  <c r="A36" i="97"/>
  <c r="A35" i="97"/>
  <c r="A34" i="97"/>
  <c r="A33" i="97"/>
  <c r="A32" i="97"/>
  <c r="A31" i="97"/>
  <c r="A27" i="97"/>
  <c r="A26" i="97"/>
  <c r="A25" i="97"/>
  <c r="A24" i="97"/>
  <c r="A23" i="97"/>
  <c r="A22" i="97"/>
  <c r="A21" i="97"/>
  <c r="A20" i="97"/>
  <c r="A19" i="97"/>
  <c r="A18" i="97"/>
  <c r="A17" i="97"/>
  <c r="A16" i="97"/>
  <c r="A15" i="97"/>
  <c r="A14" i="97"/>
  <c r="A13" i="97"/>
  <c r="A12" i="97"/>
  <c r="A11" i="97"/>
  <c r="A10" i="97"/>
  <c r="A6" i="97"/>
  <c r="A5" i="97"/>
  <c r="A4" i="97"/>
  <c r="A3" i="97"/>
  <c r="A68" i="96"/>
  <c r="A67" i="96"/>
  <c r="A66" i="96"/>
  <c r="A65" i="96"/>
  <c r="A64" i="96"/>
  <c r="A63" i="96"/>
  <c r="A62" i="96"/>
  <c r="A61" i="96"/>
  <c r="A60" i="96"/>
  <c r="A59" i="96"/>
  <c r="A58" i="96"/>
  <c r="A54" i="96"/>
  <c r="A53" i="96"/>
  <c r="A52" i="96"/>
  <c r="A51" i="96"/>
  <c r="A50" i="96"/>
  <c r="A49" i="96"/>
  <c r="A48" i="96"/>
  <c r="A47" i="96"/>
  <c r="A46" i="96"/>
  <c r="A45" i="96"/>
  <c r="A44" i="96"/>
  <c r="A43" i="96"/>
  <c r="A42" i="96"/>
  <c r="A41" i="96"/>
  <c r="A40" i="96"/>
  <c r="A39" i="96"/>
  <c r="A38" i="96"/>
  <c r="A37" i="96"/>
  <c r="A36" i="96"/>
  <c r="A35" i="96"/>
  <c r="A34" i="96"/>
  <c r="A33" i="96"/>
  <c r="A32" i="96"/>
  <c r="A31" i="96"/>
  <c r="A27" i="96"/>
  <c r="A26" i="96"/>
  <c r="A25" i="96"/>
  <c r="A24" i="96"/>
  <c r="A23" i="96"/>
  <c r="A22" i="96"/>
  <c r="A21" i="96"/>
  <c r="A20" i="96"/>
  <c r="A19" i="96"/>
  <c r="A18" i="96"/>
  <c r="A17" i="96"/>
  <c r="A16" i="96"/>
  <c r="A15" i="96"/>
  <c r="A14" i="96"/>
  <c r="A13" i="96"/>
  <c r="A12" i="96"/>
  <c r="A11" i="96"/>
  <c r="A10" i="96"/>
  <c r="A6" i="96"/>
  <c r="A5" i="96"/>
  <c r="A4" i="96"/>
  <c r="A3" i="96"/>
  <c r="A68" i="95"/>
  <c r="A67" i="95"/>
  <c r="A66" i="95"/>
  <c r="A65" i="95"/>
  <c r="A64" i="95"/>
  <c r="A63" i="95"/>
  <c r="A62" i="95"/>
  <c r="A61" i="95"/>
  <c r="A60" i="95"/>
  <c r="A59" i="95"/>
  <c r="A58" i="95"/>
  <c r="A54" i="95"/>
  <c r="A53" i="95"/>
  <c r="A52" i="95"/>
  <c r="A51" i="95"/>
  <c r="A50" i="95"/>
  <c r="A49" i="95"/>
  <c r="A48" i="95"/>
  <c r="A47" i="95"/>
  <c r="A46" i="95"/>
  <c r="A45" i="95"/>
  <c r="A44" i="95"/>
  <c r="A43" i="95"/>
  <c r="A42" i="95"/>
  <c r="A41" i="95"/>
  <c r="A40" i="95"/>
  <c r="A39" i="95"/>
  <c r="A38" i="95"/>
  <c r="A37" i="95"/>
  <c r="A36" i="95"/>
  <c r="A35" i="95"/>
  <c r="A34" i="95"/>
  <c r="A33" i="95"/>
  <c r="A32" i="95"/>
  <c r="A31" i="95"/>
  <c r="A27" i="95"/>
  <c r="A26" i="95"/>
  <c r="A25" i="95"/>
  <c r="A24" i="95"/>
  <c r="A23" i="95"/>
  <c r="A22" i="95"/>
  <c r="A21" i="95"/>
  <c r="A20" i="95"/>
  <c r="A19" i="95"/>
  <c r="A18" i="95"/>
  <c r="A17" i="95"/>
  <c r="A16" i="95"/>
  <c r="A15" i="95"/>
  <c r="A14" i="95"/>
  <c r="A13" i="95"/>
  <c r="A12" i="95"/>
  <c r="A11" i="95"/>
  <c r="A10" i="95"/>
  <c r="A6" i="95"/>
  <c r="A5" i="95"/>
  <c r="A4" i="95"/>
  <c r="A3" i="95"/>
  <c r="A68" i="94"/>
  <c r="A67" i="94"/>
  <c r="A66" i="94"/>
  <c r="A65" i="94"/>
  <c r="A64" i="94"/>
  <c r="A63" i="94"/>
  <c r="A62" i="94"/>
  <c r="A61" i="94"/>
  <c r="A60" i="94"/>
  <c r="A59" i="94"/>
  <c r="A58" i="94"/>
  <c r="A54" i="94"/>
  <c r="A53" i="94"/>
  <c r="A52" i="94"/>
  <c r="A51" i="94"/>
  <c r="A50" i="94"/>
  <c r="A49" i="94"/>
  <c r="A48" i="94"/>
  <c r="A47" i="94"/>
  <c r="A46" i="94"/>
  <c r="A45" i="94"/>
  <c r="A44" i="94"/>
  <c r="A43" i="94"/>
  <c r="A42" i="94"/>
  <c r="A41" i="94"/>
  <c r="A40" i="94"/>
  <c r="A39" i="94"/>
  <c r="A38" i="94"/>
  <c r="A37" i="94"/>
  <c r="A36" i="94"/>
  <c r="A35" i="94"/>
  <c r="A34" i="94"/>
  <c r="A33" i="94"/>
  <c r="A32" i="94"/>
  <c r="A31" i="94"/>
  <c r="A27" i="94"/>
  <c r="A26" i="94"/>
  <c r="A25" i="94"/>
  <c r="A24" i="94"/>
  <c r="A23" i="94"/>
  <c r="A22" i="94"/>
  <c r="A21" i="94"/>
  <c r="A20" i="94"/>
  <c r="A19" i="94"/>
  <c r="A18" i="94"/>
  <c r="A17" i="94"/>
  <c r="A16" i="94"/>
  <c r="A15" i="94"/>
  <c r="A14" i="94"/>
  <c r="A13" i="94"/>
  <c r="A12" i="94"/>
  <c r="A11" i="94"/>
  <c r="A10" i="94"/>
  <c r="A6" i="94"/>
  <c r="A5" i="94"/>
  <c r="A4" i="94"/>
  <c r="A3" i="94"/>
  <c r="A68" i="90"/>
  <c r="A67" i="90"/>
  <c r="A66" i="90"/>
  <c r="A65" i="90"/>
  <c r="A64" i="90"/>
  <c r="A63" i="90"/>
  <c r="A62" i="90"/>
  <c r="A61" i="90"/>
  <c r="A60" i="90"/>
  <c r="A59" i="90"/>
  <c r="A58" i="90"/>
  <c r="A54" i="90"/>
  <c r="A53" i="90"/>
  <c r="A52" i="90"/>
  <c r="A51" i="90"/>
  <c r="A50" i="90"/>
  <c r="A49" i="90"/>
  <c r="A48" i="90"/>
  <c r="A47" i="90"/>
  <c r="A46" i="90"/>
  <c r="A45" i="90"/>
  <c r="A44" i="90"/>
  <c r="A43" i="90"/>
  <c r="A42" i="90"/>
  <c r="A41" i="90"/>
  <c r="A40" i="90"/>
  <c r="A39" i="90"/>
  <c r="A38" i="90"/>
  <c r="A37" i="90"/>
  <c r="A36" i="90"/>
  <c r="A35" i="90"/>
  <c r="A34" i="90"/>
  <c r="A33" i="90"/>
  <c r="A32" i="90"/>
  <c r="A31" i="90"/>
  <c r="A27" i="90"/>
  <c r="A26" i="90"/>
  <c r="A25" i="90"/>
  <c r="A24" i="90"/>
  <c r="A23" i="90"/>
  <c r="A22" i="90"/>
  <c r="A21" i="90"/>
  <c r="A20" i="90"/>
  <c r="A19" i="90"/>
  <c r="A18" i="90"/>
  <c r="A17" i="90"/>
  <c r="A16" i="90"/>
  <c r="A15" i="90"/>
  <c r="A14" i="90"/>
  <c r="A13" i="90"/>
  <c r="A12" i="90"/>
  <c r="A11" i="90"/>
  <c r="A10" i="90"/>
  <c r="A6" i="90"/>
  <c r="A5" i="90"/>
  <c r="A4" i="90"/>
  <c r="A3" i="90"/>
  <c r="A68" i="89"/>
  <c r="A67" i="89"/>
  <c r="A66" i="89"/>
  <c r="A65" i="89"/>
  <c r="A64" i="89"/>
  <c r="A63" i="89"/>
  <c r="A62" i="89"/>
  <c r="A61" i="89"/>
  <c r="A60" i="89"/>
  <c r="A59" i="89"/>
  <c r="A58" i="89"/>
  <c r="A54" i="89"/>
  <c r="A53" i="89"/>
  <c r="A52" i="89"/>
  <c r="A51" i="89"/>
  <c r="A50" i="89"/>
  <c r="A49" i="89"/>
  <c r="A48" i="89"/>
  <c r="A47" i="89"/>
  <c r="A46" i="89"/>
  <c r="A45" i="89"/>
  <c r="A44" i="89"/>
  <c r="A43" i="89"/>
  <c r="A42" i="89"/>
  <c r="A41" i="89"/>
  <c r="A40" i="89"/>
  <c r="A39" i="89"/>
  <c r="A38" i="89"/>
  <c r="A37" i="89"/>
  <c r="A36" i="89"/>
  <c r="A35" i="89"/>
  <c r="A34" i="89"/>
  <c r="A33" i="89"/>
  <c r="A32" i="89"/>
  <c r="A31" i="89"/>
  <c r="A27" i="89"/>
  <c r="A26" i="89"/>
  <c r="A25" i="89"/>
  <c r="A24" i="89"/>
  <c r="A23" i="89"/>
  <c r="A22" i="89"/>
  <c r="A21" i="89"/>
  <c r="A20" i="89"/>
  <c r="A19" i="89"/>
  <c r="A18" i="89"/>
  <c r="A17" i="89"/>
  <c r="A16" i="89"/>
  <c r="A15" i="89"/>
  <c r="A14" i="89"/>
  <c r="A13" i="89"/>
  <c r="A12" i="89"/>
  <c r="A11" i="89"/>
  <c r="A10" i="89"/>
  <c r="A6" i="89"/>
  <c r="A5" i="89"/>
  <c r="A4" i="89"/>
  <c r="A3" i="89"/>
  <c r="A68" i="88"/>
  <c r="A67" i="88"/>
  <c r="A66" i="88"/>
  <c r="A65" i="88"/>
  <c r="A64" i="88"/>
  <c r="A63" i="88"/>
  <c r="A62" i="88"/>
  <c r="A61" i="88"/>
  <c r="A60" i="88"/>
  <c r="A59" i="88"/>
  <c r="A58" i="88"/>
  <c r="A54" i="88"/>
  <c r="A53" i="88"/>
  <c r="A52" i="88"/>
  <c r="A51" i="88"/>
  <c r="A50" i="88"/>
  <c r="A49" i="88"/>
  <c r="A48" i="88"/>
  <c r="A47" i="88"/>
  <c r="A46" i="88"/>
  <c r="A45" i="88"/>
  <c r="A44" i="88"/>
  <c r="A43" i="88"/>
  <c r="A42" i="88"/>
  <c r="A41" i="88"/>
  <c r="A40" i="88"/>
  <c r="A39" i="88"/>
  <c r="A38" i="88"/>
  <c r="A37" i="88"/>
  <c r="A36" i="88"/>
  <c r="A35" i="88"/>
  <c r="A34" i="88"/>
  <c r="A33" i="88"/>
  <c r="A32" i="88"/>
  <c r="A31" i="88"/>
  <c r="A27" i="88"/>
  <c r="A26" i="88"/>
  <c r="A25" i="88"/>
  <c r="A24" i="88"/>
  <c r="A23" i="88"/>
  <c r="A22" i="88"/>
  <c r="A21" i="88"/>
  <c r="A20" i="88"/>
  <c r="A19" i="88"/>
  <c r="A18" i="88"/>
  <c r="A17" i="88"/>
  <c r="A16" i="88"/>
  <c r="A15" i="88"/>
  <c r="A14" i="88"/>
  <c r="A13" i="88"/>
  <c r="A12" i="88"/>
  <c r="A11" i="88"/>
  <c r="A10" i="88"/>
  <c r="A6" i="88"/>
  <c r="A5" i="88"/>
  <c r="A4" i="88"/>
  <c r="A3" i="88"/>
  <c r="A68" i="87"/>
  <c r="A67" i="87"/>
  <c r="A66" i="87"/>
  <c r="A65" i="87"/>
  <c r="A64" i="87"/>
  <c r="A63" i="87"/>
  <c r="A62" i="87"/>
  <c r="A61" i="87"/>
  <c r="A60" i="87"/>
  <c r="A59" i="87"/>
  <c r="A58" i="87"/>
  <c r="A54" i="87"/>
  <c r="A53" i="87"/>
  <c r="A52" i="87"/>
  <c r="A51" i="87"/>
  <c r="A50" i="87"/>
  <c r="A49" i="87"/>
  <c r="A48" i="87"/>
  <c r="A47" i="87"/>
  <c r="A46" i="87"/>
  <c r="A45" i="87"/>
  <c r="A44" i="87"/>
  <c r="A43" i="87"/>
  <c r="A42" i="87"/>
  <c r="A41" i="87"/>
  <c r="A40" i="87"/>
  <c r="A39" i="87"/>
  <c r="A38" i="87"/>
  <c r="A37" i="87"/>
  <c r="A36" i="87"/>
  <c r="A35" i="87"/>
  <c r="A34" i="87"/>
  <c r="A33" i="87"/>
  <c r="A32" i="87"/>
  <c r="A31" i="87"/>
  <c r="A27" i="87"/>
  <c r="A26" i="87"/>
  <c r="A25" i="87"/>
  <c r="A24" i="87"/>
  <c r="A23" i="87"/>
  <c r="A22" i="87"/>
  <c r="A21" i="87"/>
  <c r="A20" i="87"/>
  <c r="A19" i="87"/>
  <c r="A18" i="87"/>
  <c r="A17" i="87"/>
  <c r="A16" i="87"/>
  <c r="A15" i="87"/>
  <c r="A14" i="87"/>
  <c r="A13" i="87"/>
  <c r="A12" i="87"/>
  <c r="A11" i="87"/>
  <c r="A10" i="87"/>
  <c r="A6" i="87"/>
  <c r="A5" i="87"/>
  <c r="A4" i="87"/>
  <c r="A3" i="87"/>
  <c r="A68" i="86"/>
  <c r="A67" i="86"/>
  <c r="A66" i="86"/>
  <c r="A65" i="86"/>
  <c r="A64" i="86"/>
  <c r="A63" i="86"/>
  <c r="A62" i="86"/>
  <c r="A61" i="86"/>
  <c r="A60" i="86"/>
  <c r="A59" i="86"/>
  <c r="A58" i="86"/>
  <c r="A54" i="86"/>
  <c r="A53" i="86"/>
  <c r="A52" i="86"/>
  <c r="A51" i="86"/>
  <c r="A50" i="86"/>
  <c r="A49" i="86"/>
  <c r="A48" i="86"/>
  <c r="A47" i="86"/>
  <c r="A46" i="86"/>
  <c r="A45" i="86"/>
  <c r="A44" i="86"/>
  <c r="A43" i="86"/>
  <c r="A42" i="86"/>
  <c r="A41" i="86"/>
  <c r="A40" i="86"/>
  <c r="A39" i="86"/>
  <c r="A38" i="86"/>
  <c r="A37" i="86"/>
  <c r="A36" i="86"/>
  <c r="A35" i="86"/>
  <c r="A34" i="86"/>
  <c r="A33" i="86"/>
  <c r="A32" i="86"/>
  <c r="A31" i="86"/>
  <c r="A27" i="86"/>
  <c r="A26" i="86"/>
  <c r="A25" i="86"/>
  <c r="A24" i="86"/>
  <c r="A23" i="86"/>
  <c r="A22" i="86"/>
  <c r="A21" i="86"/>
  <c r="A20" i="86"/>
  <c r="A19" i="86"/>
  <c r="A18" i="86"/>
  <c r="A17" i="86"/>
  <c r="A16" i="86"/>
  <c r="A15" i="86"/>
  <c r="A14" i="86"/>
  <c r="A13" i="86"/>
  <c r="A12" i="86"/>
  <c r="A11" i="86"/>
  <c r="A10" i="86"/>
  <c r="A6" i="86"/>
  <c r="A5" i="86"/>
  <c r="A4" i="86"/>
  <c r="A3" i="86"/>
  <c r="A68" i="85"/>
  <c r="A67" i="85"/>
  <c r="A66" i="85"/>
  <c r="A65" i="85"/>
  <c r="A64" i="85"/>
  <c r="A63" i="85"/>
  <c r="A62" i="85"/>
  <c r="A61" i="85"/>
  <c r="A60" i="85"/>
  <c r="A59" i="85"/>
  <c r="A58" i="85"/>
  <c r="A54" i="85"/>
  <c r="A53" i="85"/>
  <c r="A52" i="85"/>
  <c r="A51" i="85"/>
  <c r="A50" i="85"/>
  <c r="A49" i="85"/>
  <c r="A48" i="85"/>
  <c r="A47" i="85"/>
  <c r="A46" i="85"/>
  <c r="A45" i="85"/>
  <c r="A44" i="85"/>
  <c r="A43" i="85"/>
  <c r="A42" i="85"/>
  <c r="A41" i="85"/>
  <c r="A40" i="85"/>
  <c r="A39" i="85"/>
  <c r="A38" i="85"/>
  <c r="A37" i="85"/>
  <c r="A36" i="85"/>
  <c r="A35" i="85"/>
  <c r="A34" i="85"/>
  <c r="A33" i="85"/>
  <c r="A32" i="85"/>
  <c r="A31" i="85"/>
  <c r="A27" i="85"/>
  <c r="A26" i="85"/>
  <c r="A25" i="85"/>
  <c r="A24" i="85"/>
  <c r="A23" i="85"/>
  <c r="A22" i="85"/>
  <c r="A21" i="85"/>
  <c r="A20" i="85"/>
  <c r="A19" i="85"/>
  <c r="A18" i="85"/>
  <c r="A17" i="85"/>
  <c r="A16" i="85"/>
  <c r="A15" i="85"/>
  <c r="A14" i="85"/>
  <c r="A13" i="85"/>
  <c r="A12" i="85"/>
  <c r="A11" i="85"/>
  <c r="A10" i="85"/>
  <c r="A6" i="85"/>
  <c r="A5" i="85"/>
  <c r="A4" i="85"/>
  <c r="A3" i="85"/>
  <c r="A68" i="84"/>
  <c r="A67" i="84"/>
  <c r="A66" i="84"/>
  <c r="A65" i="84"/>
  <c r="A64" i="84"/>
  <c r="A63" i="84"/>
  <c r="A62" i="84"/>
  <c r="A61" i="84"/>
  <c r="A60" i="84"/>
  <c r="A59" i="84"/>
  <c r="A58" i="84"/>
  <c r="A54" i="84"/>
  <c r="A53" i="84"/>
  <c r="A52" i="84"/>
  <c r="A51" i="84"/>
  <c r="A50" i="84"/>
  <c r="A49" i="84"/>
  <c r="A48" i="84"/>
  <c r="A47" i="84"/>
  <c r="A46" i="84"/>
  <c r="A45" i="84"/>
  <c r="A44" i="84"/>
  <c r="A43" i="84"/>
  <c r="A42" i="84"/>
  <c r="A41" i="84"/>
  <c r="A40" i="84"/>
  <c r="A39" i="84"/>
  <c r="A38" i="84"/>
  <c r="A37" i="84"/>
  <c r="A36" i="84"/>
  <c r="A35" i="84"/>
  <c r="A34" i="84"/>
  <c r="A33" i="84"/>
  <c r="A32" i="84"/>
  <c r="A31" i="84"/>
  <c r="A27" i="84"/>
  <c r="A26" i="84"/>
  <c r="A25" i="84"/>
  <c r="A24" i="84"/>
  <c r="A23" i="84"/>
  <c r="A22" i="84"/>
  <c r="A21" i="84"/>
  <c r="A20" i="84"/>
  <c r="A19" i="84"/>
  <c r="A18" i="84"/>
  <c r="A17" i="84"/>
  <c r="A16" i="84"/>
  <c r="A15" i="84"/>
  <c r="A14" i="84"/>
  <c r="A13" i="84"/>
  <c r="A12" i="84"/>
  <c r="A11" i="84"/>
  <c r="A10" i="84"/>
  <c r="A6" i="84"/>
  <c r="A5" i="84"/>
  <c r="A4" i="84"/>
  <c r="A3" i="84"/>
  <c r="A68" i="83"/>
  <c r="A67" i="83"/>
  <c r="A66" i="83"/>
  <c r="A65" i="83"/>
  <c r="A64" i="83"/>
  <c r="A63" i="83"/>
  <c r="A62" i="83"/>
  <c r="A61" i="83"/>
  <c r="A60" i="83"/>
  <c r="A59" i="83"/>
  <c r="A58" i="83"/>
  <c r="A54" i="83"/>
  <c r="A53" i="83"/>
  <c r="A52" i="83"/>
  <c r="A51" i="83"/>
  <c r="A50" i="83"/>
  <c r="A49" i="83"/>
  <c r="A48" i="83"/>
  <c r="A47" i="83"/>
  <c r="A46" i="83"/>
  <c r="A45" i="83"/>
  <c r="A44" i="83"/>
  <c r="A43" i="83"/>
  <c r="A42" i="83"/>
  <c r="A41" i="83"/>
  <c r="A40" i="83"/>
  <c r="A39" i="83"/>
  <c r="A38" i="83"/>
  <c r="A37" i="83"/>
  <c r="A36" i="83"/>
  <c r="A35" i="83"/>
  <c r="A34" i="83"/>
  <c r="A33" i="83"/>
  <c r="A32" i="83"/>
  <c r="A31" i="83"/>
  <c r="A27" i="83"/>
  <c r="A26" i="83"/>
  <c r="A25" i="83"/>
  <c r="A24" i="83"/>
  <c r="A23" i="83"/>
  <c r="A22" i="83"/>
  <c r="A21" i="83"/>
  <c r="A20" i="83"/>
  <c r="A19" i="83"/>
  <c r="A18" i="83"/>
  <c r="A17" i="83"/>
  <c r="A16" i="83"/>
  <c r="A15" i="83"/>
  <c r="A14" i="83"/>
  <c r="A13" i="83"/>
  <c r="A12" i="83"/>
  <c r="A11" i="83"/>
  <c r="A10" i="83"/>
  <c r="A6" i="83"/>
  <c r="A5" i="83"/>
  <c r="A4" i="83"/>
  <c r="A3" i="83"/>
  <c r="A68" i="92"/>
  <c r="A67" i="92"/>
  <c r="A66" i="92"/>
  <c r="A65" i="92"/>
  <c r="A64" i="92"/>
  <c r="A63" i="92"/>
  <c r="A62" i="92"/>
  <c r="A61" i="92"/>
  <c r="A60" i="92"/>
  <c r="A59" i="92"/>
  <c r="A58" i="92"/>
  <c r="A54" i="92"/>
  <c r="A53" i="92"/>
  <c r="A52" i="92"/>
  <c r="A51" i="92"/>
  <c r="A50" i="92"/>
  <c r="A49" i="92"/>
  <c r="A48" i="92"/>
  <c r="A47" i="92"/>
  <c r="A46" i="92"/>
  <c r="A45" i="92"/>
  <c r="A44" i="92"/>
  <c r="A43" i="92"/>
  <c r="A42" i="92"/>
  <c r="A41" i="92"/>
  <c r="A40" i="92"/>
  <c r="A39" i="92"/>
  <c r="A38" i="92"/>
  <c r="A37" i="92"/>
  <c r="A36" i="92"/>
  <c r="A35" i="92"/>
  <c r="A34" i="92"/>
  <c r="A33" i="92"/>
  <c r="A32" i="92"/>
  <c r="A31" i="92"/>
  <c r="A27" i="92"/>
  <c r="A26" i="92"/>
  <c r="A25" i="92"/>
  <c r="A24" i="92"/>
  <c r="A23" i="92"/>
  <c r="A22" i="92"/>
  <c r="A21" i="92"/>
  <c r="A20" i="92"/>
  <c r="A19" i="92"/>
  <c r="A18" i="92"/>
  <c r="A17" i="92"/>
  <c r="A16" i="92"/>
  <c r="A15" i="92"/>
  <c r="A14" i="92"/>
  <c r="A13" i="92"/>
  <c r="A12" i="92"/>
  <c r="A11" i="92"/>
  <c r="A10" i="92"/>
  <c r="A6" i="92"/>
  <c r="A5" i="92"/>
  <c r="A4" i="92"/>
  <c r="A3" i="92"/>
  <c r="A68" i="123"/>
  <c r="A67" i="123"/>
  <c r="A66" i="123"/>
  <c r="A65" i="123"/>
  <c r="A64" i="123"/>
  <c r="A63" i="123"/>
  <c r="A62" i="123"/>
  <c r="A61" i="123"/>
  <c r="A60" i="123"/>
  <c r="A59" i="123"/>
  <c r="A58" i="123"/>
  <c r="A54" i="123"/>
  <c r="A53" i="123"/>
  <c r="A52" i="123"/>
  <c r="A51" i="123"/>
  <c r="A50" i="123"/>
  <c r="A49" i="123"/>
  <c r="A48" i="123"/>
  <c r="A47" i="123"/>
  <c r="A46" i="123"/>
  <c r="A45" i="123"/>
  <c r="A44" i="123"/>
  <c r="A43" i="123"/>
  <c r="A42" i="123"/>
  <c r="A41" i="123"/>
  <c r="A40" i="123"/>
  <c r="A39" i="123"/>
  <c r="A38" i="123"/>
  <c r="A37" i="123"/>
  <c r="A36" i="123"/>
  <c r="A35" i="123"/>
  <c r="A34" i="123"/>
  <c r="A33" i="123"/>
  <c r="A32" i="123"/>
  <c r="A31" i="123"/>
  <c r="A27" i="123"/>
  <c r="A26" i="123"/>
  <c r="A25" i="123"/>
  <c r="A24" i="123"/>
  <c r="A23" i="123"/>
  <c r="A22" i="123"/>
  <c r="A21" i="123"/>
  <c r="A20" i="123"/>
  <c r="A19" i="123"/>
  <c r="A18" i="123"/>
  <c r="A17" i="123"/>
  <c r="A16" i="123"/>
  <c r="A15" i="123"/>
  <c r="A14" i="123"/>
  <c r="A13" i="123"/>
  <c r="A12" i="123"/>
  <c r="A11" i="123"/>
  <c r="A10" i="123"/>
  <c r="A6" i="123"/>
  <c r="A5" i="123"/>
  <c r="A4" i="123"/>
  <c r="A3" i="123"/>
  <c r="A68" i="111"/>
  <c r="A67" i="111"/>
  <c r="A66" i="111"/>
  <c r="A65" i="111"/>
  <c r="A64" i="111"/>
  <c r="A63" i="111"/>
  <c r="A62" i="111"/>
  <c r="A61" i="111"/>
  <c r="A60" i="111"/>
  <c r="A59" i="111"/>
  <c r="A58" i="111"/>
  <c r="A54" i="111"/>
  <c r="A53" i="111"/>
  <c r="A52" i="111"/>
  <c r="A51" i="111"/>
  <c r="A50" i="111"/>
  <c r="A49" i="111"/>
  <c r="A48" i="111"/>
  <c r="A47" i="111"/>
  <c r="A46" i="111"/>
  <c r="A45" i="111"/>
  <c r="A44" i="111"/>
  <c r="A43" i="111"/>
  <c r="A42" i="111"/>
  <c r="A41" i="111"/>
  <c r="A40" i="111"/>
  <c r="A39" i="111"/>
  <c r="A38" i="111"/>
  <c r="A37" i="111"/>
  <c r="A36" i="111"/>
  <c r="A35" i="111"/>
  <c r="A34" i="111"/>
  <c r="A33" i="111"/>
  <c r="A32" i="111"/>
  <c r="A31" i="111"/>
  <c r="A27" i="111"/>
  <c r="A26" i="111"/>
  <c r="A25" i="111"/>
  <c r="A24" i="111"/>
  <c r="A23" i="111"/>
  <c r="A22" i="111"/>
  <c r="A21" i="111"/>
  <c r="A20" i="111"/>
  <c r="A19" i="111"/>
  <c r="A18" i="111"/>
  <c r="A17" i="111"/>
  <c r="A16" i="111"/>
  <c r="A15" i="111"/>
  <c r="A14" i="111"/>
  <c r="A13" i="111"/>
  <c r="A12" i="111"/>
  <c r="A11" i="111"/>
  <c r="A10" i="111"/>
  <c r="A6" i="111"/>
  <c r="A5" i="111"/>
  <c r="A4" i="111"/>
  <c r="A3" i="111"/>
  <c r="A68" i="122"/>
  <c r="A67" i="122"/>
  <c r="A66" i="122"/>
  <c r="A65" i="122"/>
  <c r="A64" i="122"/>
  <c r="A63" i="122"/>
  <c r="A62" i="122"/>
  <c r="A61" i="122"/>
  <c r="A60" i="122"/>
  <c r="A59" i="122"/>
  <c r="A58" i="122"/>
  <c r="A54" i="122"/>
  <c r="A53" i="122"/>
  <c r="A52" i="122"/>
  <c r="A51" i="122"/>
  <c r="A50" i="122"/>
  <c r="A49" i="122"/>
  <c r="A48" i="122"/>
  <c r="A47" i="122"/>
  <c r="A46" i="122"/>
  <c r="A45" i="122"/>
  <c r="A44" i="122"/>
  <c r="A43" i="122"/>
  <c r="A42" i="122"/>
  <c r="A41" i="122"/>
  <c r="A40" i="122"/>
  <c r="A39" i="122"/>
  <c r="A38" i="122"/>
  <c r="A37" i="122"/>
  <c r="A36" i="122"/>
  <c r="A35" i="122"/>
  <c r="A34" i="122"/>
  <c r="A33" i="122"/>
  <c r="A32" i="122"/>
  <c r="A31" i="122"/>
  <c r="A27" i="122"/>
  <c r="A26" i="122"/>
  <c r="A25" i="122"/>
  <c r="A24" i="122"/>
  <c r="A23" i="122"/>
  <c r="A22" i="122"/>
  <c r="A21" i="122"/>
  <c r="A20" i="122"/>
  <c r="A19" i="122"/>
  <c r="A18" i="122"/>
  <c r="A17" i="122"/>
  <c r="A16" i="122"/>
  <c r="A15" i="122"/>
  <c r="A14" i="122"/>
  <c r="A13" i="122"/>
  <c r="A12" i="122"/>
  <c r="A11" i="122"/>
  <c r="A10" i="122"/>
  <c r="A6" i="122"/>
  <c r="A5" i="122"/>
  <c r="A4" i="122"/>
  <c r="A3" i="122"/>
  <c r="A68" i="121"/>
  <c r="A67" i="121"/>
  <c r="A66" i="121"/>
  <c r="A65" i="121"/>
  <c r="A64" i="121"/>
  <c r="A63" i="121"/>
  <c r="A62" i="121"/>
  <c r="A61" i="121"/>
  <c r="A60" i="121"/>
  <c r="A59" i="121"/>
  <c r="A58" i="121"/>
  <c r="A54" i="121"/>
  <c r="A53" i="121"/>
  <c r="A52" i="121"/>
  <c r="A51" i="121"/>
  <c r="A50" i="121"/>
  <c r="A49" i="121"/>
  <c r="A48" i="121"/>
  <c r="A47" i="121"/>
  <c r="A46" i="121"/>
  <c r="A45" i="121"/>
  <c r="A44" i="121"/>
  <c r="A43" i="121"/>
  <c r="A42" i="121"/>
  <c r="A41" i="121"/>
  <c r="A40" i="121"/>
  <c r="A39" i="121"/>
  <c r="A38" i="121"/>
  <c r="A37" i="121"/>
  <c r="A36" i="121"/>
  <c r="A35" i="121"/>
  <c r="A34" i="121"/>
  <c r="A33" i="121"/>
  <c r="A32" i="121"/>
  <c r="A31" i="121"/>
  <c r="A27" i="121"/>
  <c r="A26" i="121"/>
  <c r="A25" i="121"/>
  <c r="A24" i="121"/>
  <c r="A23" i="121"/>
  <c r="A22" i="121"/>
  <c r="A21" i="121"/>
  <c r="A20" i="121"/>
  <c r="A19" i="121"/>
  <c r="A18" i="121"/>
  <c r="A17" i="121"/>
  <c r="A16" i="121"/>
  <c r="A15" i="121"/>
  <c r="A14" i="121"/>
  <c r="A13" i="121"/>
  <c r="A12" i="121"/>
  <c r="A11" i="121"/>
  <c r="A10" i="121"/>
  <c r="A6" i="121"/>
  <c r="A5" i="121"/>
  <c r="A4" i="121"/>
  <c r="A3" i="121"/>
  <c r="A68" i="120"/>
  <c r="A67" i="120"/>
  <c r="A66" i="120"/>
  <c r="A65" i="120"/>
  <c r="A64" i="120"/>
  <c r="A63" i="120"/>
  <c r="A62" i="120"/>
  <c r="A61" i="120"/>
  <c r="A60" i="120"/>
  <c r="A59" i="120"/>
  <c r="A58" i="120"/>
  <c r="A54" i="120"/>
  <c r="A53" i="120"/>
  <c r="A52" i="120"/>
  <c r="A51" i="120"/>
  <c r="A50" i="120"/>
  <c r="A49" i="120"/>
  <c r="A48" i="120"/>
  <c r="A47" i="120"/>
  <c r="A46" i="120"/>
  <c r="A45" i="120"/>
  <c r="A44" i="120"/>
  <c r="A43" i="120"/>
  <c r="A42" i="120"/>
  <c r="A41" i="120"/>
  <c r="A40" i="120"/>
  <c r="A39" i="120"/>
  <c r="A38" i="120"/>
  <c r="A37" i="120"/>
  <c r="A36" i="120"/>
  <c r="A35" i="120"/>
  <c r="A34" i="120"/>
  <c r="A33" i="120"/>
  <c r="A32" i="120"/>
  <c r="A31" i="120"/>
  <c r="A27" i="120"/>
  <c r="A26" i="120"/>
  <c r="A25" i="120"/>
  <c r="A24" i="120"/>
  <c r="A23" i="120"/>
  <c r="A22" i="120"/>
  <c r="A21" i="120"/>
  <c r="A20" i="120"/>
  <c r="A19" i="120"/>
  <c r="A18" i="120"/>
  <c r="A17" i="120"/>
  <c r="A16" i="120"/>
  <c r="A15" i="120"/>
  <c r="A14" i="120"/>
  <c r="A13" i="120"/>
  <c r="A12" i="120"/>
  <c r="A11" i="120"/>
  <c r="A10" i="120"/>
  <c r="A6" i="120"/>
  <c r="A5" i="120"/>
  <c r="A4" i="120"/>
  <c r="A3" i="120"/>
  <c r="A68" i="119"/>
  <c r="A67" i="119"/>
  <c r="A66" i="119"/>
  <c r="A65" i="119"/>
  <c r="A64" i="119"/>
  <c r="A63" i="119"/>
  <c r="A62" i="119"/>
  <c r="A61" i="119"/>
  <c r="A60" i="119"/>
  <c r="A59" i="119"/>
  <c r="A58" i="119"/>
  <c r="A54" i="119"/>
  <c r="A53" i="119"/>
  <c r="A52" i="119"/>
  <c r="A51" i="119"/>
  <c r="A50" i="119"/>
  <c r="A49" i="119"/>
  <c r="A48" i="119"/>
  <c r="A47" i="119"/>
  <c r="A46" i="119"/>
  <c r="A45" i="119"/>
  <c r="A44" i="119"/>
  <c r="A43" i="119"/>
  <c r="A42" i="119"/>
  <c r="A41" i="119"/>
  <c r="A40" i="119"/>
  <c r="A39" i="119"/>
  <c r="A38" i="119"/>
  <c r="A37" i="119"/>
  <c r="A36" i="119"/>
  <c r="A35" i="119"/>
  <c r="A34" i="119"/>
  <c r="A33" i="119"/>
  <c r="A32" i="119"/>
  <c r="A31" i="119"/>
  <c r="A27" i="119"/>
  <c r="A26" i="119"/>
  <c r="A25" i="119"/>
  <c r="A24" i="119"/>
  <c r="A23" i="119"/>
  <c r="A22" i="119"/>
  <c r="A21" i="119"/>
  <c r="A20" i="119"/>
  <c r="A19" i="119"/>
  <c r="A18" i="119"/>
  <c r="A17" i="119"/>
  <c r="A16" i="119"/>
  <c r="A15" i="119"/>
  <c r="A14" i="119"/>
  <c r="A13" i="119"/>
  <c r="A12" i="119"/>
  <c r="A11" i="119"/>
  <c r="A10" i="119"/>
  <c r="A6" i="119"/>
  <c r="A5" i="119"/>
  <c r="A4" i="119"/>
  <c r="A3" i="119"/>
  <c r="A68" i="101"/>
  <c r="A67" i="101"/>
  <c r="A66" i="101"/>
  <c r="A65" i="101"/>
  <c r="A64" i="101"/>
  <c r="A63" i="101"/>
  <c r="A62" i="101"/>
  <c r="A61" i="101"/>
  <c r="A60" i="101"/>
  <c r="A59" i="101"/>
  <c r="A58" i="101"/>
  <c r="A54" i="101"/>
  <c r="A53" i="101"/>
  <c r="A52" i="101"/>
  <c r="A51" i="101"/>
  <c r="A50" i="101"/>
  <c r="A49" i="101"/>
  <c r="A48" i="101"/>
  <c r="A47" i="101"/>
  <c r="A46" i="101"/>
  <c r="A45" i="101"/>
  <c r="A44" i="101"/>
  <c r="A43" i="101"/>
  <c r="A42" i="101"/>
  <c r="A41" i="101"/>
  <c r="A40" i="101"/>
  <c r="A39" i="101"/>
  <c r="A38" i="101"/>
  <c r="A37" i="101"/>
  <c r="A36" i="101"/>
  <c r="A35" i="101"/>
  <c r="A34" i="101"/>
  <c r="A33" i="101"/>
  <c r="A32" i="101"/>
  <c r="A31" i="101"/>
  <c r="A27" i="101"/>
  <c r="A26" i="101"/>
  <c r="A25" i="101"/>
  <c r="A24" i="101"/>
  <c r="A23" i="101"/>
  <c r="A22" i="101"/>
  <c r="A21" i="101"/>
  <c r="A20" i="101"/>
  <c r="A19" i="101"/>
  <c r="A18" i="101"/>
  <c r="A17" i="101"/>
  <c r="A16" i="101"/>
  <c r="A15" i="101"/>
  <c r="A14" i="101"/>
  <c r="A13" i="101"/>
  <c r="A12" i="101"/>
  <c r="A11" i="101"/>
  <c r="A10" i="101"/>
  <c r="A6" i="101"/>
  <c r="A5" i="101"/>
  <c r="A4" i="101"/>
  <c r="A3" i="101"/>
  <c r="A68" i="104"/>
  <c r="A67" i="104"/>
  <c r="A66" i="104"/>
  <c r="A65" i="104"/>
  <c r="A64" i="104"/>
  <c r="A63" i="104"/>
  <c r="A62" i="104"/>
  <c r="A61" i="104"/>
  <c r="A60" i="104"/>
  <c r="A59" i="104"/>
  <c r="A58" i="104"/>
  <c r="A54" i="104"/>
  <c r="A53" i="104"/>
  <c r="A52" i="104"/>
  <c r="A51" i="104"/>
  <c r="A50" i="104"/>
  <c r="A49" i="104"/>
  <c r="A48" i="104"/>
  <c r="A47" i="104"/>
  <c r="A46" i="104"/>
  <c r="A45" i="104"/>
  <c r="A44" i="104"/>
  <c r="A43" i="104"/>
  <c r="A42" i="104"/>
  <c r="A41" i="104"/>
  <c r="A40" i="104"/>
  <c r="A39" i="104"/>
  <c r="A38" i="104"/>
  <c r="A37" i="104"/>
  <c r="A36" i="104"/>
  <c r="A35" i="104"/>
  <c r="A34" i="104"/>
  <c r="A33" i="104"/>
  <c r="A32" i="104"/>
  <c r="A31" i="104"/>
  <c r="A27" i="104"/>
  <c r="A26" i="104"/>
  <c r="A25" i="104"/>
  <c r="A24" i="104"/>
  <c r="A23" i="104"/>
  <c r="A22" i="104"/>
  <c r="A21" i="104"/>
  <c r="A20" i="104"/>
  <c r="A19" i="104"/>
  <c r="A18" i="104"/>
  <c r="A17" i="104"/>
  <c r="A16" i="104"/>
  <c r="A15" i="104"/>
  <c r="A14" i="104"/>
  <c r="A13" i="104"/>
  <c r="A12" i="104"/>
  <c r="A11" i="104"/>
  <c r="A10" i="104"/>
  <c r="A6" i="104"/>
  <c r="A5" i="104"/>
  <c r="A4" i="104"/>
  <c r="A3" i="104"/>
  <c r="A68" i="93"/>
  <c r="A67" i="93"/>
  <c r="A66" i="93"/>
  <c r="A65" i="93"/>
  <c r="A64" i="93"/>
  <c r="A63" i="93"/>
  <c r="A62" i="93"/>
  <c r="A61" i="93"/>
  <c r="A60" i="93"/>
  <c r="A59" i="93"/>
  <c r="A58" i="93"/>
  <c r="A54" i="93"/>
  <c r="A53" i="93"/>
  <c r="A52" i="93"/>
  <c r="A51" i="93"/>
  <c r="A50" i="93"/>
  <c r="A49" i="93"/>
  <c r="A48" i="93"/>
  <c r="A47" i="93"/>
  <c r="A46" i="93"/>
  <c r="A45" i="93"/>
  <c r="A44" i="93"/>
  <c r="A43" i="93"/>
  <c r="A42" i="93"/>
  <c r="A41" i="93"/>
  <c r="A40" i="93"/>
  <c r="A39" i="93"/>
  <c r="A38" i="93"/>
  <c r="A37" i="93"/>
  <c r="A36" i="93"/>
  <c r="A35" i="93"/>
  <c r="A34" i="93"/>
  <c r="A33" i="93"/>
  <c r="A32" i="93"/>
  <c r="A31" i="93"/>
  <c r="A27" i="93"/>
  <c r="A26" i="93"/>
  <c r="A25" i="93"/>
  <c r="A24" i="93"/>
  <c r="A23" i="93"/>
  <c r="A22" i="93"/>
  <c r="A21" i="93"/>
  <c r="A20" i="93"/>
  <c r="A19" i="93"/>
  <c r="A18" i="93"/>
  <c r="A17" i="93"/>
  <c r="A16" i="93"/>
  <c r="A15" i="93"/>
  <c r="A14" i="93"/>
  <c r="A13" i="93"/>
  <c r="A12" i="93"/>
  <c r="A11" i="93"/>
  <c r="A10" i="93"/>
  <c r="A6" i="93"/>
  <c r="A5" i="93"/>
  <c r="A4" i="93"/>
  <c r="A3" i="93"/>
  <c r="A68" i="76"/>
  <c r="A67" i="76"/>
  <c r="A66" i="76"/>
  <c r="A65" i="76"/>
  <c r="A64" i="76"/>
  <c r="A63" i="76"/>
  <c r="A62" i="76"/>
  <c r="A61" i="76"/>
  <c r="A60" i="76"/>
  <c r="A59" i="76"/>
  <c r="A58" i="76"/>
  <c r="A54" i="76"/>
  <c r="A53" i="76"/>
  <c r="A52" i="76"/>
  <c r="A51" i="76"/>
  <c r="A50" i="76"/>
  <c r="A49" i="76"/>
  <c r="A48" i="76"/>
  <c r="A47" i="76"/>
  <c r="A46" i="76"/>
  <c r="A45" i="76"/>
  <c r="A44" i="76"/>
  <c r="A43" i="76"/>
  <c r="A42" i="76"/>
  <c r="A41" i="76"/>
  <c r="A40" i="76"/>
  <c r="A39" i="76"/>
  <c r="A38" i="76"/>
  <c r="A37" i="76"/>
  <c r="A36" i="76"/>
  <c r="A35" i="76"/>
  <c r="A34" i="76"/>
  <c r="A33" i="76"/>
  <c r="A32" i="76"/>
  <c r="A31" i="76"/>
  <c r="A27" i="76"/>
  <c r="A26" i="76"/>
  <c r="A25" i="76"/>
  <c r="A24" i="76"/>
  <c r="A23" i="76"/>
  <c r="A22" i="76"/>
  <c r="A21" i="76"/>
  <c r="A20" i="76"/>
  <c r="A19" i="76"/>
  <c r="A18" i="76"/>
  <c r="A17" i="76"/>
  <c r="A16" i="76"/>
  <c r="A15" i="76"/>
  <c r="A14" i="76"/>
  <c r="A13" i="76"/>
  <c r="A12" i="76"/>
  <c r="A11" i="76"/>
  <c r="A10" i="76"/>
  <c r="A6" i="76"/>
  <c r="A5" i="76"/>
  <c r="A4" i="76"/>
  <c r="A3" i="76"/>
  <c r="A68" i="114"/>
  <c r="A67" i="114"/>
  <c r="A66" i="114"/>
  <c r="A65" i="114"/>
  <c r="A64" i="114"/>
  <c r="A63" i="114"/>
  <c r="A62" i="114"/>
  <c r="A61" i="114"/>
  <c r="A60" i="114"/>
  <c r="A59" i="114"/>
  <c r="A58" i="114"/>
  <c r="A54" i="114"/>
  <c r="A53" i="114"/>
  <c r="A52" i="114"/>
  <c r="A51" i="114"/>
  <c r="A50" i="114"/>
  <c r="A49" i="114"/>
  <c r="A48" i="114"/>
  <c r="A47" i="114"/>
  <c r="A46" i="114"/>
  <c r="A45" i="114"/>
  <c r="A44" i="114"/>
  <c r="A43" i="114"/>
  <c r="A42" i="114"/>
  <c r="A41" i="114"/>
  <c r="A40" i="114"/>
  <c r="A39" i="114"/>
  <c r="A38" i="114"/>
  <c r="A37" i="114"/>
  <c r="A36" i="114"/>
  <c r="A35" i="114"/>
  <c r="A34" i="114"/>
  <c r="A33" i="114"/>
  <c r="A32" i="114"/>
  <c r="A31" i="114"/>
  <c r="A27" i="114"/>
  <c r="A26" i="114"/>
  <c r="A25" i="114"/>
  <c r="A24" i="114"/>
  <c r="A23" i="114"/>
  <c r="A22" i="114"/>
  <c r="A21" i="114"/>
  <c r="A20" i="114"/>
  <c r="A19" i="114"/>
  <c r="A18" i="114"/>
  <c r="A17" i="114"/>
  <c r="A16" i="114"/>
  <c r="A15" i="114"/>
  <c r="A14" i="114"/>
  <c r="A13" i="114"/>
  <c r="A12" i="114"/>
  <c r="A11" i="114"/>
  <c r="A10" i="114"/>
  <c r="A6" i="114"/>
  <c r="A5" i="114"/>
  <c r="A4" i="114"/>
  <c r="A3" i="114"/>
  <c r="A68" i="118"/>
  <c r="A67" i="118"/>
  <c r="A66" i="118"/>
  <c r="A65" i="118"/>
  <c r="A64" i="118"/>
  <c r="A63" i="118"/>
  <c r="A62" i="118"/>
  <c r="A61" i="118"/>
  <c r="A60" i="118"/>
  <c r="A59" i="118"/>
  <c r="A58" i="118"/>
  <c r="A54" i="118"/>
  <c r="A53" i="118"/>
  <c r="A52" i="118"/>
  <c r="A51" i="118"/>
  <c r="A50" i="118"/>
  <c r="A49" i="118"/>
  <c r="A48" i="118"/>
  <c r="A47" i="118"/>
  <c r="A46" i="118"/>
  <c r="A45" i="118"/>
  <c r="A44" i="118"/>
  <c r="A43" i="118"/>
  <c r="A42" i="118"/>
  <c r="A41" i="118"/>
  <c r="A40" i="118"/>
  <c r="A39" i="118"/>
  <c r="A38" i="118"/>
  <c r="A37" i="118"/>
  <c r="A36" i="118"/>
  <c r="A35" i="118"/>
  <c r="A34" i="118"/>
  <c r="A33" i="118"/>
  <c r="A32" i="118"/>
  <c r="A31" i="118"/>
  <c r="A27" i="118"/>
  <c r="A26" i="118"/>
  <c r="A25" i="118"/>
  <c r="A24" i="118"/>
  <c r="A23" i="118"/>
  <c r="A22" i="118"/>
  <c r="A21" i="118"/>
  <c r="A20" i="118"/>
  <c r="A19" i="118"/>
  <c r="A18" i="118"/>
  <c r="A17" i="118"/>
  <c r="A16" i="118"/>
  <c r="A15" i="118"/>
  <c r="A14" i="118"/>
  <c r="A13" i="118"/>
  <c r="A12" i="118"/>
  <c r="A11" i="118"/>
  <c r="A10" i="118"/>
  <c r="A6" i="118"/>
  <c r="A5" i="118"/>
  <c r="A4" i="118"/>
  <c r="A3" i="118"/>
  <c r="A68" i="77"/>
  <c r="A67" i="77"/>
  <c r="A66" i="77"/>
  <c r="A65" i="77"/>
  <c r="A64" i="77"/>
  <c r="A63" i="77"/>
  <c r="A62" i="77"/>
  <c r="A61" i="77"/>
  <c r="A60" i="77"/>
  <c r="A59" i="77"/>
  <c r="A58" i="77"/>
  <c r="A54" i="77"/>
  <c r="A53" i="77"/>
  <c r="A52" i="77"/>
  <c r="A51" i="77"/>
  <c r="A50" i="77"/>
  <c r="A49" i="77"/>
  <c r="A48" i="77"/>
  <c r="A47" i="77"/>
  <c r="A46" i="77"/>
  <c r="A45" i="77"/>
  <c r="A44" i="77"/>
  <c r="A43" i="77"/>
  <c r="A42" i="77"/>
  <c r="A41" i="77"/>
  <c r="A40" i="77"/>
  <c r="A39" i="77"/>
  <c r="A38" i="77"/>
  <c r="A37" i="77"/>
  <c r="A36" i="77"/>
  <c r="A35" i="77"/>
  <c r="A34" i="77"/>
  <c r="A33" i="77"/>
  <c r="A32" i="77"/>
  <c r="A31" i="77"/>
  <c r="A27" i="77"/>
  <c r="A26" i="77"/>
  <c r="A25" i="77"/>
  <c r="A24" i="77"/>
  <c r="A23" i="77"/>
  <c r="A22" i="77"/>
  <c r="A21" i="77"/>
  <c r="A20" i="77"/>
  <c r="A19" i="77"/>
  <c r="A18" i="77"/>
  <c r="A17" i="77"/>
  <c r="A16" i="77"/>
  <c r="A15" i="77"/>
  <c r="A14" i="77"/>
  <c r="A13" i="77"/>
  <c r="A12" i="77"/>
  <c r="A11" i="77"/>
  <c r="A10" i="77"/>
  <c r="A6" i="77"/>
  <c r="A5" i="77"/>
  <c r="A4" i="77"/>
  <c r="A3" i="77"/>
  <c r="A68" i="82"/>
  <c r="A67" i="82"/>
  <c r="A66" i="82"/>
  <c r="A65" i="82"/>
  <c r="A64" i="82"/>
  <c r="A63" i="82"/>
  <c r="A62" i="82"/>
  <c r="A61" i="82"/>
  <c r="A60" i="82"/>
  <c r="A59" i="82"/>
  <c r="A58" i="82"/>
  <c r="A54" i="82"/>
  <c r="A53" i="82"/>
  <c r="A52" i="82"/>
  <c r="A51" i="82"/>
  <c r="A50" i="82"/>
  <c r="A49" i="82"/>
  <c r="A48" i="82"/>
  <c r="A47" i="82"/>
  <c r="A46" i="82"/>
  <c r="A45" i="82"/>
  <c r="A44" i="82"/>
  <c r="A43" i="82"/>
  <c r="A42" i="82"/>
  <c r="A41" i="82"/>
  <c r="A40" i="82"/>
  <c r="A39" i="82"/>
  <c r="A38" i="82"/>
  <c r="A37" i="82"/>
  <c r="A36" i="82"/>
  <c r="A35" i="82"/>
  <c r="A34" i="82"/>
  <c r="A33" i="82"/>
  <c r="A32" i="82"/>
  <c r="A31" i="82"/>
  <c r="A27" i="82"/>
  <c r="A26" i="82"/>
  <c r="A25" i="82"/>
  <c r="A24" i="82"/>
  <c r="A23" i="82"/>
  <c r="A22" i="82"/>
  <c r="A21" i="82"/>
  <c r="A20" i="82"/>
  <c r="A19" i="82"/>
  <c r="A18" i="82"/>
  <c r="A17" i="82"/>
  <c r="A16" i="82"/>
  <c r="A15" i="82"/>
  <c r="A14" i="82"/>
  <c r="A13" i="82"/>
  <c r="A12" i="82"/>
  <c r="A11" i="82"/>
  <c r="A10" i="82"/>
  <c r="A6" i="82"/>
  <c r="A5" i="82"/>
  <c r="A4" i="82"/>
  <c r="A3" i="82"/>
  <c r="A68" i="75"/>
  <c r="A67" i="75"/>
  <c r="A66" i="75"/>
  <c r="A65" i="75"/>
  <c r="A64" i="75"/>
  <c r="A63" i="75"/>
  <c r="A62" i="75"/>
  <c r="A61" i="75"/>
  <c r="A60" i="75"/>
  <c r="A59" i="75"/>
  <c r="A58" i="75"/>
  <c r="A54" i="75"/>
  <c r="A53" i="75"/>
  <c r="A52" i="75"/>
  <c r="A51" i="75"/>
  <c r="A50" i="75"/>
  <c r="A49" i="75"/>
  <c r="A48" i="75"/>
  <c r="A47" i="75"/>
  <c r="A46" i="75"/>
  <c r="A45" i="75"/>
  <c r="A44" i="75"/>
  <c r="A43" i="75"/>
  <c r="A42" i="75"/>
  <c r="A41" i="75"/>
  <c r="A40" i="75"/>
  <c r="A39" i="75"/>
  <c r="A38" i="75"/>
  <c r="A37" i="75"/>
  <c r="A36" i="75"/>
  <c r="A35" i="75"/>
  <c r="A34" i="75"/>
  <c r="A33" i="75"/>
  <c r="A32" i="75"/>
  <c r="A31" i="75"/>
  <c r="A27" i="75"/>
  <c r="A26" i="75"/>
  <c r="A25" i="75"/>
  <c r="A24" i="75"/>
  <c r="A23" i="75"/>
  <c r="A22" i="75"/>
  <c r="A21" i="75"/>
  <c r="A20" i="75"/>
  <c r="A19" i="75"/>
  <c r="A18" i="75"/>
  <c r="A17" i="75"/>
  <c r="A16" i="75"/>
  <c r="A15" i="75"/>
  <c r="A14" i="75"/>
  <c r="A13" i="75"/>
  <c r="A12" i="75"/>
  <c r="A11" i="75"/>
  <c r="A10" i="75"/>
  <c r="A6" i="75"/>
  <c r="A5" i="75"/>
  <c r="A4" i="75"/>
  <c r="A3" i="75"/>
  <c r="A68" i="72"/>
  <c r="A67" i="72"/>
  <c r="A66" i="72"/>
  <c r="A65" i="72"/>
  <c r="A64" i="72"/>
  <c r="A63" i="72"/>
  <c r="A62" i="72"/>
  <c r="A61" i="72"/>
  <c r="A60" i="72"/>
  <c r="A59" i="72"/>
  <c r="A58" i="72"/>
  <c r="A54" i="72"/>
  <c r="A53" i="72"/>
  <c r="A52" i="72"/>
  <c r="A51" i="72"/>
  <c r="A50" i="72"/>
  <c r="A49" i="72"/>
  <c r="A48" i="72"/>
  <c r="A47" i="72"/>
  <c r="A46" i="72"/>
  <c r="A45" i="72"/>
  <c r="A44" i="72"/>
  <c r="A43" i="72"/>
  <c r="A42" i="72"/>
  <c r="A41" i="72"/>
  <c r="A40" i="72"/>
  <c r="A39" i="72"/>
  <c r="A38" i="72"/>
  <c r="A37" i="72"/>
  <c r="A36" i="72"/>
  <c r="A35" i="72"/>
  <c r="A34" i="72"/>
  <c r="A33" i="72"/>
  <c r="A32" i="72"/>
  <c r="A31" i="72"/>
  <c r="A27" i="72"/>
  <c r="A26" i="72"/>
  <c r="A25" i="72"/>
  <c r="A24" i="72"/>
  <c r="A23" i="72"/>
  <c r="A22" i="72"/>
  <c r="A21" i="72"/>
  <c r="A20" i="72"/>
  <c r="A19" i="72"/>
  <c r="A18" i="72"/>
  <c r="A17" i="72"/>
  <c r="A16" i="72"/>
  <c r="A15" i="72"/>
  <c r="A14" i="72"/>
  <c r="A13" i="72"/>
  <c r="A12" i="72"/>
  <c r="A11" i="72"/>
  <c r="A10" i="72"/>
  <c r="A6" i="72"/>
  <c r="A5" i="72"/>
  <c r="A4" i="72"/>
  <c r="A3" i="72"/>
  <c r="A68" i="80"/>
  <c r="A67" i="80"/>
  <c r="A66" i="80"/>
  <c r="A65" i="80"/>
  <c r="A64" i="80"/>
  <c r="A63" i="80"/>
  <c r="A62" i="80"/>
  <c r="A61" i="80"/>
  <c r="A60" i="80"/>
  <c r="A59" i="80"/>
  <c r="A58" i="80"/>
  <c r="A54" i="80"/>
  <c r="A53" i="80"/>
  <c r="A52" i="80"/>
  <c r="A51" i="80"/>
  <c r="A50" i="80"/>
  <c r="A49" i="80"/>
  <c r="A48" i="80"/>
  <c r="A47" i="80"/>
  <c r="A46" i="80"/>
  <c r="A45" i="80"/>
  <c r="A44" i="80"/>
  <c r="A43" i="80"/>
  <c r="A42" i="80"/>
  <c r="A41" i="80"/>
  <c r="A40" i="80"/>
  <c r="A39" i="80"/>
  <c r="A38" i="80"/>
  <c r="A37" i="80"/>
  <c r="A36" i="80"/>
  <c r="A35" i="80"/>
  <c r="A34" i="80"/>
  <c r="A33" i="80"/>
  <c r="A32" i="80"/>
  <c r="A31" i="80"/>
  <c r="A27" i="80"/>
  <c r="A26" i="80"/>
  <c r="A25" i="80"/>
  <c r="A24" i="80"/>
  <c r="A23" i="80"/>
  <c r="A22" i="80"/>
  <c r="A21" i="80"/>
  <c r="A20" i="80"/>
  <c r="A19" i="80"/>
  <c r="A18" i="80"/>
  <c r="A17" i="80"/>
  <c r="A16" i="80"/>
  <c r="A15" i="80"/>
  <c r="A14" i="80"/>
  <c r="A13" i="80"/>
  <c r="A12" i="80"/>
  <c r="A11" i="80"/>
  <c r="A10" i="80"/>
  <c r="A6" i="80"/>
  <c r="A5" i="80"/>
  <c r="A4" i="80"/>
  <c r="A3" i="80"/>
  <c r="A68" i="13"/>
  <c r="A67" i="13"/>
  <c r="A66" i="13"/>
  <c r="A65" i="13"/>
  <c r="A64" i="13"/>
  <c r="A63" i="13"/>
  <c r="A62" i="13"/>
  <c r="A61" i="13"/>
  <c r="A60" i="13"/>
  <c r="A59" i="13"/>
  <c r="A58" i="13"/>
  <c r="A54" i="13"/>
  <c r="A53" i="13"/>
  <c r="A52" i="13"/>
  <c r="A51" i="13"/>
  <c r="A50" i="13"/>
  <c r="A49" i="13"/>
  <c r="A48" i="13"/>
  <c r="A47" i="13"/>
  <c r="A46" i="13"/>
  <c r="A45" i="13"/>
  <c r="A44" i="13"/>
  <c r="A43" i="13"/>
  <c r="A42" i="13"/>
  <c r="A41" i="13"/>
  <c r="A40" i="13"/>
  <c r="A39" i="13"/>
  <c r="A38" i="13"/>
  <c r="A37" i="13"/>
  <c r="A36" i="13"/>
  <c r="A35" i="13"/>
  <c r="A34" i="13"/>
  <c r="A33" i="13"/>
  <c r="A32" i="13"/>
  <c r="A31" i="13"/>
  <c r="A27" i="13"/>
  <c r="A26" i="13"/>
  <c r="A25" i="13"/>
  <c r="A24" i="13"/>
  <c r="A23" i="13"/>
  <c r="A22" i="13"/>
  <c r="A21" i="13"/>
  <c r="A20" i="13"/>
  <c r="A19" i="13"/>
  <c r="A18" i="13"/>
  <c r="A17" i="13"/>
  <c r="A16" i="13"/>
  <c r="A15" i="13"/>
  <c r="A14" i="13"/>
  <c r="A13" i="13"/>
  <c r="A12" i="13"/>
  <c r="A11" i="13"/>
  <c r="A10" i="13"/>
  <c r="A6" i="13"/>
  <c r="A5" i="13"/>
  <c r="A4" i="13"/>
  <c r="A3" i="13"/>
  <c r="A68" i="71"/>
  <c r="A67" i="71"/>
  <c r="A66" i="71"/>
  <c r="A65" i="71"/>
  <c r="A64" i="71"/>
  <c r="A63" i="71"/>
  <c r="A62" i="71"/>
  <c r="A61" i="71"/>
  <c r="A60" i="71"/>
  <c r="A59" i="71"/>
  <c r="A58" i="71"/>
  <c r="A54" i="71"/>
  <c r="A53" i="71"/>
  <c r="A52" i="71"/>
  <c r="A51" i="71"/>
  <c r="A50" i="71"/>
  <c r="A49" i="71"/>
  <c r="A48" i="71"/>
  <c r="A47" i="71"/>
  <c r="A46" i="71"/>
  <c r="A45" i="71"/>
  <c r="A44" i="71"/>
  <c r="A43" i="71"/>
  <c r="A42" i="71"/>
  <c r="A41" i="71"/>
  <c r="A40" i="71"/>
  <c r="A39" i="71"/>
  <c r="A38" i="71"/>
  <c r="A37" i="71"/>
  <c r="A36" i="71"/>
  <c r="A35" i="71"/>
  <c r="A34" i="71"/>
  <c r="A33" i="71"/>
  <c r="A32" i="71"/>
  <c r="A31" i="71"/>
  <c r="A27" i="71"/>
  <c r="A26" i="71"/>
  <c r="A25" i="71"/>
  <c r="A24" i="71"/>
  <c r="A23" i="71"/>
  <c r="A22" i="71"/>
  <c r="A21" i="71"/>
  <c r="A20" i="71"/>
  <c r="A19" i="71"/>
  <c r="A18" i="71"/>
  <c r="A17" i="71"/>
  <c r="A16" i="71"/>
  <c r="A15" i="71"/>
  <c r="A14" i="71"/>
  <c r="A13" i="71"/>
  <c r="A12" i="71"/>
  <c r="A11" i="71"/>
  <c r="A10" i="71"/>
  <c r="A6" i="71"/>
  <c r="A5" i="71"/>
  <c r="A4" i="71"/>
  <c r="A3" i="71"/>
  <c r="F642" i="124" a="1"/>
  <c r="F642" i="124" s="1"/>
  <c r="E642" i="124" a="1"/>
  <c r="E642" i="124" s="1"/>
  <c r="D642" i="124" a="1"/>
  <c r="D642" i="124" s="1"/>
  <c r="F624" i="124" a="1"/>
  <c r="F624" i="124" s="1"/>
  <c r="E624" i="124" a="1"/>
  <c r="E624" i="124" s="1"/>
  <c r="D624" i="124" a="1"/>
  <c r="D624" i="124" s="1"/>
  <c r="F505" i="124" a="1"/>
  <c r="F505" i="124" s="1"/>
  <c r="E505" i="124" a="1"/>
  <c r="E505" i="124" s="1"/>
  <c r="K505" i="124" s="1" a="1"/>
  <c r="K505" i="124" s="1"/>
  <c r="D505" i="124" a="1"/>
  <c r="D505" i="124" s="1"/>
  <c r="F463" i="124" a="1"/>
  <c r="F463" i="124" s="1"/>
  <c r="J463" i="124" s="1" a="1"/>
  <c r="J463" i="124" s="1"/>
  <c r="E463" i="124" a="1"/>
  <c r="E463" i="124" s="1"/>
  <c r="D463" i="124" a="1"/>
  <c r="D463" i="124" s="1"/>
  <c r="F445" i="124" a="1"/>
  <c r="F445" i="124" s="1"/>
  <c r="J445" i="124" s="1" a="1"/>
  <c r="J445" i="124" s="1"/>
  <c r="E445" i="124" a="1"/>
  <c r="E445" i="124" s="1"/>
  <c r="D445" i="124" a="1"/>
  <c r="D445" i="124" s="1"/>
  <c r="G351" i="124" a="1"/>
  <c r="G351" i="124" s="1"/>
  <c r="L351" i="124" s="1"/>
  <c r="F351" i="124" a="1"/>
  <c r="F351" i="124" s="1"/>
  <c r="K351" i="124" s="1" a="1"/>
  <c r="K351" i="124" s="1"/>
  <c r="E351" i="124" a="1"/>
  <c r="E351" i="124" s="1"/>
  <c r="D351" i="124" a="1"/>
  <c r="D351" i="124" s="1"/>
  <c r="D320" i="124" a="1"/>
  <c r="D320" i="124" s="1"/>
  <c r="AD252" i="124" a="1"/>
  <c r="AD252" i="124" s="1"/>
  <c r="AC252" i="124" a="1"/>
  <c r="AC252" i="124" s="1"/>
  <c r="Z252" i="124" a="1"/>
  <c r="Z252" i="124" s="1"/>
  <c r="Y252" i="124" a="1"/>
  <c r="Y252" i="124" s="1"/>
  <c r="V252" i="124" a="1"/>
  <c r="V252" i="124" s="1"/>
  <c r="U252" i="124" a="1"/>
  <c r="U252" i="124" s="1"/>
  <c r="R252" i="124" a="1"/>
  <c r="R252" i="124" s="1"/>
  <c r="Q252" i="124" a="1"/>
  <c r="P252" i="124" a="1"/>
  <c r="P252" i="124" s="1"/>
  <c r="O252" i="124" a="1"/>
  <c r="O252" i="124" s="1"/>
  <c r="D252" i="124" a="1"/>
  <c r="D252" i="124" s="1"/>
  <c r="D236" i="124" a="1"/>
  <c r="D236" i="124" s="1"/>
  <c r="AA120" i="124" a="1"/>
  <c r="AA120" i="124" s="1"/>
  <c r="Z120" i="124" a="1"/>
  <c r="Z120" i="124" s="1"/>
  <c r="Y120" i="124" a="1"/>
  <c r="Y120" i="124" s="1"/>
  <c r="W120" i="124" a="1"/>
  <c r="W120" i="124" s="1"/>
  <c r="V120" i="124" a="1"/>
  <c r="V120" i="124" s="1"/>
  <c r="U120" i="124" a="1"/>
  <c r="U120" i="124" s="1"/>
  <c r="S120" i="124" a="1"/>
  <c r="S120" i="124" s="1"/>
  <c r="R120" i="124" a="1"/>
  <c r="R120" i="124" s="1"/>
  <c r="Q120" i="124" a="1"/>
  <c r="Q120" i="124" s="1"/>
  <c r="O120" i="124" a="1"/>
  <c r="O120" i="124" s="1"/>
  <c r="N120" i="124" a="1"/>
  <c r="N120" i="124" s="1"/>
  <c r="M120" i="124" a="1"/>
  <c r="M120" i="124" s="1"/>
  <c r="E120" i="124" a="1"/>
  <c r="E120" i="124" s="1"/>
  <c r="I120" i="124" s="1" a="1"/>
  <c r="I120" i="124" s="1"/>
  <c r="D120" i="124" a="1"/>
  <c r="D120" i="124" s="1"/>
  <c r="H42" i="124" a="1"/>
  <c r="H42" i="124" s="1"/>
  <c r="E42" i="124" a="1"/>
  <c r="E42" i="124" s="1"/>
  <c r="D42" i="124" a="1"/>
  <c r="D42" i="124" s="1"/>
  <c r="H22" i="109" a="1"/>
  <c r="H22" i="109" s="1"/>
  <c r="G22" i="109" a="1"/>
  <c r="G22" i="109" s="1"/>
  <c r="F22" i="109" a="1"/>
  <c r="F22" i="109" s="1"/>
  <c r="E22" i="109" a="1"/>
  <c r="J31" i="109" s="1" a="1"/>
  <c r="J31" i="109" s="1"/>
  <c r="D22" i="109" a="1"/>
  <c r="D22" i="109" s="1"/>
  <c r="D32" i="106"/>
  <c r="D25" i="106"/>
  <c r="F39" i="105"/>
  <c r="M39" i="105" s="1" a="1"/>
  <c r="M39" i="105" s="1"/>
  <c r="D37" i="105"/>
  <c r="D34" i="105"/>
  <c r="D33" i="105"/>
  <c r="D25" i="105"/>
  <c r="D75" i="99"/>
  <c r="D74" i="99"/>
  <c r="D73" i="99"/>
  <c r="D72" i="99"/>
  <c r="D71" i="99"/>
  <c r="D70" i="99"/>
  <c r="D69" i="99"/>
  <c r="D68" i="99"/>
  <c r="D134" i="98" a="1"/>
  <c r="D134" i="98" s="1"/>
  <c r="D102" i="98" a="1"/>
  <c r="D102" i="98" s="1"/>
  <c r="G25" i="97" a="1"/>
  <c r="G25" i="97" s="1"/>
  <c r="F25" i="97" a="1"/>
  <c r="F25" i="97" s="1"/>
  <c r="D25" i="97" a="1"/>
  <c r="D25" i="97" s="1"/>
  <c r="H20" i="96" a="1"/>
  <c r="H20" i="96" s="1"/>
  <c r="E20" i="96" a="1"/>
  <c r="E20" i="96" s="1"/>
  <c r="D20" i="96" a="1"/>
  <c r="D20" i="96" s="1"/>
  <c r="N21" i="94" a="1"/>
  <c r="N21" i="94" s="1"/>
  <c r="N11" i="94" a="1"/>
  <c r="N11" i="94" s="1"/>
  <c r="H160" i="92"/>
  <c r="G160" i="92"/>
  <c r="F160" i="92"/>
  <c r="E160" i="92"/>
  <c r="D160" i="92"/>
  <c r="J21" i="104" a="1"/>
  <c r="J21" i="104" s="1"/>
  <c r="G21" i="104" a="1"/>
  <c r="G21" i="104" s="1"/>
  <c r="J20" i="104" a="1"/>
  <c r="J20" i="104" s="1"/>
  <c r="G20" i="104" a="1"/>
  <c r="G20" i="104" s="1"/>
  <c r="J19" i="104" a="1"/>
  <c r="J19" i="104" s="1"/>
  <c r="G19" i="104" a="1"/>
  <c r="G19" i="104" s="1"/>
  <c r="J18" i="104" a="1"/>
  <c r="J18" i="104" s="1"/>
  <c r="G18" i="104" a="1"/>
  <c r="G18" i="104" s="1"/>
  <c r="J17" i="104" a="1"/>
  <c r="J17" i="104" s="1"/>
  <c r="G17" i="104" a="1"/>
  <c r="G17" i="104" s="1"/>
  <c r="H16" i="118" a="1"/>
  <c r="H16" i="118" s="1"/>
  <c r="H15" i="118" a="1"/>
  <c r="H15" i="118" s="1"/>
  <c r="H14" i="118" a="1"/>
  <c r="H14" i="118" s="1"/>
  <c r="H13" i="118" a="1"/>
  <c r="H13" i="118" s="1"/>
  <c r="H12" i="118" a="1"/>
  <c r="H12" i="118" s="1"/>
  <c r="H11" i="118" a="1"/>
  <c r="H11" i="118" s="1"/>
  <c r="H10" i="118" a="1"/>
  <c r="H10" i="118" s="1"/>
  <c r="F27" i="127" a="1"/>
  <c r="F27" i="127" s="1"/>
  <c r="E27" i="127" a="1"/>
  <c r="E27" i="127" s="1"/>
  <c r="E290" i="83" s="1"/>
  <c r="D27" i="127" a="1"/>
  <c r="D27" i="127" s="1"/>
  <c r="F26" i="127" a="1"/>
  <c r="F26" i="127" s="1"/>
  <c r="E26" i="127" a="1"/>
  <c r="E26" i="127" s="1"/>
  <c r="D26" i="127" a="1"/>
  <c r="D26" i="127" s="1"/>
  <c r="F25" i="127" a="1"/>
  <c r="F25" i="127" s="1"/>
  <c r="E25" i="127" a="1"/>
  <c r="E25" i="127" s="1"/>
  <c r="D25" i="127" a="1"/>
  <c r="D25" i="127" s="1"/>
  <c r="F24" i="127" a="1"/>
  <c r="F24" i="127" s="1"/>
  <c r="E24" i="127" a="1"/>
  <c r="E24" i="127" s="1"/>
  <c r="D24" i="127" a="1"/>
  <c r="D24" i="127" s="1"/>
  <c r="F23" i="127" a="1"/>
  <c r="F23" i="127" s="1"/>
  <c r="E23" i="127" a="1"/>
  <c r="E23" i="127" s="1"/>
  <c r="D23" i="127" a="1"/>
  <c r="D23" i="127" s="1"/>
  <c r="F22" i="127" a="1"/>
  <c r="F22" i="127" s="1"/>
  <c r="E22" i="127" a="1"/>
  <c r="E22" i="127" s="1"/>
  <c r="D22" i="127" a="1"/>
  <c r="D22" i="127" s="1"/>
  <c r="F21" i="127" a="1"/>
  <c r="F21" i="127" s="1"/>
  <c r="E21" i="127" a="1"/>
  <c r="E21" i="127" s="1"/>
  <c r="D21" i="127" a="1"/>
  <c r="D21" i="127" s="1"/>
  <c r="F20" i="127" a="1"/>
  <c r="F20" i="127" s="1"/>
  <c r="E20" i="127" a="1"/>
  <c r="E20" i="127" s="1"/>
  <c r="D20" i="127" a="1"/>
  <c r="D20" i="127" s="1"/>
  <c r="F19" i="127" a="1"/>
  <c r="F19" i="127" s="1"/>
  <c r="E19" i="127" a="1"/>
  <c r="E19" i="127" s="1"/>
  <c r="D19" i="127" a="1"/>
  <c r="D19" i="127" s="1"/>
  <c r="F18" i="127" a="1"/>
  <c r="F18" i="127" s="1"/>
  <c r="E18" i="127" a="1"/>
  <c r="E18" i="127" s="1"/>
  <c r="D18" i="127" a="1"/>
  <c r="D18" i="127" s="1"/>
  <c r="F17" i="127" a="1"/>
  <c r="F17" i="127" s="1"/>
  <c r="E17" i="127" a="1"/>
  <c r="E17" i="127" s="1"/>
  <c r="D17" i="127" a="1"/>
  <c r="D17" i="127" s="1"/>
  <c r="F16" i="127" a="1"/>
  <c r="F16" i="127" s="1"/>
  <c r="E16" i="127" a="1"/>
  <c r="E16" i="127" s="1"/>
  <c r="D16" i="127" a="1"/>
  <c r="D16" i="127" s="1"/>
  <c r="F15" i="127" a="1"/>
  <c r="F15" i="127" s="1"/>
  <c r="E11" i="91" s="1"/>
  <c r="E15" i="127" a="1"/>
  <c r="E15" i="127" s="1"/>
  <c r="D11" i="91" s="1"/>
  <c r="D15" i="127" a="1"/>
  <c r="D15" i="127" s="1"/>
  <c r="F14" i="127" a="1"/>
  <c r="F14" i="127" s="1"/>
  <c r="E10" i="91" s="1"/>
  <c r="E14" i="127" a="1"/>
  <c r="E14" i="127" s="1"/>
  <c r="D10" i="91" s="1"/>
  <c r="D231" i="83" s="1"/>
  <c r="D14" i="127" a="1"/>
  <c r="D14" i="127" s="1"/>
  <c r="F13" i="127" a="1"/>
  <c r="F13" i="127" s="1"/>
  <c r="E9" i="91" s="1"/>
  <c r="E13" i="127" a="1"/>
  <c r="E13" i="127" s="1"/>
  <c r="D9" i="91" s="1"/>
  <c r="D108" i="82" s="1"/>
  <c r="D13" i="127" a="1"/>
  <c r="D13" i="127" s="1"/>
  <c r="F12" i="127" a="1"/>
  <c r="F12" i="127" s="1"/>
  <c r="E12" i="127" a="1"/>
  <c r="E12" i="127" s="1"/>
  <c r="D12" i="127" a="1"/>
  <c r="D12" i="127" s="1"/>
  <c r="F11" i="127" a="1"/>
  <c r="F11" i="127" s="1"/>
  <c r="E11" i="127" a="1"/>
  <c r="E11" i="127" s="1"/>
  <c r="D11" i="127" a="1"/>
  <c r="D11" i="127" s="1"/>
  <c r="F10" i="127" a="1"/>
  <c r="F10" i="127" s="1"/>
  <c r="E8" i="91" s="1"/>
  <c r="E10" i="127" a="1"/>
  <c r="E10" i="127" s="1"/>
  <c r="D8" i="91" s="1"/>
  <c r="O229" i="83" s="1"/>
  <c r="D10" i="127" a="1"/>
  <c r="D10" i="127" s="1"/>
  <c r="D8" i="127" a="1"/>
  <c r="D8" i="127" s="1"/>
  <c r="D7" i="127" a="1"/>
  <c r="D7" i="127" s="1"/>
  <c r="D6" i="127" a="1"/>
  <c r="D6" i="127" s="1"/>
  <c r="I247" i="126" a="1"/>
  <c r="I247" i="126" s="1"/>
  <c r="H247" i="126" a="1"/>
  <c r="H247" i="126" s="1"/>
  <c r="G247" i="126" a="1"/>
  <c r="G247" i="126" s="1"/>
  <c r="F247" i="126" a="1"/>
  <c r="F247" i="126" s="1"/>
  <c r="E247" i="126" a="1"/>
  <c r="E247" i="126" s="1"/>
  <c r="D247" i="126" a="1"/>
  <c r="D247" i="126" s="1"/>
  <c r="I246" i="126" a="1"/>
  <c r="I246" i="126" s="1"/>
  <c r="H246" i="126" a="1"/>
  <c r="H246" i="126" s="1"/>
  <c r="G246" i="126" a="1"/>
  <c r="G246" i="126" s="1"/>
  <c r="F246" i="126" a="1"/>
  <c r="F246" i="126" s="1"/>
  <c r="E246" i="126" a="1"/>
  <c r="E246" i="126" s="1"/>
  <c r="D246" i="126" a="1"/>
  <c r="D246" i="126" s="1"/>
  <c r="I245" i="126" a="1"/>
  <c r="I245" i="126" s="1"/>
  <c r="H245" i="126" a="1"/>
  <c r="H245" i="126" s="1"/>
  <c r="G245" i="126" a="1"/>
  <c r="G245" i="126" s="1"/>
  <c r="F245" i="126" a="1"/>
  <c r="F245" i="126" s="1"/>
  <c r="E245" i="126" a="1"/>
  <c r="E245" i="126" s="1"/>
  <c r="D245" i="126" a="1"/>
  <c r="D245" i="126" s="1"/>
  <c r="I244" i="126" a="1"/>
  <c r="I244" i="126" s="1"/>
  <c r="H244" i="126" a="1"/>
  <c r="H244" i="126" s="1"/>
  <c r="G244" i="126" a="1"/>
  <c r="G244" i="126" s="1"/>
  <c r="F244" i="126" a="1"/>
  <c r="F244" i="126" s="1"/>
  <c r="E244" i="126" a="1"/>
  <c r="E244" i="126" s="1"/>
  <c r="D244" i="126" a="1"/>
  <c r="D244" i="126" s="1"/>
  <c r="I243" i="126" a="1"/>
  <c r="I243" i="126" s="1"/>
  <c r="H243" i="126" a="1"/>
  <c r="H243" i="126" s="1"/>
  <c r="G243" i="126" a="1"/>
  <c r="G243" i="126" s="1"/>
  <c r="F243" i="126" a="1"/>
  <c r="F243" i="126" s="1"/>
  <c r="M243" i="126" s="1"/>
  <c r="E243" i="126" a="1"/>
  <c r="E243" i="126" s="1"/>
  <c r="L243" i="126" s="1"/>
  <c r="D243" i="126" a="1"/>
  <c r="D243" i="126" s="1"/>
  <c r="I242" i="126" a="1"/>
  <c r="I242" i="126" s="1"/>
  <c r="H242" i="126" a="1"/>
  <c r="H242" i="126" s="1"/>
  <c r="G242" i="126" a="1"/>
  <c r="G242" i="126" s="1"/>
  <c r="F242" i="126" a="1"/>
  <c r="F242" i="126" s="1"/>
  <c r="M242" i="126" s="1"/>
  <c r="E242" i="126" a="1"/>
  <c r="E242" i="126" s="1"/>
  <c r="D242" i="126" a="1"/>
  <c r="D242" i="126" s="1"/>
  <c r="I237" i="126" a="1"/>
  <c r="I237" i="126" s="1"/>
  <c r="H237" i="126" a="1"/>
  <c r="H237" i="126" s="1"/>
  <c r="G237" i="126" a="1"/>
  <c r="G237" i="126" s="1"/>
  <c r="F237" i="126" a="1"/>
  <c r="F237" i="126" s="1"/>
  <c r="E237" i="126" a="1"/>
  <c r="E237" i="126" s="1"/>
  <c r="D237" i="126" a="1"/>
  <c r="D237" i="126" s="1"/>
  <c r="I236" i="126" a="1"/>
  <c r="I236" i="126" s="1"/>
  <c r="H236" i="126" a="1"/>
  <c r="H236" i="126" s="1"/>
  <c r="G236" i="126" a="1"/>
  <c r="G236" i="126" s="1"/>
  <c r="F236" i="126" a="1"/>
  <c r="F236" i="126" s="1"/>
  <c r="E236" i="126" a="1"/>
  <c r="E236" i="126" s="1"/>
  <c r="D236" i="126"/>
  <c r="D236" i="126" a="1"/>
  <c r="I235" i="126" a="1"/>
  <c r="I235" i="126" s="1"/>
  <c r="H235" i="126" a="1"/>
  <c r="H235" i="126" s="1"/>
  <c r="G235" i="126" a="1"/>
  <c r="G235" i="126" s="1"/>
  <c r="F235" i="126" a="1"/>
  <c r="F235" i="126" s="1"/>
  <c r="E235" i="126" a="1"/>
  <c r="E235" i="126" s="1"/>
  <c r="D235" i="126" a="1"/>
  <c r="D235" i="126" s="1"/>
  <c r="I231" i="126" a="1"/>
  <c r="I231" i="126" s="1"/>
  <c r="H231" i="126" a="1"/>
  <c r="H231" i="126" s="1"/>
  <c r="G231" i="126" a="1"/>
  <c r="G231" i="126" s="1"/>
  <c r="F231" i="126" a="1"/>
  <c r="F231" i="126" s="1"/>
  <c r="E231" i="126" a="1"/>
  <c r="E231" i="126" s="1"/>
  <c r="D231" i="126" a="1"/>
  <c r="D231" i="126" s="1"/>
  <c r="I230" i="126" a="1"/>
  <c r="I230" i="126" s="1"/>
  <c r="H230" i="126" a="1"/>
  <c r="H230" i="126" s="1"/>
  <c r="G230" i="126" a="1"/>
  <c r="G230" i="126" s="1"/>
  <c r="F230" i="126" a="1"/>
  <c r="F230" i="126" s="1"/>
  <c r="E230" i="126" a="1"/>
  <c r="E230" i="126" s="1"/>
  <c r="D230" i="126" a="1"/>
  <c r="D230" i="126" s="1"/>
  <c r="I229" i="126" a="1"/>
  <c r="I229" i="126" s="1"/>
  <c r="H229" i="126" a="1"/>
  <c r="H229" i="126" s="1"/>
  <c r="G229" i="126" a="1"/>
  <c r="G229" i="126" s="1"/>
  <c r="F229" i="126" a="1"/>
  <c r="F229" i="126" s="1"/>
  <c r="E229" i="126" a="1"/>
  <c r="E229" i="126" s="1"/>
  <c r="D229" i="126" a="1"/>
  <c r="D229" i="126" s="1"/>
  <c r="I228" i="126" a="1"/>
  <c r="I228" i="126" s="1"/>
  <c r="H228" i="126" a="1"/>
  <c r="H228" i="126" s="1"/>
  <c r="G228" i="126" a="1"/>
  <c r="G228" i="126" s="1"/>
  <c r="F228" i="126" a="1"/>
  <c r="F228" i="126" s="1"/>
  <c r="E228" i="126" a="1"/>
  <c r="E228" i="126" s="1"/>
  <c r="D228" i="126" a="1"/>
  <c r="D228" i="126" s="1"/>
  <c r="I227" i="126" a="1"/>
  <c r="I227" i="126" s="1"/>
  <c r="H227" i="126" a="1"/>
  <c r="H227" i="126" s="1"/>
  <c r="G227" i="126" a="1"/>
  <c r="G227" i="126" s="1"/>
  <c r="F227" i="126" a="1"/>
  <c r="F227" i="126" s="1"/>
  <c r="E227" i="126" a="1"/>
  <c r="E227" i="126" s="1"/>
  <c r="D227" i="126" a="1"/>
  <c r="D227" i="126" s="1"/>
  <c r="I226" i="126" a="1"/>
  <c r="I226" i="126" s="1"/>
  <c r="H226" i="126" a="1"/>
  <c r="H226" i="126" s="1"/>
  <c r="G226" i="126" a="1"/>
  <c r="G226" i="126" s="1"/>
  <c r="F226" i="126" a="1"/>
  <c r="F226" i="126" s="1"/>
  <c r="E226" i="126" a="1"/>
  <c r="E226" i="126" s="1"/>
  <c r="D226" i="126" a="1"/>
  <c r="D226" i="126" s="1"/>
  <c r="I225" i="126" a="1"/>
  <c r="I225" i="126" s="1"/>
  <c r="H225" i="126" a="1"/>
  <c r="H225" i="126" s="1"/>
  <c r="G225" i="126" a="1"/>
  <c r="G225" i="126" s="1"/>
  <c r="F225" i="126" a="1"/>
  <c r="F225" i="126" s="1"/>
  <c r="E225" i="126" a="1"/>
  <c r="E225" i="126" s="1"/>
  <c r="D225" i="126" a="1"/>
  <c r="D225" i="126" s="1"/>
  <c r="I224" i="126" a="1"/>
  <c r="I224" i="126" s="1"/>
  <c r="H224" i="126" a="1"/>
  <c r="H224" i="126" s="1"/>
  <c r="G224" i="126" a="1"/>
  <c r="G224" i="126" s="1"/>
  <c r="F224" i="126" a="1"/>
  <c r="F224" i="126" s="1"/>
  <c r="E224" i="126" a="1"/>
  <c r="E224" i="126" s="1"/>
  <c r="D224" i="126" a="1"/>
  <c r="D224" i="126" s="1"/>
  <c r="I223" i="126" a="1"/>
  <c r="I223" i="126" s="1"/>
  <c r="H223" i="126" a="1"/>
  <c r="H223" i="126" s="1"/>
  <c r="G223" i="126" a="1"/>
  <c r="G223" i="126" s="1"/>
  <c r="F223" i="126" a="1"/>
  <c r="F223" i="126" s="1"/>
  <c r="E223" i="126" a="1"/>
  <c r="E223" i="126" s="1"/>
  <c r="D223" i="126" a="1"/>
  <c r="D223" i="126" s="1"/>
  <c r="I222" i="126" a="1"/>
  <c r="I222" i="126" s="1"/>
  <c r="H222" i="126" a="1"/>
  <c r="H222" i="126" s="1"/>
  <c r="G222" i="126" a="1"/>
  <c r="G222" i="126" s="1"/>
  <c r="F222" i="126" a="1"/>
  <c r="F222" i="126" s="1"/>
  <c r="E222" i="126" a="1"/>
  <c r="E222" i="126" s="1"/>
  <c r="D222" i="126" a="1"/>
  <c r="D222" i="126" s="1"/>
  <c r="I221" i="126" a="1"/>
  <c r="I221" i="126" s="1"/>
  <c r="H221" i="126" a="1"/>
  <c r="H221" i="126" s="1"/>
  <c r="G221" i="126" a="1"/>
  <c r="G221" i="126" s="1"/>
  <c r="F221" i="126" a="1"/>
  <c r="F221" i="126" s="1"/>
  <c r="E221" i="126" a="1"/>
  <c r="E221" i="126" s="1"/>
  <c r="D221" i="126" a="1"/>
  <c r="D221" i="126" s="1"/>
  <c r="I220" i="126" a="1"/>
  <c r="I220" i="126" s="1"/>
  <c r="H220" i="126" a="1"/>
  <c r="H220" i="126" s="1"/>
  <c r="G220" i="126" a="1"/>
  <c r="G220" i="126" s="1"/>
  <c r="F220" i="126" a="1"/>
  <c r="F220" i="126" s="1"/>
  <c r="E220" i="126" a="1"/>
  <c r="E220" i="126" s="1"/>
  <c r="D220" i="126" a="1"/>
  <c r="D220" i="126" s="1"/>
  <c r="I216" i="126" a="1"/>
  <c r="I216" i="126" s="1"/>
  <c r="H216" i="126" a="1"/>
  <c r="H216" i="126" s="1"/>
  <c r="G216" i="126" a="1"/>
  <c r="G216" i="126" s="1"/>
  <c r="F216" i="126" a="1"/>
  <c r="F216" i="126" s="1"/>
  <c r="E216" i="126" a="1"/>
  <c r="E216" i="126" s="1"/>
  <c r="D216" i="126" a="1"/>
  <c r="D216" i="126" s="1"/>
  <c r="I215" i="126" a="1"/>
  <c r="I215" i="126" s="1"/>
  <c r="H215" i="126" a="1"/>
  <c r="H215" i="126" s="1"/>
  <c r="G215" i="126" a="1"/>
  <c r="G215" i="126" s="1"/>
  <c r="F215" i="126" a="1"/>
  <c r="F215" i="126" s="1"/>
  <c r="E215" i="126" a="1"/>
  <c r="E215" i="126" s="1"/>
  <c r="D215" i="126" a="1"/>
  <c r="D215" i="126" s="1"/>
  <c r="I214" i="126" a="1"/>
  <c r="I214" i="126" s="1"/>
  <c r="H214" i="126" a="1"/>
  <c r="H214" i="126" s="1"/>
  <c r="G214" i="126" a="1"/>
  <c r="G214" i="126" s="1"/>
  <c r="F214" i="126" a="1"/>
  <c r="F214" i="126" s="1"/>
  <c r="E214" i="126" a="1"/>
  <c r="E214" i="126" s="1"/>
  <c r="D214" i="126" a="1"/>
  <c r="D214" i="126" s="1"/>
  <c r="I213" i="126" a="1"/>
  <c r="I213" i="126" s="1"/>
  <c r="H213" i="126" a="1"/>
  <c r="H213" i="126" s="1"/>
  <c r="G213" i="126" a="1"/>
  <c r="G213" i="126" s="1"/>
  <c r="F213" i="126" a="1"/>
  <c r="F213" i="126" s="1"/>
  <c r="E213" i="126" a="1"/>
  <c r="E213" i="126" s="1"/>
  <c r="G384" i="124" s="1" a="1"/>
  <c r="G384" i="124" s="1"/>
  <c r="H384" i="124" s="1" a="1"/>
  <c r="H384" i="124" s="1"/>
  <c r="D213" i="126" a="1"/>
  <c r="D213" i="126" s="1"/>
  <c r="I209" i="126" a="1"/>
  <c r="I209" i="126" s="1"/>
  <c r="H209" i="126" a="1"/>
  <c r="H209" i="126" s="1"/>
  <c r="G209" i="126" a="1"/>
  <c r="G209" i="126" s="1"/>
  <c r="F209" i="126" a="1"/>
  <c r="F209" i="126" s="1"/>
  <c r="E209" i="126" a="1"/>
  <c r="E209" i="126" s="1"/>
  <c r="D27" i="120" s="1"/>
  <c r="D485" i="124" s="1"/>
  <c r="F485" i="124" s="1" a="1"/>
  <c r="F485" i="124" s="1"/>
  <c r="D209" i="126" a="1"/>
  <c r="D209" i="126" s="1"/>
  <c r="I208" i="126" a="1"/>
  <c r="I208" i="126" s="1"/>
  <c r="H208" i="126" a="1"/>
  <c r="H208" i="126" s="1"/>
  <c r="G208" i="126" a="1"/>
  <c r="G208" i="126" s="1"/>
  <c r="F208" i="126" a="1"/>
  <c r="F208" i="126" s="1"/>
  <c r="E208" i="126" a="1"/>
  <c r="E208" i="126" s="1"/>
  <c r="D26" i="120" s="1"/>
  <c r="D484" i="124" s="1"/>
  <c r="D208" i="126" a="1"/>
  <c r="D208" i="126" s="1"/>
  <c r="I207" i="126" a="1"/>
  <c r="I207" i="126" s="1"/>
  <c r="H207" i="126" a="1"/>
  <c r="H207" i="126" s="1"/>
  <c r="G207" i="126" a="1"/>
  <c r="G207" i="126" s="1"/>
  <c r="F207" i="126" a="1"/>
  <c r="F207" i="126" s="1"/>
  <c r="E207" i="126" a="1"/>
  <c r="E207" i="126" s="1"/>
  <c r="D25" i="120" s="1"/>
  <c r="D483" i="124" s="1"/>
  <c r="D207" i="126" a="1"/>
  <c r="D207" i="126" s="1"/>
  <c r="I206" i="126" a="1"/>
  <c r="I206" i="126" s="1"/>
  <c r="H206" i="126" a="1"/>
  <c r="H206" i="126" s="1"/>
  <c r="G206" i="126" a="1"/>
  <c r="G206" i="126" s="1"/>
  <c r="F206" i="126" a="1"/>
  <c r="F206" i="126" s="1"/>
  <c r="E206" i="126" a="1"/>
  <c r="E206" i="126" s="1"/>
  <c r="D206" i="126" a="1"/>
  <c r="D206" i="126" s="1"/>
  <c r="I205" i="126" a="1"/>
  <c r="I205" i="126" s="1"/>
  <c r="H205" i="126" a="1"/>
  <c r="H205" i="126" s="1"/>
  <c r="G205" i="126" a="1"/>
  <c r="G205" i="126" s="1"/>
  <c r="F205" i="126" a="1"/>
  <c r="F205" i="126" s="1"/>
  <c r="E205" i="126" a="1"/>
  <c r="E205" i="126" s="1"/>
  <c r="D24" i="120" s="1"/>
  <c r="D482" i="124" s="1"/>
  <c r="D205" i="126" a="1"/>
  <c r="D205" i="126" s="1"/>
  <c r="I204" i="126" a="1"/>
  <c r="I204" i="126" s="1"/>
  <c r="H204" i="126" a="1"/>
  <c r="H204" i="126" s="1"/>
  <c r="G204" i="126" a="1"/>
  <c r="G204" i="126" s="1"/>
  <c r="F204" i="126" a="1"/>
  <c r="F204" i="126" s="1"/>
  <c r="E204" i="126" a="1"/>
  <c r="E204" i="126" s="1"/>
  <c r="D23" i="120" s="1"/>
  <c r="D481" i="124" s="1"/>
  <c r="F481" i="124" s="1" a="1"/>
  <c r="F481" i="124" s="1"/>
  <c r="D204" i="126" a="1"/>
  <c r="D204" i="126" s="1"/>
  <c r="I203" i="126" a="1"/>
  <c r="I203" i="126" s="1"/>
  <c r="H203" i="126" a="1"/>
  <c r="H203" i="126" s="1"/>
  <c r="G203" i="126" a="1"/>
  <c r="G203" i="126" s="1"/>
  <c r="F203" i="126" a="1"/>
  <c r="F203" i="126" s="1"/>
  <c r="E203" i="126" a="1"/>
  <c r="E203" i="126" s="1"/>
  <c r="D48" i="121" s="1"/>
  <c r="D495" i="124" s="1"/>
  <c r="D203" i="126" a="1"/>
  <c r="D203" i="126" s="1"/>
  <c r="I202" i="126" a="1"/>
  <c r="I202" i="126" s="1"/>
  <c r="H202" i="126" a="1"/>
  <c r="H202" i="126" s="1"/>
  <c r="G202" i="126" a="1"/>
  <c r="G202" i="126" s="1"/>
  <c r="F202" i="126" a="1"/>
  <c r="F202" i="126" s="1"/>
  <c r="E202" i="126" a="1"/>
  <c r="E202" i="126" s="1"/>
  <c r="D202" i="126" a="1"/>
  <c r="D202" i="126" s="1"/>
  <c r="M198" i="126" a="1"/>
  <c r="M198" i="126" s="1"/>
  <c r="L198" i="126" a="1"/>
  <c r="L198" i="126" s="1"/>
  <c r="K198" i="126" a="1"/>
  <c r="K198" i="126" s="1"/>
  <c r="F198" i="126" a="1"/>
  <c r="F198" i="126" s="1"/>
  <c r="E198" i="126" a="1"/>
  <c r="E198" i="126" s="1"/>
  <c r="D198" i="126" a="1"/>
  <c r="D198" i="126" s="1"/>
  <c r="M197" i="126" a="1"/>
  <c r="M197" i="126" s="1"/>
  <c r="L197" i="126" a="1"/>
  <c r="L197" i="126" s="1"/>
  <c r="K197" i="126" a="1"/>
  <c r="K197" i="126" s="1"/>
  <c r="F197" i="126" a="1"/>
  <c r="F197" i="126" s="1"/>
  <c r="E197" i="126" a="1"/>
  <c r="E197" i="126" s="1"/>
  <c r="D197" i="126" a="1"/>
  <c r="D197" i="126" s="1"/>
  <c r="M196" i="126" a="1"/>
  <c r="M196" i="126" s="1"/>
  <c r="L196" i="126" a="1"/>
  <c r="L196" i="126" s="1"/>
  <c r="K196" i="126" a="1"/>
  <c r="K196" i="126" s="1"/>
  <c r="F196" i="126" a="1"/>
  <c r="F196" i="126" s="1"/>
  <c r="E196" i="126" a="1"/>
  <c r="E196" i="126" s="1"/>
  <c r="D196" i="126" a="1"/>
  <c r="D196" i="126" s="1"/>
  <c r="M195" i="126" a="1"/>
  <c r="M195" i="126" s="1"/>
  <c r="L195" i="126" a="1"/>
  <c r="L195" i="126" s="1"/>
  <c r="K195" i="126" a="1"/>
  <c r="K195" i="126" s="1"/>
  <c r="F195" i="126" a="1"/>
  <c r="F195" i="126" s="1"/>
  <c r="E195" i="126" a="1"/>
  <c r="E195" i="126" s="1"/>
  <c r="D195" i="126" a="1"/>
  <c r="D195" i="126" s="1"/>
  <c r="M194" i="126" a="1"/>
  <c r="M194" i="126" s="1"/>
  <c r="L194" i="126" a="1"/>
  <c r="L194" i="126" s="1"/>
  <c r="K194" i="126" a="1"/>
  <c r="K194" i="126" s="1"/>
  <c r="F194" i="126" a="1"/>
  <c r="F194" i="126" s="1"/>
  <c r="E194" i="126" a="1"/>
  <c r="E194" i="126" s="1"/>
  <c r="D194" i="126" a="1"/>
  <c r="D194" i="126" s="1"/>
  <c r="M193" i="126" a="1"/>
  <c r="M193" i="126" s="1"/>
  <c r="L193" i="126" a="1"/>
  <c r="L193" i="126" s="1"/>
  <c r="K193" i="126" a="1"/>
  <c r="K193" i="126" s="1"/>
  <c r="F193" i="126" a="1"/>
  <c r="F193" i="126" s="1"/>
  <c r="E193" i="126" a="1"/>
  <c r="E193" i="126" s="1"/>
  <c r="D193" i="126" a="1"/>
  <c r="D193" i="126" s="1"/>
  <c r="M192" i="126" a="1"/>
  <c r="M192" i="126" s="1"/>
  <c r="L192" i="126" a="1"/>
  <c r="L192" i="126" s="1"/>
  <c r="K192" i="126" a="1"/>
  <c r="K192" i="126" s="1"/>
  <c r="F192" i="126" a="1"/>
  <c r="F192" i="126" s="1"/>
  <c r="E192" i="126" a="1"/>
  <c r="E192" i="126" s="1"/>
  <c r="D192" i="126" a="1"/>
  <c r="D192" i="126" s="1"/>
  <c r="M191" i="126" a="1"/>
  <c r="M191" i="126" s="1"/>
  <c r="L191" i="126" a="1"/>
  <c r="L191" i="126" s="1"/>
  <c r="K191" i="126" a="1"/>
  <c r="K191" i="126" s="1"/>
  <c r="F191" i="126" a="1"/>
  <c r="F191" i="126" s="1"/>
  <c r="E191" i="126" a="1"/>
  <c r="E191" i="126" s="1"/>
  <c r="D191" i="126" a="1"/>
  <c r="D191" i="126" s="1"/>
  <c r="M190" i="126" a="1"/>
  <c r="M190" i="126" s="1"/>
  <c r="L190" i="126" a="1"/>
  <c r="L190" i="126" s="1"/>
  <c r="K190" i="126" a="1"/>
  <c r="K190" i="126" s="1"/>
  <c r="F190" i="126" a="1"/>
  <c r="F190" i="126" s="1"/>
  <c r="E190" i="126" a="1"/>
  <c r="E190" i="126" s="1"/>
  <c r="D190" i="126" a="1"/>
  <c r="D190" i="126" s="1"/>
  <c r="M189" i="126" a="1"/>
  <c r="M189" i="126" s="1"/>
  <c r="L189" i="126" a="1"/>
  <c r="L189" i="126" s="1"/>
  <c r="K189" i="126" a="1"/>
  <c r="K189" i="126" s="1"/>
  <c r="F189" i="126" a="1"/>
  <c r="F189" i="126" s="1"/>
  <c r="E189" i="126" a="1"/>
  <c r="E189" i="126" s="1"/>
  <c r="D189" i="126" a="1"/>
  <c r="D189" i="126" s="1"/>
  <c r="M188" i="126" a="1"/>
  <c r="M188" i="126" s="1"/>
  <c r="L188" i="126" a="1"/>
  <c r="L188" i="126" s="1"/>
  <c r="K188" i="126" a="1"/>
  <c r="K188" i="126" s="1"/>
  <c r="F188" i="126" a="1"/>
  <c r="F188" i="126" s="1"/>
  <c r="E188" i="126" a="1"/>
  <c r="E188" i="126" s="1"/>
  <c r="D188" i="126" a="1"/>
  <c r="D188" i="126" s="1"/>
  <c r="M187" i="126" a="1"/>
  <c r="M187" i="126" s="1"/>
  <c r="L187" i="126" a="1"/>
  <c r="L187" i="126" s="1"/>
  <c r="K187" i="126" a="1"/>
  <c r="K187" i="126" s="1"/>
  <c r="F187" i="126" a="1"/>
  <c r="F187" i="126" s="1"/>
  <c r="E187" i="126" a="1"/>
  <c r="E187" i="126" s="1"/>
  <c r="D187" i="126" a="1"/>
  <c r="D187" i="126" s="1"/>
  <c r="M186" i="126" a="1"/>
  <c r="M186" i="126" s="1"/>
  <c r="L186" i="126" a="1"/>
  <c r="L186" i="126" s="1"/>
  <c r="K186" i="126" a="1"/>
  <c r="K186" i="126" s="1"/>
  <c r="F186" i="126" a="1"/>
  <c r="F186" i="126" s="1"/>
  <c r="E186" i="126" a="1"/>
  <c r="E186" i="126" s="1"/>
  <c r="D186" i="126" a="1"/>
  <c r="D186" i="126" s="1"/>
  <c r="M185" i="126" a="1"/>
  <c r="M185" i="126" s="1"/>
  <c r="L185" i="126" a="1"/>
  <c r="L185" i="126" s="1"/>
  <c r="K185" i="126" a="1"/>
  <c r="K185" i="126" s="1"/>
  <c r="F185" i="126" a="1"/>
  <c r="F185" i="126" s="1"/>
  <c r="E185" i="126" a="1"/>
  <c r="E185" i="126" s="1"/>
  <c r="D185" i="126" a="1"/>
  <c r="D185" i="126" s="1"/>
  <c r="M184" i="126" a="1"/>
  <c r="M184" i="126" s="1"/>
  <c r="L184" i="126" a="1"/>
  <c r="L184" i="126" s="1"/>
  <c r="K184" i="126" a="1"/>
  <c r="K184" i="126" s="1"/>
  <c r="F184" i="126" a="1"/>
  <c r="F184" i="126" s="1"/>
  <c r="E184" i="126" a="1"/>
  <c r="E184" i="126" s="1"/>
  <c r="D184" i="126" a="1"/>
  <c r="D184" i="126" s="1"/>
  <c r="M183" i="126" a="1"/>
  <c r="M183" i="126" s="1"/>
  <c r="L183" i="126" a="1"/>
  <c r="L183" i="126" s="1"/>
  <c r="K183" i="126" a="1"/>
  <c r="K183" i="126" s="1"/>
  <c r="F183" i="126" a="1"/>
  <c r="F183" i="126" s="1"/>
  <c r="E183" i="126" a="1"/>
  <c r="E183" i="126" s="1"/>
  <c r="D183" i="126" a="1"/>
  <c r="D183" i="126" s="1"/>
  <c r="M182" i="126" a="1"/>
  <c r="M182" i="126" s="1"/>
  <c r="L182" i="126" a="1"/>
  <c r="L182" i="126" s="1"/>
  <c r="K182" i="126" a="1"/>
  <c r="K182" i="126" s="1"/>
  <c r="F182" i="126" a="1"/>
  <c r="F182" i="126" s="1"/>
  <c r="E182" i="126" a="1"/>
  <c r="E182" i="126" s="1"/>
  <c r="D182" i="126" a="1"/>
  <c r="D182" i="126" s="1"/>
  <c r="M181" i="126" a="1"/>
  <c r="M181" i="126" s="1"/>
  <c r="L181" i="126" a="1"/>
  <c r="L181" i="126" s="1"/>
  <c r="K181" i="126" a="1"/>
  <c r="K181" i="126" s="1"/>
  <c r="F181" i="126" a="1"/>
  <c r="F181" i="126" s="1"/>
  <c r="E181" i="126" a="1"/>
  <c r="E181" i="126" s="1"/>
  <c r="D181" i="126" a="1"/>
  <c r="D181" i="126" s="1"/>
  <c r="M180" i="126" a="1"/>
  <c r="M180" i="126" s="1"/>
  <c r="L180" i="126" a="1"/>
  <c r="L180" i="126" s="1"/>
  <c r="K180" i="126" a="1"/>
  <c r="K180" i="126" s="1"/>
  <c r="F180" i="126" a="1"/>
  <c r="F180" i="126" s="1"/>
  <c r="E180" i="126" a="1"/>
  <c r="E180" i="126" s="1"/>
  <c r="D180" i="126" a="1"/>
  <c r="D180" i="126" s="1"/>
  <c r="M179" i="126" a="1"/>
  <c r="M179" i="126" s="1"/>
  <c r="L179" i="126" a="1"/>
  <c r="L179" i="126" s="1"/>
  <c r="K179" i="126" a="1"/>
  <c r="K179" i="126" s="1"/>
  <c r="F179" i="126" a="1"/>
  <c r="F179" i="126" s="1"/>
  <c r="E179" i="126" a="1"/>
  <c r="E179" i="126" s="1"/>
  <c r="D179" i="126" a="1"/>
  <c r="D179" i="126" s="1"/>
  <c r="M178" i="126" a="1"/>
  <c r="M178" i="126" s="1"/>
  <c r="L178" i="126" a="1"/>
  <c r="L178" i="126" s="1"/>
  <c r="K178" i="126" a="1"/>
  <c r="K178" i="126" s="1"/>
  <c r="F178" i="126" a="1"/>
  <c r="F178" i="126" s="1"/>
  <c r="E178" i="126" a="1"/>
  <c r="E178" i="126" s="1"/>
  <c r="D178" i="126" a="1"/>
  <c r="D178" i="126" s="1"/>
  <c r="M177" i="126" a="1"/>
  <c r="M177" i="126" s="1"/>
  <c r="L177" i="126" a="1"/>
  <c r="L177" i="126" s="1"/>
  <c r="K177" i="126" a="1"/>
  <c r="K177" i="126" s="1"/>
  <c r="F177" i="126" a="1"/>
  <c r="F177" i="126" s="1"/>
  <c r="E177" i="126" a="1"/>
  <c r="E177" i="126" s="1"/>
  <c r="D177" i="126" a="1"/>
  <c r="D177" i="126" s="1"/>
  <c r="M176" i="126" a="1"/>
  <c r="M176" i="126" s="1"/>
  <c r="L176" i="126" a="1"/>
  <c r="L176" i="126" s="1"/>
  <c r="K176" i="126" a="1"/>
  <c r="K176" i="126" s="1"/>
  <c r="F176" i="126" a="1"/>
  <c r="F176" i="126" s="1"/>
  <c r="E176" i="126" a="1"/>
  <c r="E176" i="126" s="1"/>
  <c r="D176" i="126" a="1"/>
  <c r="D176" i="126" s="1"/>
  <c r="M175" i="126" a="1"/>
  <c r="M175" i="126" s="1"/>
  <c r="L175" i="126" a="1"/>
  <c r="L175" i="126" s="1"/>
  <c r="K175" i="126" a="1"/>
  <c r="K175" i="126" s="1"/>
  <c r="F175" i="126" a="1"/>
  <c r="F175" i="126" s="1"/>
  <c r="E175" i="126" a="1"/>
  <c r="E175" i="126" s="1"/>
  <c r="D175" i="126" a="1"/>
  <c r="D175" i="126" s="1"/>
  <c r="M174" i="126" a="1"/>
  <c r="M174" i="126" s="1"/>
  <c r="L174" i="126" a="1"/>
  <c r="L174" i="126" s="1"/>
  <c r="K174" i="126" a="1"/>
  <c r="K174" i="126" s="1"/>
  <c r="F174" i="126" a="1"/>
  <c r="F174" i="126" s="1"/>
  <c r="E174" i="126" a="1"/>
  <c r="E174" i="126" s="1"/>
  <c r="D174" i="126" a="1"/>
  <c r="D174" i="126" s="1"/>
  <c r="I170" i="126" a="1"/>
  <c r="I170" i="126" s="1"/>
  <c r="H170" i="126" a="1"/>
  <c r="H170" i="126" s="1"/>
  <c r="G170" i="126" a="1"/>
  <c r="G170" i="126" s="1"/>
  <c r="F170" i="126" a="1"/>
  <c r="F170" i="126" s="1"/>
  <c r="E170" i="126" a="1"/>
  <c r="E170" i="126" s="1"/>
  <c r="D170" i="126" a="1"/>
  <c r="D170" i="126" s="1"/>
  <c r="I169" i="126" a="1"/>
  <c r="I169" i="126" s="1"/>
  <c r="H169" i="126" a="1"/>
  <c r="H169" i="126" s="1"/>
  <c r="G169" i="126" a="1"/>
  <c r="G169" i="126" s="1"/>
  <c r="F169" i="126" a="1"/>
  <c r="F169" i="126" s="1"/>
  <c r="E169" i="126" a="1"/>
  <c r="E169" i="126" s="1"/>
  <c r="D169" i="126" a="1"/>
  <c r="D169" i="126" s="1"/>
  <c r="I168" i="126" a="1"/>
  <c r="I168" i="126" s="1"/>
  <c r="H168" i="126" a="1"/>
  <c r="H168" i="126" s="1"/>
  <c r="G168" i="126" a="1"/>
  <c r="G168" i="126" s="1"/>
  <c r="F168" i="126" a="1"/>
  <c r="F168" i="126" s="1"/>
  <c r="E168" i="126" a="1"/>
  <c r="E168" i="126" s="1"/>
  <c r="D7" i="121" s="1" a="1"/>
  <c r="D7" i="121" s="1"/>
  <c r="D177" i="124" s="1"/>
  <c r="F177" i="124" s="1" a="1"/>
  <c r="F177" i="124" s="1"/>
  <c r="D168" i="126" a="1"/>
  <c r="D168" i="126" s="1"/>
  <c r="I165" i="126" a="1"/>
  <c r="I165" i="126" s="1"/>
  <c r="H165" i="126" a="1"/>
  <c r="H165" i="126" s="1"/>
  <c r="G165" i="126" a="1"/>
  <c r="G165" i="126" s="1"/>
  <c r="F165" i="126" a="1"/>
  <c r="F165" i="126" s="1"/>
  <c r="E165" i="126" a="1"/>
  <c r="E165" i="126" s="1"/>
  <c r="D165" i="126" a="1"/>
  <c r="D165" i="126" s="1"/>
  <c r="I164" i="126" a="1"/>
  <c r="I164" i="126" s="1"/>
  <c r="H164" i="126" a="1"/>
  <c r="H164" i="126" s="1"/>
  <c r="G164" i="126" a="1"/>
  <c r="G164" i="126" s="1"/>
  <c r="F164" i="126" a="1"/>
  <c r="F164" i="126" s="1"/>
  <c r="E164" i="126" a="1"/>
  <c r="E164" i="126" s="1"/>
  <c r="D164" i="126" a="1"/>
  <c r="D164" i="126" s="1"/>
  <c r="I163" i="126" a="1"/>
  <c r="I163" i="126" s="1"/>
  <c r="H163" i="126" a="1"/>
  <c r="H163" i="126" s="1"/>
  <c r="G163" i="126" a="1"/>
  <c r="G163" i="126" s="1"/>
  <c r="F163" i="126" a="1"/>
  <c r="F163" i="126" s="1"/>
  <c r="E163" i="126" a="1"/>
  <c r="E163" i="126" s="1"/>
  <c r="D163" i="126" a="1"/>
  <c r="D163" i="126" s="1"/>
  <c r="I162" i="126" a="1"/>
  <c r="I162" i="126" s="1"/>
  <c r="H162" i="126" a="1"/>
  <c r="H162" i="126" s="1"/>
  <c r="G162" i="126" a="1"/>
  <c r="G162" i="126" s="1"/>
  <c r="F162" i="126" a="1"/>
  <c r="F162" i="126" s="1"/>
  <c r="E162" i="126" a="1"/>
  <c r="E162" i="126" s="1"/>
  <c r="D12" i="121" s="1" a="1"/>
  <c r="D162" i="126" a="1"/>
  <c r="D162" i="126" s="1"/>
  <c r="I158" i="126" a="1"/>
  <c r="I158" i="126" s="1"/>
  <c r="H158" i="126" a="1"/>
  <c r="H158" i="126" s="1"/>
  <c r="G158" i="126" a="1"/>
  <c r="G158" i="126" s="1"/>
  <c r="F158" i="126" a="1"/>
  <c r="F158" i="126" s="1"/>
  <c r="P158" i="126" s="1"/>
  <c r="E158" i="126" a="1"/>
  <c r="E158" i="126" s="1"/>
  <c r="O158" i="126" s="1"/>
  <c r="Q157" i="126" s="1"/>
  <c r="D158" i="126" a="1"/>
  <c r="D158" i="126" s="1"/>
  <c r="I157" i="126" a="1"/>
  <c r="I157" i="126" s="1"/>
  <c r="H157" i="126" a="1"/>
  <c r="H157" i="126" s="1"/>
  <c r="G157" i="126" a="1"/>
  <c r="G157" i="126" s="1"/>
  <c r="F157" i="126" a="1"/>
  <c r="F157" i="126" s="1"/>
  <c r="M157" i="126" s="1"/>
  <c r="E157" i="126" a="1"/>
  <c r="E157" i="126" s="1"/>
  <c r="L157" i="126" s="1"/>
  <c r="N156" i="126" s="1"/>
  <c r="D157" i="126" a="1"/>
  <c r="D157" i="126" s="1"/>
  <c r="I156" i="126" a="1"/>
  <c r="I156" i="126" s="1"/>
  <c r="H156" i="126" a="1"/>
  <c r="H156" i="126" s="1"/>
  <c r="G156" i="126" a="1"/>
  <c r="G156" i="126" s="1"/>
  <c r="F156" i="126" a="1"/>
  <c r="F156" i="126" s="1"/>
  <c r="P156" i="126" s="1"/>
  <c r="E156" i="126" a="1"/>
  <c r="E156" i="126" s="1"/>
  <c r="O156" i="126" s="1"/>
  <c r="Q155" i="126" s="1"/>
  <c r="D156" i="126" a="1"/>
  <c r="D156" i="126" s="1"/>
  <c r="I155" i="126" a="1"/>
  <c r="I155" i="126" s="1"/>
  <c r="H155" i="126" a="1"/>
  <c r="H155" i="126" s="1"/>
  <c r="G155" i="126" a="1"/>
  <c r="G155" i="126" s="1"/>
  <c r="F155" i="126" a="1"/>
  <c r="F155" i="126" s="1"/>
  <c r="M155" i="126" s="1"/>
  <c r="E155" i="126" a="1"/>
  <c r="E155" i="126" s="1"/>
  <c r="L155" i="126" s="1"/>
  <c r="N154" i="126" s="1"/>
  <c r="D155" i="126" a="1"/>
  <c r="D155" i="126" s="1"/>
  <c r="I154" i="126" a="1"/>
  <c r="I154" i="126" s="1"/>
  <c r="H154" i="126" a="1"/>
  <c r="H154" i="126" s="1"/>
  <c r="G154" i="126" a="1"/>
  <c r="G154" i="126" s="1"/>
  <c r="F154" i="126" a="1"/>
  <c r="F154" i="126" s="1"/>
  <c r="P154" i="126" s="1"/>
  <c r="E154" i="126" a="1"/>
  <c r="E154" i="126" s="1"/>
  <c r="O154" i="126" s="1"/>
  <c r="Q153" i="126" s="1"/>
  <c r="D154" i="126" a="1"/>
  <c r="D154" i="126" s="1"/>
  <c r="I153" i="126" a="1"/>
  <c r="I153" i="126" s="1"/>
  <c r="H153" i="126" a="1"/>
  <c r="H153" i="126" s="1"/>
  <c r="G153" i="126" a="1"/>
  <c r="G153" i="126" s="1"/>
  <c r="F153" i="126" a="1"/>
  <c r="F153" i="126" s="1"/>
  <c r="M153" i="126" s="1"/>
  <c r="E153" i="126" a="1"/>
  <c r="E153" i="126" s="1"/>
  <c r="L153" i="126" s="1"/>
  <c r="N152" i="126" s="1"/>
  <c r="D153" i="126" a="1"/>
  <c r="D153" i="126" s="1"/>
  <c r="I152" i="126" a="1"/>
  <c r="I152" i="126" s="1"/>
  <c r="H152" i="126" a="1"/>
  <c r="H152" i="126" s="1"/>
  <c r="G152" i="126" a="1"/>
  <c r="G152" i="126" s="1"/>
  <c r="F152" i="126" a="1"/>
  <c r="F152" i="126" s="1"/>
  <c r="P152" i="126" s="1"/>
  <c r="E152" i="126" a="1"/>
  <c r="E152" i="126" s="1"/>
  <c r="O152" i="126" s="1"/>
  <c r="Q151" i="126" s="1"/>
  <c r="D152" i="126" a="1"/>
  <c r="D152" i="126" s="1"/>
  <c r="I151" i="126" a="1"/>
  <c r="I151" i="126" s="1"/>
  <c r="H151" i="126" a="1"/>
  <c r="H151" i="126" s="1"/>
  <c r="G151" i="126" a="1"/>
  <c r="G151" i="126" s="1"/>
  <c r="F151" i="126" a="1"/>
  <c r="F151" i="126" s="1"/>
  <c r="M151" i="126" s="1"/>
  <c r="E151" i="126" a="1"/>
  <c r="E151" i="126" s="1"/>
  <c r="L151" i="126" s="1"/>
  <c r="N150" i="126" s="1"/>
  <c r="D151" i="126" a="1"/>
  <c r="D151" i="126" s="1"/>
  <c r="I150" i="126" a="1"/>
  <c r="I150" i="126" s="1"/>
  <c r="H150" i="126" a="1"/>
  <c r="H150" i="126" s="1"/>
  <c r="G150" i="126" a="1"/>
  <c r="G150" i="126" s="1"/>
  <c r="F150" i="126" a="1"/>
  <c r="F150" i="126" s="1"/>
  <c r="P150" i="126" s="1"/>
  <c r="E150" i="126" a="1"/>
  <c r="E150" i="126" s="1"/>
  <c r="O150" i="126" s="1"/>
  <c r="D150" i="126" a="1"/>
  <c r="D150" i="126" s="1"/>
  <c r="I149" i="126" a="1"/>
  <c r="I149" i="126" s="1"/>
  <c r="H149" i="126" a="1"/>
  <c r="H149" i="126" s="1"/>
  <c r="G149" i="126" a="1"/>
  <c r="G149" i="126" s="1"/>
  <c r="F149" i="126" a="1"/>
  <c r="F149" i="126" s="1"/>
  <c r="P149" i="126" s="1"/>
  <c r="E149" i="126" a="1"/>
  <c r="E149" i="126" s="1"/>
  <c r="O149" i="126" s="1"/>
  <c r="D149" i="126" a="1"/>
  <c r="D149" i="126" s="1"/>
  <c r="I148" i="126" a="1"/>
  <c r="I148" i="126" s="1"/>
  <c r="H148" i="126" a="1"/>
  <c r="H148" i="126" s="1"/>
  <c r="G148" i="126" a="1"/>
  <c r="G148" i="126" s="1"/>
  <c r="F148" i="126" a="1"/>
  <c r="F148" i="126" s="1"/>
  <c r="P148" i="126" s="1"/>
  <c r="E148" i="126" a="1"/>
  <c r="E148" i="126" s="1"/>
  <c r="O148" i="126" s="1"/>
  <c r="D148" i="126" a="1"/>
  <c r="D148" i="126" s="1"/>
  <c r="I147" i="126" a="1"/>
  <c r="I147" i="126" s="1"/>
  <c r="H147" i="126" a="1"/>
  <c r="H147" i="126" s="1"/>
  <c r="G147" i="126" a="1"/>
  <c r="G147" i="126" s="1"/>
  <c r="F147" i="126" a="1"/>
  <c r="F147" i="126" s="1"/>
  <c r="P147" i="126" s="1"/>
  <c r="E147" i="126" a="1"/>
  <c r="E147" i="126" s="1"/>
  <c r="O147" i="126" s="1"/>
  <c r="D147" i="126" a="1"/>
  <c r="D147" i="126" s="1"/>
  <c r="I146" i="126" a="1"/>
  <c r="I146" i="126" s="1"/>
  <c r="H146" i="126" a="1"/>
  <c r="H146" i="126" s="1"/>
  <c r="G146" i="126" a="1"/>
  <c r="G146" i="126" s="1"/>
  <c r="F146" i="126" a="1"/>
  <c r="F146" i="126" s="1"/>
  <c r="P146" i="126" s="1"/>
  <c r="E146" i="126" a="1"/>
  <c r="E146" i="126" s="1"/>
  <c r="O146" i="126" s="1"/>
  <c r="D146" i="126" a="1"/>
  <c r="D146" i="126" s="1"/>
  <c r="I145" i="126" a="1"/>
  <c r="I145" i="126" s="1"/>
  <c r="H145" i="126" a="1"/>
  <c r="H145" i="126" s="1"/>
  <c r="G145" i="126" a="1"/>
  <c r="G145" i="126" s="1"/>
  <c r="F145" i="126" a="1"/>
  <c r="F145" i="126" s="1"/>
  <c r="P145" i="126" s="1"/>
  <c r="E145" i="126" a="1"/>
  <c r="E145" i="126" s="1"/>
  <c r="O145" i="126" s="1"/>
  <c r="D145" i="126" a="1"/>
  <c r="D145" i="126" s="1"/>
  <c r="I144" i="126" a="1"/>
  <c r="I144" i="126" s="1"/>
  <c r="H144" i="126" a="1"/>
  <c r="H144" i="126" s="1"/>
  <c r="G144" i="126" a="1"/>
  <c r="G144" i="126" s="1"/>
  <c r="F144" i="126" a="1"/>
  <c r="F144" i="126" s="1"/>
  <c r="P144" i="126" s="1"/>
  <c r="E144" i="126" a="1"/>
  <c r="E144" i="126" s="1"/>
  <c r="O144" i="126" s="1"/>
  <c r="Q143" i="126" s="1"/>
  <c r="D144" i="126" a="1"/>
  <c r="D144" i="126" s="1"/>
  <c r="I143" i="126" a="1"/>
  <c r="I143" i="126" s="1"/>
  <c r="H143" i="126" a="1"/>
  <c r="H143" i="126" s="1"/>
  <c r="G143" i="126" a="1"/>
  <c r="G143" i="126" s="1"/>
  <c r="F143" i="126" a="1"/>
  <c r="F143" i="126" s="1"/>
  <c r="M143" i="126" s="1"/>
  <c r="E143" i="126" a="1"/>
  <c r="E143" i="126" s="1"/>
  <c r="L143" i="126" s="1"/>
  <c r="D143" i="126" a="1"/>
  <c r="D143" i="126" s="1"/>
  <c r="I142" i="126" a="1"/>
  <c r="I142" i="126" s="1"/>
  <c r="H142" i="126" a="1"/>
  <c r="H142" i="126" s="1"/>
  <c r="G142" i="126" a="1"/>
  <c r="G142" i="126" s="1"/>
  <c r="F142" i="126"/>
  <c r="M142" i="126" s="1"/>
  <c r="F142" i="126" a="1"/>
  <c r="E142" i="126" a="1"/>
  <c r="E142" i="126" s="1"/>
  <c r="L142" i="126" s="1"/>
  <c r="D142" i="126" a="1"/>
  <c r="D142" i="126" s="1"/>
  <c r="I141" i="126" a="1"/>
  <c r="I141" i="126" s="1"/>
  <c r="H141" i="126" a="1"/>
  <c r="H141" i="126" s="1"/>
  <c r="G141" i="126" a="1"/>
  <c r="G141" i="126" s="1"/>
  <c r="F141" i="126" a="1"/>
  <c r="F141" i="126" s="1"/>
  <c r="M141" i="126" s="1"/>
  <c r="E141" i="126" a="1"/>
  <c r="E141" i="126" s="1"/>
  <c r="L141" i="126" s="1"/>
  <c r="D141" i="126" a="1"/>
  <c r="D141" i="126" s="1"/>
  <c r="I140" i="126" a="1"/>
  <c r="I140" i="126" s="1"/>
  <c r="H140" i="126" a="1"/>
  <c r="H140" i="126" s="1"/>
  <c r="G140" i="126" a="1"/>
  <c r="G140" i="126" s="1"/>
  <c r="F140" i="126" a="1"/>
  <c r="F140" i="126" s="1"/>
  <c r="M140" i="126" s="1"/>
  <c r="E140" i="126" a="1"/>
  <c r="E140" i="126" s="1"/>
  <c r="L140" i="126" s="1"/>
  <c r="D140" i="126" a="1"/>
  <c r="D140" i="126" s="1"/>
  <c r="I139" i="126" a="1"/>
  <c r="I139" i="126" s="1"/>
  <c r="H139" i="126" a="1"/>
  <c r="H139" i="126" s="1"/>
  <c r="G139" i="126" a="1"/>
  <c r="G139" i="126" s="1"/>
  <c r="F139" i="126" a="1"/>
  <c r="F139" i="126" s="1"/>
  <c r="M139" i="126" s="1"/>
  <c r="E139" i="126" a="1"/>
  <c r="E139" i="126" s="1"/>
  <c r="L139" i="126" s="1"/>
  <c r="D139" i="126" a="1"/>
  <c r="D139" i="126" s="1"/>
  <c r="I138" i="126" a="1"/>
  <c r="I138" i="126" s="1"/>
  <c r="H138" i="126" a="1"/>
  <c r="H138" i="126" s="1"/>
  <c r="G138" i="126" a="1"/>
  <c r="G138" i="126" s="1"/>
  <c r="F138" i="126" a="1"/>
  <c r="F138" i="126" s="1"/>
  <c r="M138" i="126" s="1"/>
  <c r="E138" i="126" a="1"/>
  <c r="E138" i="126" s="1"/>
  <c r="L138" i="126" s="1"/>
  <c r="N137" i="126" s="1"/>
  <c r="D138" i="126" a="1"/>
  <c r="D138" i="126" s="1"/>
  <c r="I137" i="126" a="1"/>
  <c r="I137" i="126" s="1"/>
  <c r="H137" i="126" a="1"/>
  <c r="H137" i="126" s="1"/>
  <c r="G137" i="126" a="1"/>
  <c r="G137" i="126" s="1"/>
  <c r="F137" i="126" a="1"/>
  <c r="F137" i="126" s="1"/>
  <c r="P137" i="126" s="1"/>
  <c r="E137" i="126" a="1"/>
  <c r="E137" i="126" s="1"/>
  <c r="O137" i="126" s="1"/>
  <c r="D137" i="126" a="1"/>
  <c r="D137" i="126" s="1"/>
  <c r="I136" i="126" a="1"/>
  <c r="I136" i="126" s="1"/>
  <c r="H136" i="126" a="1"/>
  <c r="H136" i="126" s="1"/>
  <c r="G136" i="126" a="1"/>
  <c r="G136" i="126" s="1"/>
  <c r="F136" i="126" a="1"/>
  <c r="F136" i="126" s="1"/>
  <c r="P136" i="126" s="1"/>
  <c r="E136" i="126" a="1"/>
  <c r="E136" i="126" s="1"/>
  <c r="O136" i="126" s="1"/>
  <c r="D136" i="126" a="1"/>
  <c r="D136" i="126" s="1"/>
  <c r="I135" i="126" a="1"/>
  <c r="I135" i="126" s="1"/>
  <c r="H135" i="126" a="1"/>
  <c r="H135" i="126" s="1"/>
  <c r="G135" i="126" a="1"/>
  <c r="G135" i="126" s="1"/>
  <c r="F135" i="126" a="1"/>
  <c r="F135" i="126" s="1"/>
  <c r="P135" i="126" s="1"/>
  <c r="E135" i="126" a="1"/>
  <c r="E135" i="126" s="1"/>
  <c r="O135" i="126" s="1"/>
  <c r="D135" i="126" a="1"/>
  <c r="D135" i="126" s="1"/>
  <c r="I134" i="126" a="1"/>
  <c r="I134" i="126" s="1"/>
  <c r="H134" i="126" a="1"/>
  <c r="H134" i="126" s="1"/>
  <c r="G134" i="126" a="1"/>
  <c r="G134" i="126" s="1"/>
  <c r="F134" i="126" a="1"/>
  <c r="F134" i="126" s="1"/>
  <c r="P134" i="126" s="1"/>
  <c r="E134" i="126" a="1"/>
  <c r="E134" i="126" s="1"/>
  <c r="O134" i="126" s="1"/>
  <c r="D134" i="126" a="1"/>
  <c r="D134" i="126" s="1"/>
  <c r="I133" i="126" a="1"/>
  <c r="I133" i="126" s="1"/>
  <c r="H133" i="126" a="1"/>
  <c r="H133" i="126" s="1"/>
  <c r="G133" i="126" a="1"/>
  <c r="G133" i="126" s="1"/>
  <c r="F133" i="126" a="1"/>
  <c r="F133" i="126" s="1"/>
  <c r="P133" i="126" s="1"/>
  <c r="E133" i="126" a="1"/>
  <c r="E133" i="126" s="1"/>
  <c r="O133" i="126" s="1"/>
  <c r="D133" i="126" a="1"/>
  <c r="D133" i="126" s="1"/>
  <c r="I132" i="126" a="1"/>
  <c r="I132" i="126" s="1"/>
  <c r="H132" i="126" a="1"/>
  <c r="H132" i="126" s="1"/>
  <c r="G132" i="126" a="1"/>
  <c r="G132" i="126" s="1"/>
  <c r="F132" i="126" a="1"/>
  <c r="F132" i="126" s="1"/>
  <c r="P132" i="126" s="1"/>
  <c r="E132" i="126" a="1"/>
  <c r="E132" i="126" s="1"/>
  <c r="O132" i="126" s="1"/>
  <c r="D132" i="126" a="1"/>
  <c r="D132" i="126" s="1"/>
  <c r="I131" i="126" a="1"/>
  <c r="I131" i="126" s="1"/>
  <c r="H131" i="126" a="1"/>
  <c r="H131" i="126" s="1"/>
  <c r="G131" i="126" a="1"/>
  <c r="G131" i="126" s="1"/>
  <c r="F131" i="126" a="1"/>
  <c r="F131" i="126" s="1"/>
  <c r="P131" i="126" s="1"/>
  <c r="E131" i="126" a="1"/>
  <c r="E131" i="126" s="1"/>
  <c r="O131" i="126" s="1"/>
  <c r="Q130" i="126" s="1"/>
  <c r="D131" i="126" a="1"/>
  <c r="D131" i="126" s="1"/>
  <c r="I130" i="126" a="1"/>
  <c r="I130" i="126" s="1"/>
  <c r="H130" i="126" a="1"/>
  <c r="H130" i="126" s="1"/>
  <c r="G130" i="126" a="1"/>
  <c r="G130" i="126" s="1"/>
  <c r="F130" i="126" a="1"/>
  <c r="F130" i="126" s="1"/>
  <c r="M130" i="126" s="1"/>
  <c r="E130" i="126" a="1"/>
  <c r="E130" i="126" s="1"/>
  <c r="L130" i="126" s="1"/>
  <c r="D130" i="126" a="1"/>
  <c r="D130" i="126" s="1"/>
  <c r="I129" i="126" a="1"/>
  <c r="I129" i="126" s="1"/>
  <c r="H129" i="126" a="1"/>
  <c r="H129" i="126" s="1"/>
  <c r="G129" i="126" a="1"/>
  <c r="G129" i="126" s="1"/>
  <c r="F129" i="126" a="1"/>
  <c r="F129" i="126" s="1"/>
  <c r="M129" i="126" s="1"/>
  <c r="E129" i="126" a="1"/>
  <c r="E129" i="126" s="1"/>
  <c r="L129" i="126" s="1"/>
  <c r="D129" i="126" a="1"/>
  <c r="D129" i="126" s="1"/>
  <c r="I128" i="126" a="1"/>
  <c r="I128" i="126" s="1"/>
  <c r="H128" i="126" a="1"/>
  <c r="H128" i="126" s="1"/>
  <c r="G128" i="126" a="1"/>
  <c r="G128" i="126" s="1"/>
  <c r="F128" i="126" a="1"/>
  <c r="F128" i="126" s="1"/>
  <c r="M128" i="126" s="1"/>
  <c r="E128" i="126" a="1"/>
  <c r="E128" i="126" s="1"/>
  <c r="L128" i="126" s="1"/>
  <c r="D128" i="126" a="1"/>
  <c r="D128" i="126" s="1"/>
  <c r="I127" i="126" a="1"/>
  <c r="I127" i="126" s="1"/>
  <c r="H127" i="126" a="1"/>
  <c r="H127" i="126" s="1"/>
  <c r="G127" i="126" a="1"/>
  <c r="G127" i="126" s="1"/>
  <c r="F127" i="126" a="1"/>
  <c r="F127" i="126" s="1"/>
  <c r="M127" i="126" s="1"/>
  <c r="E127" i="126" a="1"/>
  <c r="E127" i="126" s="1"/>
  <c r="L127" i="126" s="1"/>
  <c r="D127" i="126" a="1"/>
  <c r="D127" i="126" s="1"/>
  <c r="I126" i="126" a="1"/>
  <c r="I126" i="126" s="1"/>
  <c r="H126" i="126" a="1"/>
  <c r="H126" i="126" s="1"/>
  <c r="G126" i="126" a="1"/>
  <c r="G126" i="126" s="1"/>
  <c r="F126" i="126" a="1"/>
  <c r="F126" i="126" s="1"/>
  <c r="M126" i="126" s="1"/>
  <c r="E126" i="126" a="1"/>
  <c r="E126" i="126" s="1"/>
  <c r="L126" i="126" s="1"/>
  <c r="D126" i="126" a="1"/>
  <c r="D126" i="126" s="1"/>
  <c r="I125" i="126" a="1"/>
  <c r="I125" i="126" s="1"/>
  <c r="H125" i="126" a="1"/>
  <c r="H125" i="126" s="1"/>
  <c r="G125" i="126" a="1"/>
  <c r="G125" i="126" s="1"/>
  <c r="F125" i="126" a="1"/>
  <c r="F125" i="126" s="1"/>
  <c r="M125" i="126" s="1"/>
  <c r="E125" i="126" a="1"/>
  <c r="E125" i="126" s="1"/>
  <c r="L125" i="126" s="1"/>
  <c r="N124" i="126" s="1"/>
  <c r="D125" i="126" a="1"/>
  <c r="D125" i="126" s="1"/>
  <c r="I124" i="126" a="1"/>
  <c r="I124" i="126" s="1"/>
  <c r="H124" i="126" a="1"/>
  <c r="H124" i="126" s="1"/>
  <c r="G124" i="126" a="1"/>
  <c r="G124" i="126" s="1"/>
  <c r="F124" i="126" a="1"/>
  <c r="F124" i="126" s="1"/>
  <c r="P124" i="126" s="1"/>
  <c r="E124" i="126" a="1"/>
  <c r="E124" i="126" s="1"/>
  <c r="O124" i="126" s="1"/>
  <c r="D124" i="126" a="1"/>
  <c r="D124" i="126" s="1"/>
  <c r="I123" i="126" a="1"/>
  <c r="I123" i="126" s="1"/>
  <c r="H123" i="126" a="1"/>
  <c r="H123" i="126" s="1"/>
  <c r="G123" i="126" a="1"/>
  <c r="G123" i="126" s="1"/>
  <c r="F123" i="126" a="1"/>
  <c r="F123" i="126" s="1"/>
  <c r="P123" i="126" s="1"/>
  <c r="E123" i="126" a="1"/>
  <c r="E123" i="126" s="1"/>
  <c r="O123" i="126" s="1"/>
  <c r="D123" i="126" a="1"/>
  <c r="D123" i="126" s="1"/>
  <c r="I122" i="126" a="1"/>
  <c r="I122" i="126" s="1"/>
  <c r="H122" i="126" a="1"/>
  <c r="H122" i="126" s="1"/>
  <c r="G122" i="126" a="1"/>
  <c r="G122" i="126" s="1"/>
  <c r="F122" i="126" a="1"/>
  <c r="F122" i="126" s="1"/>
  <c r="P122" i="126" s="1"/>
  <c r="E122" i="126" a="1"/>
  <c r="E122" i="126" s="1"/>
  <c r="O122" i="126" s="1"/>
  <c r="D122" i="126" a="1"/>
  <c r="D122" i="126" s="1"/>
  <c r="I121" i="126" a="1"/>
  <c r="I121" i="126" s="1"/>
  <c r="H121" i="126" a="1"/>
  <c r="H121" i="126" s="1"/>
  <c r="G121" i="126" a="1"/>
  <c r="G121" i="126" s="1"/>
  <c r="F121" i="126" a="1"/>
  <c r="F121" i="126" s="1"/>
  <c r="P121" i="126" s="1"/>
  <c r="E121" i="126" a="1"/>
  <c r="E121" i="126" s="1"/>
  <c r="O121" i="126" s="1"/>
  <c r="D121" i="126" a="1"/>
  <c r="D121" i="126" s="1"/>
  <c r="I120" i="126" a="1"/>
  <c r="I120" i="126" s="1"/>
  <c r="H120" i="126" a="1"/>
  <c r="H120" i="126" s="1"/>
  <c r="G120" i="126" a="1"/>
  <c r="G120" i="126" s="1"/>
  <c r="F120" i="126" a="1"/>
  <c r="F120" i="126" s="1"/>
  <c r="P120" i="126" s="1"/>
  <c r="E120" i="126" a="1"/>
  <c r="E120" i="126" s="1"/>
  <c r="O120" i="126" s="1"/>
  <c r="D120" i="126" a="1"/>
  <c r="D120" i="126" s="1"/>
  <c r="I119" i="126" a="1"/>
  <c r="I119" i="126" s="1"/>
  <c r="H119" i="126" a="1"/>
  <c r="H119" i="126" s="1"/>
  <c r="G119" i="126" a="1"/>
  <c r="G119" i="126" s="1"/>
  <c r="F119" i="126" a="1"/>
  <c r="F119" i="126" s="1"/>
  <c r="P119" i="126" s="1"/>
  <c r="E119" i="126" a="1"/>
  <c r="E119" i="126" s="1"/>
  <c r="O119" i="126" s="1"/>
  <c r="D119" i="126" a="1"/>
  <c r="D119" i="126" s="1"/>
  <c r="I118" i="126" a="1"/>
  <c r="I118" i="126" s="1"/>
  <c r="H118" i="126" a="1"/>
  <c r="H118" i="126" s="1"/>
  <c r="G118" i="126" a="1"/>
  <c r="G118" i="126" s="1"/>
  <c r="F118" i="126" a="1"/>
  <c r="F118" i="126" s="1"/>
  <c r="P118" i="126" s="1"/>
  <c r="E118" i="126" a="1"/>
  <c r="E118" i="126" s="1"/>
  <c r="O118" i="126" s="1"/>
  <c r="Q117" i="126" s="1"/>
  <c r="D118" i="126" a="1"/>
  <c r="D118" i="126" s="1"/>
  <c r="I117" i="126" a="1"/>
  <c r="I117" i="126" s="1"/>
  <c r="H117" i="126" a="1"/>
  <c r="H117" i="126" s="1"/>
  <c r="G117" i="126" a="1"/>
  <c r="G117" i="126" s="1"/>
  <c r="F117" i="126" a="1"/>
  <c r="F117" i="126" s="1"/>
  <c r="M117" i="126" s="1"/>
  <c r="E117" i="126" a="1"/>
  <c r="E117" i="126" s="1"/>
  <c r="L117" i="126" s="1"/>
  <c r="D117" i="126" a="1"/>
  <c r="D117" i="126" s="1"/>
  <c r="I116" i="126" a="1"/>
  <c r="I116" i="126" s="1"/>
  <c r="H116" i="126" a="1"/>
  <c r="H116" i="126" s="1"/>
  <c r="G116" i="126" a="1"/>
  <c r="G116" i="126" s="1"/>
  <c r="F116" i="126" a="1"/>
  <c r="F116" i="126" s="1"/>
  <c r="M116" i="126" s="1"/>
  <c r="E116" i="126" a="1"/>
  <c r="E116" i="126" s="1"/>
  <c r="L116" i="126" s="1"/>
  <c r="D116" i="126" a="1"/>
  <c r="D116" i="126" s="1"/>
  <c r="I115" i="126" a="1"/>
  <c r="I115" i="126" s="1"/>
  <c r="H115" i="126" a="1"/>
  <c r="H115" i="126" s="1"/>
  <c r="G115" i="126" a="1"/>
  <c r="G115" i="126" s="1"/>
  <c r="F115" i="126" a="1"/>
  <c r="F115" i="126" s="1"/>
  <c r="M115" i="126" s="1"/>
  <c r="E115" i="126" a="1"/>
  <c r="E115" i="126" s="1"/>
  <c r="L115" i="126" s="1"/>
  <c r="D115" i="126" a="1"/>
  <c r="D115" i="126" s="1"/>
  <c r="I114" i="126" a="1"/>
  <c r="I114" i="126" s="1"/>
  <c r="H114" i="126" a="1"/>
  <c r="H114" i="126" s="1"/>
  <c r="G114" i="126" a="1"/>
  <c r="G114" i="126" s="1"/>
  <c r="F114" i="126" a="1"/>
  <c r="F114" i="126" s="1"/>
  <c r="M114" i="126" s="1"/>
  <c r="E114" i="126" a="1"/>
  <c r="E114" i="126" s="1"/>
  <c r="L114" i="126" s="1"/>
  <c r="D114" i="126" a="1"/>
  <c r="D114" i="126" s="1"/>
  <c r="I113" i="126" a="1"/>
  <c r="I113" i="126" s="1"/>
  <c r="H113" i="126" a="1"/>
  <c r="H113" i="126" s="1"/>
  <c r="G113" i="126" a="1"/>
  <c r="G113" i="126" s="1"/>
  <c r="F113" i="126" a="1"/>
  <c r="F113" i="126" s="1"/>
  <c r="M113" i="126" s="1"/>
  <c r="E113" i="126" a="1"/>
  <c r="E113" i="126" s="1"/>
  <c r="L113" i="126" s="1"/>
  <c r="D113" i="126" a="1"/>
  <c r="D113" i="126" s="1"/>
  <c r="I112" i="126" a="1"/>
  <c r="I112" i="126" s="1"/>
  <c r="H112" i="126" a="1"/>
  <c r="H112" i="126" s="1"/>
  <c r="G112" i="126" a="1"/>
  <c r="G112" i="126" s="1"/>
  <c r="F112" i="126" a="1"/>
  <c r="F112" i="126" s="1"/>
  <c r="M112" i="126" s="1"/>
  <c r="E112" i="126" a="1"/>
  <c r="E112" i="126" s="1"/>
  <c r="L112" i="126" s="1"/>
  <c r="D112" i="126" a="1"/>
  <c r="D112" i="126" s="1"/>
  <c r="I111" i="126" a="1"/>
  <c r="I111" i="126" s="1"/>
  <c r="H111" i="126" a="1"/>
  <c r="H111" i="126" s="1"/>
  <c r="G111" i="126" a="1"/>
  <c r="G111" i="126" s="1"/>
  <c r="F111" i="126" a="1"/>
  <c r="F111" i="126" s="1"/>
  <c r="M111" i="126" s="1"/>
  <c r="E111" i="126" a="1"/>
  <c r="E111" i="126" s="1"/>
  <c r="L111" i="126" s="1"/>
  <c r="D111" i="126" a="1"/>
  <c r="D111" i="126" s="1"/>
  <c r="I110" i="126" a="1"/>
  <c r="I110" i="126" s="1"/>
  <c r="H110" i="126"/>
  <c r="H110" i="126" a="1"/>
  <c r="G110" i="126" a="1"/>
  <c r="G110" i="126" s="1"/>
  <c r="F110" i="126" a="1"/>
  <c r="F110" i="126" s="1"/>
  <c r="M110" i="126" s="1"/>
  <c r="E110" i="126" a="1"/>
  <c r="E110" i="126" s="1"/>
  <c r="L110" i="126" s="1"/>
  <c r="N109" i="126" s="1"/>
  <c r="D110" i="126" a="1"/>
  <c r="D110" i="126" s="1"/>
  <c r="I109" i="126" a="1"/>
  <c r="I109" i="126" s="1"/>
  <c r="H109" i="126" a="1"/>
  <c r="H109" i="126" s="1"/>
  <c r="G109" i="126" a="1"/>
  <c r="G109" i="126" s="1"/>
  <c r="F109" i="126" a="1"/>
  <c r="F109" i="126" s="1"/>
  <c r="P109" i="126" s="1"/>
  <c r="E109" i="126" a="1"/>
  <c r="E109" i="126" s="1"/>
  <c r="O109" i="126" s="1"/>
  <c r="D109" i="126" a="1"/>
  <c r="D109" i="126" s="1"/>
  <c r="I108" i="126" a="1"/>
  <c r="I108" i="126" s="1"/>
  <c r="H108" i="126" a="1"/>
  <c r="H108" i="126" s="1"/>
  <c r="G108" i="126" a="1"/>
  <c r="G108" i="126" s="1"/>
  <c r="F108" i="126" a="1"/>
  <c r="F108" i="126" s="1"/>
  <c r="P108" i="126" s="1"/>
  <c r="E108" i="126" a="1"/>
  <c r="E108" i="126" s="1"/>
  <c r="O108" i="126" s="1"/>
  <c r="D108" i="126" a="1"/>
  <c r="D108" i="126" s="1"/>
  <c r="I107" i="126" a="1"/>
  <c r="I107" i="126" s="1"/>
  <c r="H107" i="126" a="1"/>
  <c r="H107" i="126" s="1"/>
  <c r="G107" i="126" a="1"/>
  <c r="G107" i="126" s="1"/>
  <c r="F107" i="126" a="1"/>
  <c r="F107" i="126" s="1"/>
  <c r="P107" i="126" s="1"/>
  <c r="E107" i="126" a="1"/>
  <c r="E107" i="126" s="1"/>
  <c r="O107" i="126" s="1"/>
  <c r="D107" i="126" a="1"/>
  <c r="D107" i="126" s="1"/>
  <c r="I106" i="126" a="1"/>
  <c r="I106" i="126" s="1"/>
  <c r="H106" i="126" a="1"/>
  <c r="H106" i="126" s="1"/>
  <c r="G106" i="126" a="1"/>
  <c r="G106" i="126" s="1"/>
  <c r="F106" i="126" a="1"/>
  <c r="F106" i="126" s="1"/>
  <c r="P106" i="126" s="1"/>
  <c r="E106" i="126" a="1"/>
  <c r="E106" i="126" s="1"/>
  <c r="O106" i="126" s="1"/>
  <c r="D106" i="126" a="1"/>
  <c r="D106" i="126" s="1"/>
  <c r="I105" i="126" a="1"/>
  <c r="I105" i="126" s="1"/>
  <c r="H105" i="126" a="1"/>
  <c r="H105" i="126" s="1"/>
  <c r="G105" i="126" a="1"/>
  <c r="G105" i="126" s="1"/>
  <c r="F105" i="126" a="1"/>
  <c r="F105" i="126" s="1"/>
  <c r="P105" i="126" s="1"/>
  <c r="E105" i="126" a="1"/>
  <c r="E105" i="126" s="1"/>
  <c r="O105" i="126" s="1"/>
  <c r="Q104" i="126" s="1"/>
  <c r="D105" i="126" a="1"/>
  <c r="D105" i="126" s="1"/>
  <c r="I104" i="126" a="1"/>
  <c r="I104" i="126" s="1"/>
  <c r="H104" i="126" a="1"/>
  <c r="H104" i="126" s="1"/>
  <c r="G104" i="126" a="1"/>
  <c r="G104" i="126" s="1"/>
  <c r="F104" i="126" a="1"/>
  <c r="F104" i="126" s="1"/>
  <c r="M104" i="126" s="1"/>
  <c r="E104" i="126" a="1"/>
  <c r="E104" i="126" s="1"/>
  <c r="L104" i="126" s="1"/>
  <c r="D104" i="126" a="1"/>
  <c r="D104" i="126" s="1"/>
  <c r="I103" i="126" a="1"/>
  <c r="I103" i="126" s="1"/>
  <c r="H103" i="126" a="1"/>
  <c r="H103" i="126" s="1"/>
  <c r="G103" i="126" a="1"/>
  <c r="G103" i="126" s="1"/>
  <c r="F103" i="126" a="1"/>
  <c r="F103" i="126" s="1"/>
  <c r="M103" i="126" s="1"/>
  <c r="E103" i="126" a="1"/>
  <c r="E103" i="126" s="1"/>
  <c r="L103" i="126" s="1"/>
  <c r="D103" i="126" a="1"/>
  <c r="D103" i="126" s="1"/>
  <c r="I102" i="126" a="1"/>
  <c r="I102" i="126" s="1"/>
  <c r="H102" i="126" a="1"/>
  <c r="H102" i="126" s="1"/>
  <c r="G102" i="126" a="1"/>
  <c r="G102" i="126" s="1"/>
  <c r="F102" i="126" a="1"/>
  <c r="F102" i="126" s="1"/>
  <c r="M102" i="126" s="1"/>
  <c r="E102" i="126" a="1"/>
  <c r="E102" i="126" s="1"/>
  <c r="L102" i="126" s="1"/>
  <c r="D102" i="126" a="1"/>
  <c r="D102" i="126" s="1"/>
  <c r="I101" i="126" a="1"/>
  <c r="I101" i="126" s="1"/>
  <c r="H101" i="126" a="1"/>
  <c r="H101" i="126" s="1"/>
  <c r="G101" i="126" a="1"/>
  <c r="G101" i="126" s="1"/>
  <c r="F101" i="126" a="1"/>
  <c r="F101" i="126" s="1"/>
  <c r="M101" i="126" s="1"/>
  <c r="E101" i="126" a="1"/>
  <c r="E101" i="126" s="1"/>
  <c r="L101" i="126" s="1"/>
  <c r="D101" i="126" a="1"/>
  <c r="D101" i="126" s="1"/>
  <c r="I100" i="126" a="1"/>
  <c r="I100" i="126" s="1"/>
  <c r="H100" i="126" a="1"/>
  <c r="H100" i="126" s="1"/>
  <c r="G100" i="126" a="1"/>
  <c r="G100" i="126" s="1"/>
  <c r="F100" i="126" a="1"/>
  <c r="F100" i="126" s="1"/>
  <c r="M100" i="126" s="1"/>
  <c r="E100" i="126" a="1"/>
  <c r="E100" i="126" s="1"/>
  <c r="L100" i="126" s="1"/>
  <c r="D100" i="126" a="1"/>
  <c r="D100" i="126" s="1"/>
  <c r="I99" i="126" a="1"/>
  <c r="I99" i="126" s="1"/>
  <c r="H99" i="126" a="1"/>
  <c r="H99" i="126" s="1"/>
  <c r="G99" i="126" a="1"/>
  <c r="G99" i="126" s="1"/>
  <c r="F99" i="126" a="1"/>
  <c r="F99" i="126" s="1"/>
  <c r="M99" i="126" s="1"/>
  <c r="E99" i="126" a="1"/>
  <c r="E99" i="126" s="1"/>
  <c r="L99" i="126" s="1"/>
  <c r="D99" i="126" a="1"/>
  <c r="D99" i="126" s="1"/>
  <c r="I98" i="126" a="1"/>
  <c r="I98" i="126" s="1"/>
  <c r="H98" i="126" a="1"/>
  <c r="H98" i="126" s="1"/>
  <c r="G98" i="126" a="1"/>
  <c r="G98" i="126" s="1"/>
  <c r="F98" i="126" a="1"/>
  <c r="F98" i="126" s="1"/>
  <c r="M98" i="126" s="1"/>
  <c r="E98" i="126" a="1"/>
  <c r="E98" i="126" s="1"/>
  <c r="L98" i="126" s="1"/>
  <c r="N97" i="126" s="1"/>
  <c r="D98" i="126" a="1"/>
  <c r="D98" i="126" s="1"/>
  <c r="I97" i="126" a="1"/>
  <c r="I97" i="126" s="1"/>
  <c r="H97" i="126" a="1"/>
  <c r="H97" i="126" s="1"/>
  <c r="G97" i="126" a="1"/>
  <c r="G97" i="126" s="1"/>
  <c r="F97" i="126" a="1"/>
  <c r="F97" i="126" s="1"/>
  <c r="P97" i="126" s="1"/>
  <c r="E97" i="126" a="1"/>
  <c r="E97" i="126" s="1"/>
  <c r="O97" i="126" s="1"/>
  <c r="D97" i="126" a="1"/>
  <c r="D97" i="126" s="1"/>
  <c r="I96" i="126" a="1"/>
  <c r="I96" i="126" s="1"/>
  <c r="H96" i="126" a="1"/>
  <c r="H96" i="126" s="1"/>
  <c r="G96" i="126" a="1"/>
  <c r="G96" i="126" s="1"/>
  <c r="F96" i="126" a="1"/>
  <c r="F96" i="126" s="1"/>
  <c r="P96" i="126" s="1"/>
  <c r="E96" i="126" a="1"/>
  <c r="E96" i="126" s="1"/>
  <c r="O96" i="126" s="1"/>
  <c r="D96" i="126" a="1"/>
  <c r="D96" i="126" s="1"/>
  <c r="I95" i="126" a="1"/>
  <c r="I95" i="126" s="1"/>
  <c r="H95" i="126" a="1"/>
  <c r="H95" i="126" s="1"/>
  <c r="G95" i="126" a="1"/>
  <c r="G95" i="126" s="1"/>
  <c r="F95" i="126" a="1"/>
  <c r="F95" i="126" s="1"/>
  <c r="P95" i="126" s="1"/>
  <c r="E95" i="126" a="1"/>
  <c r="E95" i="126" s="1"/>
  <c r="O95" i="126" s="1"/>
  <c r="D95" i="126" a="1"/>
  <c r="D95" i="126" s="1"/>
  <c r="I94" i="126" a="1"/>
  <c r="I94" i="126" s="1"/>
  <c r="H94" i="126" a="1"/>
  <c r="H94" i="126" s="1"/>
  <c r="G94" i="126" a="1"/>
  <c r="G94" i="126" s="1"/>
  <c r="F94" i="126" a="1"/>
  <c r="F94" i="126" s="1"/>
  <c r="P94" i="126" s="1"/>
  <c r="E94" i="126" a="1"/>
  <c r="E94" i="126" s="1"/>
  <c r="O94" i="126" s="1"/>
  <c r="D94" i="126" a="1"/>
  <c r="D94" i="126" s="1"/>
  <c r="I93" i="126" a="1"/>
  <c r="I93" i="126" s="1"/>
  <c r="H93" i="126" a="1"/>
  <c r="H93" i="126" s="1"/>
  <c r="G93" i="126" a="1"/>
  <c r="G93" i="126" s="1"/>
  <c r="F93" i="126" a="1"/>
  <c r="F93" i="126" s="1"/>
  <c r="P93" i="126" s="1"/>
  <c r="E93" i="126" a="1"/>
  <c r="E93" i="126" s="1"/>
  <c r="O93" i="126" s="1"/>
  <c r="D93" i="126" a="1"/>
  <c r="D93" i="126" s="1"/>
  <c r="I92" i="126" a="1"/>
  <c r="I92" i="126" s="1"/>
  <c r="H92" i="126" a="1"/>
  <c r="H92" i="126" s="1"/>
  <c r="G92" i="126" a="1"/>
  <c r="G92" i="126" s="1"/>
  <c r="F92" i="126" a="1"/>
  <c r="F92" i="126" s="1"/>
  <c r="P92" i="126" s="1"/>
  <c r="E92" i="126" a="1"/>
  <c r="E92" i="126" s="1"/>
  <c r="O92" i="126" s="1"/>
  <c r="D92" i="126" a="1"/>
  <c r="D92" i="126" s="1"/>
  <c r="I91" i="126" a="1"/>
  <c r="I91" i="126" s="1"/>
  <c r="H91" i="126" a="1"/>
  <c r="H91" i="126" s="1"/>
  <c r="G91" i="126" a="1"/>
  <c r="G91" i="126" s="1"/>
  <c r="F91" i="126" a="1"/>
  <c r="F91" i="126" s="1"/>
  <c r="P91" i="126" s="1"/>
  <c r="E91" i="126" a="1"/>
  <c r="E91" i="126" s="1"/>
  <c r="O91" i="126" s="1"/>
  <c r="D91" i="126" a="1"/>
  <c r="D91" i="126" s="1"/>
  <c r="I90" i="126" a="1"/>
  <c r="I90" i="126" s="1"/>
  <c r="H90" i="126" a="1"/>
  <c r="H90" i="126" s="1"/>
  <c r="G90" i="126" a="1"/>
  <c r="G90" i="126" s="1"/>
  <c r="F90" i="126" a="1"/>
  <c r="F90" i="126" s="1"/>
  <c r="P90" i="126" s="1"/>
  <c r="E90" i="126" a="1"/>
  <c r="E90" i="126" s="1"/>
  <c r="D90" i="126" a="1"/>
  <c r="D90" i="126" s="1"/>
  <c r="I86" i="126" a="1"/>
  <c r="I86" i="126" s="1"/>
  <c r="H86" i="126" a="1"/>
  <c r="H86" i="126" s="1"/>
  <c r="G86" i="126" a="1"/>
  <c r="G86" i="126" s="1"/>
  <c r="F86" i="126" a="1"/>
  <c r="F86" i="126" s="1"/>
  <c r="E86" i="126" a="1"/>
  <c r="E86" i="126" s="1"/>
  <c r="D86" i="126" a="1"/>
  <c r="D86" i="126" s="1"/>
  <c r="I85" i="126" a="1"/>
  <c r="I85" i="126" s="1"/>
  <c r="H85" i="126" a="1"/>
  <c r="H85" i="126" s="1"/>
  <c r="G85" i="126" a="1"/>
  <c r="G85" i="126" s="1"/>
  <c r="F85" i="126" a="1"/>
  <c r="F85" i="126" s="1"/>
  <c r="E85" i="126" a="1"/>
  <c r="E85" i="126" s="1"/>
  <c r="D85" i="126" a="1"/>
  <c r="D85" i="126" s="1"/>
  <c r="I84" i="126" a="1"/>
  <c r="I84" i="126" s="1"/>
  <c r="H84" i="126" a="1"/>
  <c r="H84" i="126" s="1"/>
  <c r="G84" i="126" a="1"/>
  <c r="G84" i="126" s="1"/>
  <c r="F84" i="126" a="1"/>
  <c r="F84" i="126" s="1"/>
  <c r="E84" i="126" a="1"/>
  <c r="E84" i="126" s="1"/>
  <c r="D84" i="126" a="1"/>
  <c r="D84" i="126" s="1"/>
  <c r="I83" i="126" a="1"/>
  <c r="I83" i="126" s="1"/>
  <c r="H83" i="126" a="1"/>
  <c r="H83" i="126" s="1"/>
  <c r="G83" i="126" a="1"/>
  <c r="G83" i="126" s="1"/>
  <c r="F83" i="126" a="1"/>
  <c r="F83" i="126" s="1"/>
  <c r="E83" i="126" a="1"/>
  <c r="E83" i="126" s="1"/>
  <c r="G469" i="124" s="1" a="1"/>
  <c r="G469" i="124" s="1"/>
  <c r="D83" i="126" a="1"/>
  <c r="D83" i="126" s="1"/>
  <c r="I80" i="126" a="1"/>
  <c r="I80" i="126" s="1"/>
  <c r="H80" i="126" a="1"/>
  <c r="H80" i="126" s="1"/>
  <c r="G80" i="126" a="1"/>
  <c r="G80" i="126" s="1"/>
  <c r="F80" i="126" a="1"/>
  <c r="F80" i="126" s="1"/>
  <c r="E80" i="126" a="1"/>
  <c r="E80" i="126" s="1"/>
  <c r="D80" i="126" a="1"/>
  <c r="D80" i="126" s="1"/>
  <c r="I79" i="126" a="1"/>
  <c r="I79" i="126" s="1"/>
  <c r="H79" i="126" a="1"/>
  <c r="H79" i="126" s="1"/>
  <c r="G79" i="126" a="1"/>
  <c r="G79" i="126" s="1"/>
  <c r="F79" i="126" a="1"/>
  <c r="F79" i="126" s="1"/>
  <c r="E79" i="126" a="1"/>
  <c r="E79" i="126" s="1"/>
  <c r="D79" i="126" a="1"/>
  <c r="D79" i="126" s="1"/>
  <c r="I78" i="126" a="1"/>
  <c r="I78" i="126" s="1"/>
  <c r="H78" i="126" a="1"/>
  <c r="H78" i="126" s="1"/>
  <c r="G78" i="126" a="1"/>
  <c r="G78" i="126" s="1"/>
  <c r="F78" i="126" a="1"/>
  <c r="F78" i="126" s="1"/>
  <c r="E78" i="126" a="1"/>
  <c r="E78" i="126" s="1"/>
  <c r="G450" i="124" s="1" a="1"/>
  <c r="G450" i="124" s="1"/>
  <c r="D78" i="126" a="1"/>
  <c r="D78" i="126" s="1"/>
  <c r="I74" i="126" a="1"/>
  <c r="I74" i="126" s="1"/>
  <c r="H74" i="126" a="1"/>
  <c r="H74" i="126" s="1"/>
  <c r="G74" i="126" a="1"/>
  <c r="G74" i="126" s="1"/>
  <c r="F74" i="126" a="1"/>
  <c r="F74" i="126" s="1"/>
  <c r="E74" i="126" a="1"/>
  <c r="E74" i="126" s="1"/>
  <c r="D74" i="126" a="1"/>
  <c r="D74" i="126" s="1"/>
  <c r="I73" i="126" a="1"/>
  <c r="I73" i="126" s="1"/>
  <c r="H73" i="126" a="1"/>
  <c r="H73" i="126" s="1"/>
  <c r="G73" i="126" a="1"/>
  <c r="G73" i="126" s="1"/>
  <c r="F73" i="126" a="1"/>
  <c r="F73" i="126" s="1"/>
  <c r="E73" i="126" a="1"/>
  <c r="E73" i="126" s="1"/>
  <c r="D73" i="126" a="1"/>
  <c r="D73" i="126" s="1"/>
  <c r="I72" i="126" a="1"/>
  <c r="I72" i="126" s="1"/>
  <c r="H72" i="126" a="1"/>
  <c r="H72" i="126" s="1"/>
  <c r="G72" i="126" a="1"/>
  <c r="G72" i="126" s="1"/>
  <c r="F72" i="126" a="1"/>
  <c r="F72" i="126" s="1"/>
  <c r="E72" i="126" a="1"/>
  <c r="E72" i="126" s="1"/>
  <c r="D72" i="126" a="1"/>
  <c r="D72" i="126" s="1"/>
  <c r="I71" i="126" a="1"/>
  <c r="I71" i="126" s="1"/>
  <c r="H71" i="126" a="1"/>
  <c r="H71" i="126" s="1"/>
  <c r="G71" i="126" a="1"/>
  <c r="G71" i="126" s="1"/>
  <c r="F71" i="126" a="1"/>
  <c r="F71" i="126" s="1"/>
  <c r="E71" i="126" a="1"/>
  <c r="E71" i="126" s="1"/>
  <c r="D71" i="126" a="1"/>
  <c r="D71" i="126" s="1"/>
  <c r="I70" i="126" a="1"/>
  <c r="I70" i="126" s="1"/>
  <c r="H70" i="126" a="1"/>
  <c r="H70" i="126" s="1"/>
  <c r="G70" i="126" a="1"/>
  <c r="G70" i="126" s="1"/>
  <c r="F70" i="126" a="1"/>
  <c r="F70" i="126" s="1"/>
  <c r="E70" i="126" a="1"/>
  <c r="E70" i="126" s="1"/>
  <c r="D70" i="126" a="1"/>
  <c r="D70" i="126" s="1"/>
  <c r="I69" i="126" a="1"/>
  <c r="I69" i="126" s="1"/>
  <c r="H69" i="126" a="1"/>
  <c r="H69" i="126" s="1"/>
  <c r="G69" i="126" a="1"/>
  <c r="G69" i="126" s="1"/>
  <c r="F69" i="126" a="1"/>
  <c r="F69" i="126" s="1"/>
  <c r="E69" i="126" a="1"/>
  <c r="E69" i="126" s="1"/>
  <c r="D69" i="126" a="1"/>
  <c r="D69" i="126" s="1"/>
  <c r="I68" i="126" a="1"/>
  <c r="I68" i="126" s="1"/>
  <c r="H68" i="126" a="1"/>
  <c r="H68" i="126" s="1"/>
  <c r="G68" i="126" a="1"/>
  <c r="G68" i="126" s="1"/>
  <c r="F68" i="126" a="1"/>
  <c r="F68" i="126" s="1"/>
  <c r="E68" i="126" a="1"/>
  <c r="E68" i="126" s="1"/>
  <c r="D68" i="126" a="1"/>
  <c r="D68" i="126" s="1"/>
  <c r="I67" i="126" a="1"/>
  <c r="I67" i="126" s="1"/>
  <c r="H67" i="126" a="1"/>
  <c r="H67" i="126" s="1"/>
  <c r="G67" i="126" a="1"/>
  <c r="G67" i="126" s="1"/>
  <c r="F67" i="126" a="1"/>
  <c r="F67" i="126" s="1"/>
  <c r="E67" i="126" a="1"/>
  <c r="E67" i="126" s="1"/>
  <c r="D67" i="126" a="1"/>
  <c r="D67" i="126" s="1"/>
  <c r="I66" i="126" a="1"/>
  <c r="I66" i="126" s="1"/>
  <c r="H66" i="126" a="1"/>
  <c r="H66" i="126" s="1"/>
  <c r="G66" i="126" a="1"/>
  <c r="G66" i="126" s="1"/>
  <c r="F66" i="126" a="1"/>
  <c r="F66" i="126" s="1"/>
  <c r="E66" i="126" a="1"/>
  <c r="E66" i="126" s="1"/>
  <c r="D66" i="126" a="1"/>
  <c r="D66" i="126" s="1"/>
  <c r="I65" i="126" a="1"/>
  <c r="I65" i="126" s="1"/>
  <c r="H65" i="126" a="1"/>
  <c r="H65" i="126" s="1"/>
  <c r="G65" i="126" a="1"/>
  <c r="G65" i="126" s="1"/>
  <c r="F65" i="126" a="1"/>
  <c r="F65" i="126" s="1"/>
  <c r="E65" i="126" a="1"/>
  <c r="E65" i="126" s="1"/>
  <c r="D65" i="126" a="1"/>
  <c r="D65" i="126" s="1"/>
  <c r="I64" i="126" a="1"/>
  <c r="I64" i="126" s="1"/>
  <c r="H64" i="126" a="1"/>
  <c r="H64" i="126" s="1"/>
  <c r="G64" i="126" a="1"/>
  <c r="G64" i="126" s="1"/>
  <c r="F64" i="126" a="1"/>
  <c r="F64" i="126" s="1"/>
  <c r="E64" i="126" a="1"/>
  <c r="E64" i="126" s="1"/>
  <c r="D64" i="126" a="1"/>
  <c r="D64" i="126" s="1"/>
  <c r="I63" i="126" a="1"/>
  <c r="I63" i="126" s="1"/>
  <c r="H63" i="126" a="1"/>
  <c r="H63" i="126" s="1"/>
  <c r="G63" i="126" a="1"/>
  <c r="G63" i="126" s="1"/>
  <c r="F63" i="126" a="1"/>
  <c r="F63" i="126" s="1"/>
  <c r="E63" i="126" a="1"/>
  <c r="E63" i="126" s="1"/>
  <c r="D63" i="126" a="1"/>
  <c r="D63" i="126" s="1"/>
  <c r="I62" i="126" a="1"/>
  <c r="I62" i="126" s="1"/>
  <c r="H62" i="126" a="1"/>
  <c r="H62" i="126" s="1"/>
  <c r="G62" i="126" a="1"/>
  <c r="G62" i="126" s="1"/>
  <c r="F62" i="126" a="1"/>
  <c r="F62" i="126" s="1"/>
  <c r="E62" i="126" a="1"/>
  <c r="E62" i="126" s="1"/>
  <c r="D62" i="126" a="1"/>
  <c r="D62" i="126" s="1"/>
  <c r="I61" i="126" a="1"/>
  <c r="I61" i="126" s="1"/>
  <c r="H61" i="126" a="1"/>
  <c r="H61" i="126" s="1"/>
  <c r="G61" i="126" a="1"/>
  <c r="G61" i="126" s="1"/>
  <c r="F61" i="126" a="1"/>
  <c r="F61" i="126" s="1"/>
  <c r="E61" i="126" a="1"/>
  <c r="E61" i="126" s="1"/>
  <c r="D61" i="126" a="1"/>
  <c r="D61" i="126" s="1"/>
  <c r="I60" i="126" a="1"/>
  <c r="I60" i="126" s="1"/>
  <c r="H60" i="126" a="1"/>
  <c r="H60" i="126" s="1"/>
  <c r="G60" i="126" a="1"/>
  <c r="G60" i="126" s="1"/>
  <c r="F60" i="126" a="1"/>
  <c r="F60" i="126" s="1"/>
  <c r="E60" i="126" a="1"/>
  <c r="E60" i="126" s="1"/>
  <c r="D60" i="126" a="1"/>
  <c r="D60" i="126" s="1"/>
  <c r="I59" i="126" a="1"/>
  <c r="I59" i="126" s="1"/>
  <c r="H59" i="126" a="1"/>
  <c r="H59" i="126" s="1"/>
  <c r="G59" i="126" a="1"/>
  <c r="G59" i="126" s="1"/>
  <c r="F59" i="126" a="1"/>
  <c r="F59" i="126" s="1"/>
  <c r="E59" i="126" a="1"/>
  <c r="E59" i="126" s="1"/>
  <c r="D59" i="126" a="1"/>
  <c r="D59" i="126" s="1"/>
  <c r="I58" i="126" a="1"/>
  <c r="I58" i="126" s="1"/>
  <c r="H58" i="126" a="1"/>
  <c r="H58" i="126" s="1"/>
  <c r="G58" i="126" a="1"/>
  <c r="G58" i="126" s="1"/>
  <c r="F58" i="126" a="1"/>
  <c r="F58" i="126" s="1"/>
  <c r="E58" i="126" a="1"/>
  <c r="E58" i="126" s="1"/>
  <c r="D58" i="126" a="1"/>
  <c r="D58" i="126" s="1"/>
  <c r="I57" i="126" a="1"/>
  <c r="I57" i="126" s="1"/>
  <c r="H57" i="126" a="1"/>
  <c r="H57" i="126" s="1"/>
  <c r="G57" i="126" a="1"/>
  <c r="G57" i="126" s="1"/>
  <c r="F57" i="126" a="1"/>
  <c r="F57" i="126" s="1"/>
  <c r="E57" i="126" a="1"/>
  <c r="E57" i="126" s="1"/>
  <c r="D57" i="126" a="1"/>
  <c r="D57" i="126" s="1"/>
  <c r="I56" i="126" a="1"/>
  <c r="I56" i="126" s="1"/>
  <c r="H56" i="126" a="1"/>
  <c r="H56" i="126" s="1"/>
  <c r="G56" i="126" a="1"/>
  <c r="G56" i="126" s="1"/>
  <c r="F56" i="126" a="1"/>
  <c r="F56" i="126" s="1"/>
  <c r="E56" i="126" a="1"/>
  <c r="E56" i="126" s="1"/>
  <c r="D56" i="126" a="1"/>
  <c r="D56" i="126" s="1"/>
  <c r="I55" i="126" a="1"/>
  <c r="I55" i="126" s="1"/>
  <c r="H55" i="126" a="1"/>
  <c r="H55" i="126" s="1"/>
  <c r="G55" i="126" a="1"/>
  <c r="G55" i="126" s="1"/>
  <c r="F55" i="126" a="1"/>
  <c r="F55" i="126" s="1"/>
  <c r="E55" i="126" a="1"/>
  <c r="E55" i="126" s="1"/>
  <c r="D55" i="126" a="1"/>
  <c r="D55" i="126" s="1"/>
  <c r="I54" i="126" a="1"/>
  <c r="I54" i="126" s="1"/>
  <c r="H54" i="126" a="1"/>
  <c r="H54" i="126" s="1"/>
  <c r="G54" i="126" a="1"/>
  <c r="G54" i="126" s="1"/>
  <c r="F54" i="126" a="1"/>
  <c r="F54" i="126" s="1"/>
  <c r="E54" i="126" a="1"/>
  <c r="E54" i="126" s="1"/>
  <c r="D54" i="126" a="1"/>
  <c r="D54" i="126" s="1"/>
  <c r="I53" i="126" a="1"/>
  <c r="I53" i="126" s="1"/>
  <c r="H53" i="126" a="1"/>
  <c r="H53" i="126" s="1"/>
  <c r="G53" i="126" a="1"/>
  <c r="G53" i="126" s="1"/>
  <c r="F53" i="126" a="1"/>
  <c r="F53" i="126" s="1"/>
  <c r="E53" i="126" a="1"/>
  <c r="E53" i="126" s="1"/>
  <c r="D53" i="126" a="1"/>
  <c r="D53" i="126" s="1"/>
  <c r="I52" i="126" a="1"/>
  <c r="I52" i="126" s="1"/>
  <c r="H52" i="126" a="1"/>
  <c r="H52" i="126" s="1"/>
  <c r="G52" i="126" a="1"/>
  <c r="G52" i="126" s="1"/>
  <c r="F52" i="126" a="1"/>
  <c r="F52" i="126" s="1"/>
  <c r="E52" i="126" a="1"/>
  <c r="E52" i="126" s="1"/>
  <c r="D52" i="126" a="1"/>
  <c r="D52" i="126" s="1"/>
  <c r="I51" i="126" a="1"/>
  <c r="I51" i="126" s="1"/>
  <c r="H51" i="126" a="1"/>
  <c r="H51" i="126" s="1"/>
  <c r="G51" i="126" a="1"/>
  <c r="G51" i="126" s="1"/>
  <c r="F51" i="126" a="1"/>
  <c r="F51" i="126" s="1"/>
  <c r="E51" i="126" a="1"/>
  <c r="E51" i="126" s="1"/>
  <c r="D51" i="126" a="1"/>
  <c r="D51" i="126" s="1"/>
  <c r="I50" i="126" a="1"/>
  <c r="I50" i="126" s="1"/>
  <c r="H50" i="126" a="1"/>
  <c r="H50" i="126" s="1"/>
  <c r="G50" i="126" a="1"/>
  <c r="G50" i="126" s="1"/>
  <c r="F50" i="126" a="1"/>
  <c r="F50" i="126" s="1"/>
  <c r="E50" i="126" a="1"/>
  <c r="E50" i="126" s="1"/>
  <c r="D50" i="126" a="1"/>
  <c r="D50" i="126" s="1"/>
  <c r="I49" i="126" a="1"/>
  <c r="I49" i="126" s="1"/>
  <c r="H49" i="126" a="1"/>
  <c r="H49" i="126" s="1"/>
  <c r="G49" i="126" a="1"/>
  <c r="G49" i="126" s="1"/>
  <c r="F49" i="126" a="1"/>
  <c r="F49" i="126" s="1"/>
  <c r="E49" i="126" a="1"/>
  <c r="E49" i="126" s="1"/>
  <c r="D49" i="126" a="1"/>
  <c r="D49" i="126" s="1"/>
  <c r="I48" i="126" a="1"/>
  <c r="I48" i="126" s="1"/>
  <c r="H48" i="126" a="1"/>
  <c r="H48" i="126" s="1"/>
  <c r="G48" i="126" a="1"/>
  <c r="G48" i="126" s="1"/>
  <c r="F48" i="126" a="1"/>
  <c r="F48" i="126" s="1"/>
  <c r="E48" i="126" a="1"/>
  <c r="E48" i="126" s="1"/>
  <c r="D48" i="126" a="1"/>
  <c r="D48" i="126" s="1"/>
  <c r="I47" i="126" a="1"/>
  <c r="I47" i="126" s="1"/>
  <c r="H47" i="126" a="1"/>
  <c r="H47" i="126" s="1"/>
  <c r="G47" i="126" a="1"/>
  <c r="G47" i="126" s="1"/>
  <c r="F47" i="126" a="1"/>
  <c r="F47" i="126" s="1"/>
  <c r="E47" i="126" a="1"/>
  <c r="E47" i="126" s="1"/>
  <c r="D47" i="126" a="1"/>
  <c r="D47" i="126" s="1"/>
  <c r="I46" i="126" a="1"/>
  <c r="I46" i="126" s="1"/>
  <c r="H46" i="126" a="1"/>
  <c r="H46" i="126" s="1"/>
  <c r="G46" i="126" a="1"/>
  <c r="G46" i="126" s="1"/>
  <c r="F46" i="126" a="1"/>
  <c r="F46" i="126" s="1"/>
  <c r="E46" i="126" a="1"/>
  <c r="E46" i="126" s="1"/>
  <c r="D46" i="126" a="1"/>
  <c r="D46" i="126" s="1"/>
  <c r="I45" i="126" a="1"/>
  <c r="I45" i="126" s="1"/>
  <c r="H45" i="126" a="1"/>
  <c r="H45" i="126" s="1"/>
  <c r="G45" i="126" a="1"/>
  <c r="G45" i="126" s="1"/>
  <c r="F45" i="126" a="1"/>
  <c r="F45" i="126" s="1"/>
  <c r="E45" i="126" a="1"/>
  <c r="E45" i="126" s="1"/>
  <c r="D45" i="126" a="1"/>
  <c r="D45" i="126" s="1"/>
  <c r="I44" i="126" a="1"/>
  <c r="I44" i="126" s="1"/>
  <c r="H44" i="126" a="1"/>
  <c r="H44" i="126" s="1"/>
  <c r="G44" i="126" a="1"/>
  <c r="G44" i="126" s="1"/>
  <c r="F44" i="126" a="1"/>
  <c r="F44" i="126" s="1"/>
  <c r="E44" i="126" a="1"/>
  <c r="E44" i="126" s="1"/>
  <c r="D44" i="126" a="1"/>
  <c r="D44" i="126" s="1"/>
  <c r="I43" i="126" a="1"/>
  <c r="I43" i="126" s="1"/>
  <c r="H43" i="126" a="1"/>
  <c r="H43" i="126" s="1"/>
  <c r="G43" i="126" a="1"/>
  <c r="G43" i="126" s="1"/>
  <c r="F43" i="126" a="1"/>
  <c r="F43" i="126" s="1"/>
  <c r="E43" i="126" a="1"/>
  <c r="E43" i="126" s="1"/>
  <c r="D43" i="126" a="1"/>
  <c r="D43" i="126" s="1"/>
  <c r="I42" i="126" a="1"/>
  <c r="I42" i="126" s="1"/>
  <c r="H42" i="126" a="1"/>
  <c r="H42" i="126" s="1"/>
  <c r="G42" i="126" a="1"/>
  <c r="G42" i="126" s="1"/>
  <c r="F42" i="126" a="1"/>
  <c r="F42" i="126" s="1"/>
  <c r="E42" i="126" a="1"/>
  <c r="E42" i="126" s="1"/>
  <c r="D42" i="126" a="1"/>
  <c r="D42" i="126" s="1"/>
  <c r="I41" i="126" a="1"/>
  <c r="I41" i="126" s="1"/>
  <c r="H41" i="126" a="1"/>
  <c r="H41" i="126" s="1"/>
  <c r="G41" i="126" a="1"/>
  <c r="G41" i="126" s="1"/>
  <c r="F41" i="126" a="1"/>
  <c r="F41" i="126" s="1"/>
  <c r="E41" i="126" a="1"/>
  <c r="E41" i="126" s="1"/>
  <c r="D41" i="126" a="1"/>
  <c r="D41" i="126" s="1"/>
  <c r="I40" i="126" a="1"/>
  <c r="I40" i="126" s="1"/>
  <c r="H40" i="126" a="1"/>
  <c r="H40" i="126" s="1"/>
  <c r="G40" i="126" a="1"/>
  <c r="G40" i="126" s="1"/>
  <c r="F40" i="126" a="1"/>
  <c r="F40" i="126" s="1"/>
  <c r="E40" i="126" a="1"/>
  <c r="E40" i="126" s="1"/>
  <c r="D40" i="126" a="1"/>
  <c r="D40" i="126" s="1"/>
  <c r="I39" i="126" a="1"/>
  <c r="I39" i="126" s="1"/>
  <c r="H39" i="126" a="1"/>
  <c r="H39" i="126" s="1"/>
  <c r="G39" i="126" a="1"/>
  <c r="G39" i="126" s="1"/>
  <c r="F39" i="126" a="1"/>
  <c r="F39" i="126" s="1"/>
  <c r="E39" i="126" a="1"/>
  <c r="E39" i="126" s="1"/>
  <c r="D39" i="126" a="1"/>
  <c r="D39" i="126" s="1"/>
  <c r="I38" i="126" a="1"/>
  <c r="I38" i="126" s="1"/>
  <c r="H38" i="126" a="1"/>
  <c r="H38" i="126" s="1"/>
  <c r="G38" i="126" a="1"/>
  <c r="G38" i="126" s="1"/>
  <c r="F38" i="126" a="1"/>
  <c r="F38" i="126" s="1"/>
  <c r="E38" i="126" a="1"/>
  <c r="E38" i="126" s="1"/>
  <c r="D38" i="126" a="1"/>
  <c r="D38" i="126" s="1"/>
  <c r="I37" i="126" a="1"/>
  <c r="I37" i="126" s="1"/>
  <c r="H37" i="126" a="1"/>
  <c r="H37" i="126" s="1"/>
  <c r="G37" i="126" a="1"/>
  <c r="G37" i="126" s="1"/>
  <c r="F37" i="126" a="1"/>
  <c r="F37" i="126" s="1"/>
  <c r="E37" i="126" a="1"/>
  <c r="E37" i="126" s="1"/>
  <c r="D37" i="126" a="1"/>
  <c r="D37" i="126" s="1"/>
  <c r="I36" i="126" a="1"/>
  <c r="I36" i="126" s="1"/>
  <c r="H36" i="126" a="1"/>
  <c r="H36" i="126" s="1"/>
  <c r="G36" i="126" a="1"/>
  <c r="G36" i="126" s="1"/>
  <c r="F36" i="126" a="1"/>
  <c r="F36" i="126" s="1"/>
  <c r="E36" i="126" a="1"/>
  <c r="E36" i="126" s="1"/>
  <c r="D36" i="126" a="1"/>
  <c r="D36" i="126" s="1"/>
  <c r="I35" i="126" a="1"/>
  <c r="I35" i="126" s="1"/>
  <c r="H35" i="126" a="1"/>
  <c r="H35" i="126" s="1"/>
  <c r="G35" i="126" a="1"/>
  <c r="G35" i="126" s="1"/>
  <c r="F35" i="126" a="1"/>
  <c r="F35" i="126" s="1"/>
  <c r="E35" i="126" a="1"/>
  <c r="E35" i="126" s="1"/>
  <c r="D35" i="126" a="1"/>
  <c r="D35" i="126" s="1"/>
  <c r="I34" i="126" a="1"/>
  <c r="I34" i="126" s="1"/>
  <c r="H34" i="126" a="1"/>
  <c r="H34" i="126" s="1"/>
  <c r="G34" i="126" a="1"/>
  <c r="G34" i="126" s="1"/>
  <c r="F34" i="126" a="1"/>
  <c r="F34" i="126" s="1"/>
  <c r="E34" i="126" a="1"/>
  <c r="E34" i="126" s="1"/>
  <c r="D34" i="126" a="1"/>
  <c r="D34" i="126" s="1"/>
  <c r="R85" i="125" a="1"/>
  <c r="R85" i="125" s="1"/>
  <c r="N85" i="125" a="1"/>
  <c r="N85" i="125" s="1"/>
  <c r="H85" i="125" a="1"/>
  <c r="H85" i="125" s="1"/>
  <c r="D85" i="125" a="1"/>
  <c r="D85" i="125" s="1"/>
  <c r="O83" i="125" a="1"/>
  <c r="O83" i="125" s="1"/>
  <c r="E83" i="125" a="1"/>
  <c r="E83" i="125" s="1"/>
  <c r="O82" i="125" a="1"/>
  <c r="O82" i="125" s="1"/>
  <c r="E82" i="125" a="1"/>
  <c r="E82" i="125" s="1"/>
  <c r="N78" i="125" a="1"/>
  <c r="N78" i="125" s="1"/>
  <c r="D78" i="125" a="1"/>
  <c r="D78" i="125" s="1"/>
  <c r="N77" i="125" a="1"/>
  <c r="N77" i="125" s="1"/>
  <c r="D77" i="125" a="1"/>
  <c r="D77" i="125" s="1"/>
  <c r="I72" i="125"/>
  <c r="I71" i="125"/>
  <c r="I70" i="125"/>
  <c r="S67" i="125"/>
  <c r="Q67" i="125" a="1"/>
  <c r="Q67" i="125" s="1"/>
  <c r="N67" i="125" a="1"/>
  <c r="N67" i="125" s="1"/>
  <c r="I67" i="125"/>
  <c r="G67" i="125" a="1"/>
  <c r="G67" i="125" s="1"/>
  <c r="D67" i="125" a="1"/>
  <c r="D67" i="125" s="1"/>
  <c r="O65" i="125" a="1"/>
  <c r="O65" i="125" s="1"/>
  <c r="E65" i="125" a="1"/>
  <c r="E65" i="125" s="1"/>
  <c r="P74" i="125" s="1"/>
  <c r="O64" i="125" a="1"/>
  <c r="O64" i="125" s="1"/>
  <c r="E64" i="125" a="1"/>
  <c r="E64" i="125" s="1"/>
  <c r="N60" i="125" a="1"/>
  <c r="N60" i="125" s="1"/>
  <c r="D60" i="125" a="1"/>
  <c r="D60" i="125" s="1"/>
  <c r="N59" i="125" a="1"/>
  <c r="N59" i="125" s="1"/>
  <c r="D59" i="125" a="1"/>
  <c r="D59" i="125" s="1"/>
  <c r="I52" i="125"/>
  <c r="I51" i="125"/>
  <c r="Q48" i="125" a="1"/>
  <c r="Q48" i="125" s="1"/>
  <c r="N48" i="125" a="1"/>
  <c r="N48" i="125" s="1"/>
  <c r="G48" i="125" a="1"/>
  <c r="G48" i="125" s="1"/>
  <c r="D48" i="125" a="1"/>
  <c r="D48" i="125" s="1"/>
  <c r="O46" i="125" a="1"/>
  <c r="O46" i="125" s="1"/>
  <c r="E46" i="125" a="1"/>
  <c r="E46" i="125" s="1"/>
  <c r="P55" i="125" s="1"/>
  <c r="O45" i="125" a="1"/>
  <c r="O45" i="125" s="1"/>
  <c r="E45" i="125" a="1"/>
  <c r="E45" i="125" s="1"/>
  <c r="N41" i="125" a="1"/>
  <c r="N41" i="125" s="1"/>
  <c r="D41" i="125" a="1"/>
  <c r="D41" i="125" s="1"/>
  <c r="N40" i="125" a="1"/>
  <c r="N40" i="125" s="1"/>
  <c r="D40" i="125" a="1"/>
  <c r="D40" i="125" s="1"/>
  <c r="S32" i="125"/>
  <c r="Q32" i="125" a="1"/>
  <c r="Q32" i="125" s="1"/>
  <c r="N32" i="125" a="1"/>
  <c r="N32" i="125" s="1"/>
  <c r="I32" i="125"/>
  <c r="G32" i="125" a="1"/>
  <c r="G32" i="125" s="1"/>
  <c r="D32" i="125" a="1"/>
  <c r="D32" i="125" s="1"/>
  <c r="O30" i="125" a="1"/>
  <c r="O30" i="125" s="1"/>
  <c r="P35" i="125" s="1"/>
  <c r="E30" i="125" a="1"/>
  <c r="E30" i="125" s="1"/>
  <c r="F35" i="125" s="1"/>
  <c r="O29" i="125" a="1"/>
  <c r="O29" i="125" s="1"/>
  <c r="E29" i="125" a="1"/>
  <c r="E29" i="125" s="1"/>
  <c r="N25" i="125" a="1"/>
  <c r="N25" i="125" s="1"/>
  <c r="D25" i="125" a="1"/>
  <c r="D25" i="125" s="1"/>
  <c r="N24" i="125" a="1"/>
  <c r="N24" i="125" s="1"/>
  <c r="D24" i="125" a="1"/>
  <c r="D24" i="125" s="1"/>
  <c r="J16" i="125"/>
  <c r="T13" i="125"/>
  <c r="R13" i="125" a="1"/>
  <c r="R13" i="125" s="1"/>
  <c r="N13" i="125" a="1"/>
  <c r="N13" i="125" s="1"/>
  <c r="J13" i="125"/>
  <c r="H13" i="125" a="1"/>
  <c r="H13" i="125" s="1"/>
  <c r="D13" i="125" a="1"/>
  <c r="D13" i="125" s="1"/>
  <c r="O11" i="125" a="1"/>
  <c r="O11" i="125" s="1"/>
  <c r="E11" i="125" a="1"/>
  <c r="E11" i="125" s="1"/>
  <c r="O10" i="125" a="1"/>
  <c r="O10" i="125" s="1"/>
  <c r="E10" i="125" a="1"/>
  <c r="E10" i="125" s="1"/>
  <c r="N6" i="125" a="1"/>
  <c r="N6" i="125" s="1"/>
  <c r="D6" i="125" a="1"/>
  <c r="D6" i="125" s="1"/>
  <c r="N5" i="125" a="1"/>
  <c r="N5" i="125" s="1"/>
  <c r="D5" i="125" a="1"/>
  <c r="D5" i="125" s="1"/>
  <c r="J650" i="124" a="1"/>
  <c r="J650" i="124" s="1"/>
  <c r="J633" i="124" a="1"/>
  <c r="J633" i="124" s="1"/>
  <c r="J632" i="124" a="1"/>
  <c r="J632" i="124" s="1"/>
  <c r="J631" i="124" a="1"/>
  <c r="J631" i="124" s="1"/>
  <c r="J626" i="124" a="1"/>
  <c r="J626" i="124" s="1"/>
  <c r="J625" i="124" a="1"/>
  <c r="J625" i="124" s="1"/>
  <c r="J630" i="124" a="1"/>
  <c r="J630" i="124" s="1"/>
  <c r="G616" i="124" a="1"/>
  <c r="G616" i="124" s="1"/>
  <c r="D616" i="124" a="1"/>
  <c r="D616" i="124" s="1"/>
  <c r="E614" i="124" a="1"/>
  <c r="E614" i="124" s="1"/>
  <c r="E613" i="124" a="1"/>
  <c r="E613" i="124" s="1"/>
  <c r="D608" i="124" a="1"/>
  <c r="D608" i="124" s="1"/>
  <c r="D607" i="124" a="1"/>
  <c r="D607" i="124" s="1"/>
  <c r="E601" i="124" a="1"/>
  <c r="E601" i="124" s="1"/>
  <c r="F603" i="124" s="1"/>
  <c r="E600" i="124" a="1"/>
  <c r="E600" i="124" s="1"/>
  <c r="D598" i="124" a="1"/>
  <c r="D598" i="124" s="1"/>
  <c r="D597" i="124" a="1"/>
  <c r="D597" i="124" s="1"/>
  <c r="N593" i="124" a="1"/>
  <c r="N593" i="124" s="1"/>
  <c r="F593" i="124" a="1"/>
  <c r="F593" i="124" s="1"/>
  <c r="L590" i="124" a="1"/>
  <c r="L590" i="124" s="1"/>
  <c r="D590" i="124" a="1"/>
  <c r="D590" i="124" s="1"/>
  <c r="P584" i="124" a="1"/>
  <c r="P584" i="124" s="1"/>
  <c r="L584" i="124" a="1"/>
  <c r="L584" i="124" s="1"/>
  <c r="H584" i="124" a="1"/>
  <c r="H584" i="124" s="1"/>
  <c r="D584" i="124" a="1"/>
  <c r="D584" i="124" s="1"/>
  <c r="E580" i="124" a="1"/>
  <c r="E580" i="124" s="1"/>
  <c r="E579" i="124" a="1"/>
  <c r="E579" i="124" s="1"/>
  <c r="D575" i="124" a="1"/>
  <c r="D575" i="124" s="1"/>
  <c r="D574" i="124" a="1"/>
  <c r="D574" i="124" s="1"/>
  <c r="I568" i="124"/>
  <c r="I564" i="124"/>
  <c r="I563" i="124"/>
  <c r="I562" i="124"/>
  <c r="G562" i="124" a="1"/>
  <c r="G562" i="124" s="1"/>
  <c r="D562" i="124" a="1"/>
  <c r="D562" i="124" s="1"/>
  <c r="E560" i="124" a="1"/>
  <c r="E560" i="124" s="1"/>
  <c r="E559" i="124" a="1"/>
  <c r="E559" i="124" s="1"/>
  <c r="D554" i="124" a="1"/>
  <c r="D554" i="124" s="1"/>
  <c r="D553" i="124" a="1"/>
  <c r="D553" i="124" s="1"/>
  <c r="D552" i="124" a="1"/>
  <c r="D552" i="124" s="1"/>
  <c r="I546" i="124"/>
  <c r="I544" i="124"/>
  <c r="G544" i="124" a="1"/>
  <c r="G544" i="124" s="1"/>
  <c r="D544" i="124" a="1"/>
  <c r="D544" i="124" s="1"/>
  <c r="E542" i="124" a="1"/>
  <c r="E542" i="124" s="1"/>
  <c r="E541" i="124" a="1"/>
  <c r="E541" i="124" s="1"/>
  <c r="D537" i="124" a="1"/>
  <c r="D537" i="124" s="1"/>
  <c r="D536" i="124" a="1"/>
  <c r="D536" i="124" s="1"/>
  <c r="G530" i="124" a="1"/>
  <c r="G530" i="124" s="1"/>
  <c r="D530" i="124" a="1"/>
  <c r="D530" i="124" s="1"/>
  <c r="E528" i="124" a="1"/>
  <c r="E528" i="124" s="1"/>
  <c r="E527" i="124" a="1"/>
  <c r="E527" i="124" s="1"/>
  <c r="D522" i="124" a="1"/>
  <c r="D522" i="124" s="1"/>
  <c r="D521" i="124" a="1"/>
  <c r="D521" i="124" s="1"/>
  <c r="K511" i="124" a="1"/>
  <c r="K511" i="124" s="1"/>
  <c r="K509" i="124" a="1"/>
  <c r="K509" i="124" s="1"/>
  <c r="K508" i="124" a="1"/>
  <c r="K508" i="124" s="1"/>
  <c r="E496" i="124"/>
  <c r="I496" i="124" s="1" a="1"/>
  <c r="I496" i="124" s="1"/>
  <c r="E495" i="124"/>
  <c r="E494" i="124"/>
  <c r="I494" i="124" s="1" a="1"/>
  <c r="I494" i="124" s="1"/>
  <c r="E485" i="124"/>
  <c r="I485" i="124" s="1" a="1"/>
  <c r="I485" i="124" s="1"/>
  <c r="E484" i="124"/>
  <c r="E483" i="124"/>
  <c r="I483" i="124" s="1" a="1"/>
  <c r="I483" i="124" s="1"/>
  <c r="E482" i="124"/>
  <c r="E481" i="124"/>
  <c r="I481" i="124" s="1" a="1"/>
  <c r="I481" i="124" s="1"/>
  <c r="J467" i="124" a="1"/>
  <c r="J467" i="124" s="1"/>
  <c r="J464" i="124" a="1"/>
  <c r="J464" i="124" s="1"/>
  <c r="J466" i="124" a="1"/>
  <c r="J466" i="124" s="1"/>
  <c r="J449" i="124" a="1"/>
  <c r="J449" i="124" s="1"/>
  <c r="J446" i="124" a="1"/>
  <c r="J446" i="124" s="1"/>
  <c r="J448" i="124" a="1"/>
  <c r="J448" i="124" s="1"/>
  <c r="G439" i="124" a="1"/>
  <c r="G439" i="124" s="1"/>
  <c r="D439" i="124" a="1"/>
  <c r="D439" i="124" s="1"/>
  <c r="E437" i="124" a="1"/>
  <c r="E437" i="124" s="1"/>
  <c r="E436" i="124" a="1"/>
  <c r="E436" i="124" s="1"/>
  <c r="D431" i="124" a="1"/>
  <c r="D431" i="124" s="1"/>
  <c r="D430" i="124" a="1"/>
  <c r="D430" i="124" s="1"/>
  <c r="K422" i="124"/>
  <c r="J422" i="124" a="1"/>
  <c r="J422" i="124" s="1"/>
  <c r="J421" i="124" a="1"/>
  <c r="J421" i="124" s="1"/>
  <c r="J414" i="124" a="1"/>
  <c r="J414" i="124" s="1"/>
  <c r="F407" i="124" a="1"/>
  <c r="F407" i="124" s="1"/>
  <c r="D407" i="124" a="1"/>
  <c r="D407" i="124" s="1"/>
  <c r="E405" i="124" a="1"/>
  <c r="E405" i="124" s="1"/>
  <c r="E404" i="124" a="1"/>
  <c r="E404" i="124" s="1"/>
  <c r="D399" i="124" a="1"/>
  <c r="D399" i="124" s="1"/>
  <c r="D398" i="124" a="1"/>
  <c r="D398" i="124" s="1"/>
  <c r="F377" i="124" a="1"/>
  <c r="F377" i="124" s="1"/>
  <c r="D377" i="124" a="1"/>
  <c r="D377" i="124" s="1"/>
  <c r="E375" i="124" a="1"/>
  <c r="E375" i="124" s="1"/>
  <c r="E374" i="124" a="1"/>
  <c r="E374" i="124" s="1"/>
  <c r="D369" i="124" a="1"/>
  <c r="D369" i="124" s="1"/>
  <c r="D368" i="124" a="1"/>
  <c r="D368" i="124" s="1"/>
  <c r="D367" i="124" a="1"/>
  <c r="D367" i="124" s="1"/>
  <c r="L360" i="124"/>
  <c r="K359" i="124" a="1"/>
  <c r="K359" i="124" s="1"/>
  <c r="L358" i="124"/>
  <c r="L357" i="124"/>
  <c r="L356" i="124"/>
  <c r="L355" i="124"/>
  <c r="L354" i="124"/>
  <c r="L353" i="124"/>
  <c r="L352" i="124"/>
  <c r="L359" i="124"/>
  <c r="G344" i="124" a="1"/>
  <c r="G344" i="124" s="1"/>
  <c r="D344" i="124" a="1"/>
  <c r="D344" i="124" s="1"/>
  <c r="E342" i="124" a="1"/>
  <c r="E342" i="124" s="1"/>
  <c r="E341" i="124" a="1"/>
  <c r="E341" i="124" s="1"/>
  <c r="D337" i="124" a="1"/>
  <c r="D337" i="124" s="1"/>
  <c r="D336" i="124" a="1"/>
  <c r="D336" i="124" s="1"/>
  <c r="F311" i="124" a="1"/>
  <c r="D311" i="124" a="1"/>
  <c r="D311" i="124" s="1"/>
  <c r="E309" i="124" a="1"/>
  <c r="E309" i="124" s="1"/>
  <c r="E308" i="124" a="1"/>
  <c r="E308" i="124" s="1"/>
  <c r="D304" i="124" a="1"/>
  <c r="D304" i="124" s="1"/>
  <c r="D303" i="124" a="1"/>
  <c r="D303" i="124" s="1"/>
  <c r="G280" i="124" a="1"/>
  <c r="G280" i="124" s="1"/>
  <c r="D280" i="124" a="1"/>
  <c r="D280" i="124" s="1"/>
  <c r="E278" i="124" a="1"/>
  <c r="E278" i="124" s="1"/>
  <c r="E277" i="124" a="1"/>
  <c r="E277" i="124" s="1"/>
  <c r="D272" i="124" a="1"/>
  <c r="D272" i="124" s="1"/>
  <c r="D271" i="124" a="1"/>
  <c r="D271" i="124" s="1"/>
  <c r="G224" i="124" a="1"/>
  <c r="G224" i="124" s="1"/>
  <c r="D224" i="124" a="1"/>
  <c r="D224" i="124" s="1"/>
  <c r="E222" i="124" a="1"/>
  <c r="E222" i="124" s="1"/>
  <c r="E221" i="124"/>
  <c r="E221" i="124" a="1"/>
  <c r="D217" i="124" a="1"/>
  <c r="D217" i="124" s="1"/>
  <c r="D216" i="124" a="1"/>
  <c r="D216" i="124" s="1"/>
  <c r="D215" i="124" a="1"/>
  <c r="D215" i="124" s="1"/>
  <c r="G209" i="124" a="1"/>
  <c r="G209" i="124" s="1"/>
  <c r="D209" i="124" a="1"/>
  <c r="D209" i="124" s="1"/>
  <c r="E207" i="124" a="1"/>
  <c r="E207" i="124" s="1"/>
  <c r="E206" i="124" a="1"/>
  <c r="E206" i="124" s="1"/>
  <c r="D202" i="124" a="1"/>
  <c r="D202" i="124" s="1"/>
  <c r="D201" i="124" a="1"/>
  <c r="D201" i="124" s="1"/>
  <c r="G195" i="124" a="1"/>
  <c r="G195" i="124" s="1"/>
  <c r="D195" i="124" a="1"/>
  <c r="D195" i="124" s="1"/>
  <c r="E193" i="124" a="1"/>
  <c r="E193" i="124" s="1"/>
  <c r="E192" i="124" a="1"/>
  <c r="E192" i="124" s="1"/>
  <c r="D188" i="124" a="1"/>
  <c r="D188" i="124" s="1"/>
  <c r="D187" i="124" a="1"/>
  <c r="D187" i="124" s="1"/>
  <c r="D186" i="124" a="1"/>
  <c r="D186" i="124" s="1"/>
  <c r="E179" i="124"/>
  <c r="I179" i="124" s="1" a="1"/>
  <c r="I179" i="124" s="1"/>
  <c r="E178" i="124"/>
  <c r="I178" i="124" s="1" a="1"/>
  <c r="I178" i="124" s="1"/>
  <c r="E177" i="124"/>
  <c r="I177" i="124" s="1" a="1"/>
  <c r="I177" i="124" s="1"/>
  <c r="G172" i="124" a="1"/>
  <c r="G172" i="124" s="1"/>
  <c r="D172" i="124" a="1"/>
  <c r="D172" i="124" s="1"/>
  <c r="E170" i="124" a="1"/>
  <c r="E170" i="124" s="1"/>
  <c r="F181" i="124" s="1"/>
  <c r="E169" i="124" a="1"/>
  <c r="E169" i="124" s="1"/>
  <c r="F168" i="124" a="1"/>
  <c r="F168" i="124" s="1"/>
  <c r="D165" i="124" a="1"/>
  <c r="D165" i="124" s="1"/>
  <c r="D164" i="124" a="1"/>
  <c r="D164" i="124" s="1"/>
  <c r="E153" i="124"/>
  <c r="E152" i="124"/>
  <c r="E151" i="124"/>
  <c r="E150" i="124"/>
  <c r="E149" i="124"/>
  <c r="E148" i="124"/>
  <c r="I148" i="124" s="1" a="1"/>
  <c r="I148" i="124" s="1"/>
  <c r="E140" i="124"/>
  <c r="E139" i="124"/>
  <c r="E138" i="124"/>
  <c r="I138" i="124" s="1" a="1"/>
  <c r="I138" i="124" s="1"/>
  <c r="E137" i="124"/>
  <c r="I137" i="124" s="1" a="1"/>
  <c r="I137" i="124" s="1"/>
  <c r="I122" i="124" a="1"/>
  <c r="I122" i="124" s="1"/>
  <c r="I121" i="124" a="1"/>
  <c r="I121" i="124" s="1"/>
  <c r="G107" i="124" a="1"/>
  <c r="G107" i="124" s="1"/>
  <c r="D107" i="124" a="1"/>
  <c r="D107" i="124" s="1"/>
  <c r="E105" i="124" a="1"/>
  <c r="E105" i="124" s="1"/>
  <c r="E104" i="124" a="1"/>
  <c r="E104" i="124" s="1"/>
  <c r="D100" i="124" a="1"/>
  <c r="D100" i="124" s="1"/>
  <c r="D99" i="124" a="1"/>
  <c r="D99" i="124" s="1"/>
  <c r="D98" i="124" a="1"/>
  <c r="D98" i="124" s="1"/>
  <c r="J62" i="124" a="1"/>
  <c r="J62" i="124" s="1"/>
  <c r="M24" i="124" a="1"/>
  <c r="M24" i="124" s="1"/>
  <c r="G13" i="124" a="1"/>
  <c r="G13" i="124" s="1"/>
  <c r="D13" i="124" a="1"/>
  <c r="D13" i="124" s="1"/>
  <c r="E11" i="124" a="1"/>
  <c r="E11" i="124" s="1"/>
  <c r="F35" i="124" s="1"/>
  <c r="E10" i="124" a="1"/>
  <c r="E10" i="124" s="1"/>
  <c r="D6" i="124" a="1"/>
  <c r="D6" i="124" s="1"/>
  <c r="D5" i="124" a="1"/>
  <c r="D5" i="124" s="1"/>
  <c r="H19" i="120"/>
  <c r="O19" i="120" s="1"/>
  <c r="R18" i="120"/>
  <c r="H18" i="120"/>
  <c r="O18" i="120" s="1"/>
  <c r="H17" i="120"/>
  <c r="R17" i="120" s="1"/>
  <c r="H16" i="120"/>
  <c r="R16" i="120" s="1"/>
  <c r="H15" i="120"/>
  <c r="R15" i="120" s="1"/>
  <c r="H14" i="120"/>
  <c r="R14" i="120" s="1"/>
  <c r="H13" i="120"/>
  <c r="O13" i="120" s="1"/>
  <c r="L12" i="120"/>
  <c r="H12" i="120"/>
  <c r="O12" i="120" s="1"/>
  <c r="R11" i="120"/>
  <c r="O11" i="120"/>
  <c r="H11" i="120"/>
  <c r="L11" i="120" s="1"/>
  <c r="H10" i="120"/>
  <c r="R10" i="120" s="1"/>
  <c r="Q8" i="120"/>
  <c r="Q8" i="120" a="1"/>
  <c r="N8" i="120" a="1"/>
  <c r="N8" i="120" s="1"/>
  <c r="K8" i="120" a="1"/>
  <c r="K8" i="120" s="1"/>
  <c r="F235" i="117" a="1"/>
  <c r="F235" i="117" s="1"/>
  <c r="E235" i="117" a="1"/>
  <c r="E235" i="117" s="1"/>
  <c r="D235" i="117" a="1"/>
  <c r="D235" i="117" s="1"/>
  <c r="F234" i="117" a="1"/>
  <c r="F234" i="117" s="1"/>
  <c r="E234" i="117" a="1"/>
  <c r="E234" i="117" s="1"/>
  <c r="D234" i="117" a="1"/>
  <c r="D234" i="117" s="1"/>
  <c r="F233" i="117" a="1"/>
  <c r="F233" i="117" s="1"/>
  <c r="E233" i="117" a="1"/>
  <c r="E233" i="117" s="1"/>
  <c r="D233" i="117" a="1"/>
  <c r="D233" i="117" s="1"/>
  <c r="F232" i="117" a="1"/>
  <c r="F232" i="117" s="1"/>
  <c r="E232" i="117" a="1"/>
  <c r="E232" i="117" s="1"/>
  <c r="D232" i="117" a="1"/>
  <c r="D232" i="117" s="1"/>
  <c r="F231" i="117" a="1"/>
  <c r="F231" i="117" s="1"/>
  <c r="E231" i="117" a="1"/>
  <c r="E231" i="117" s="1"/>
  <c r="D231" i="117" a="1"/>
  <c r="D231" i="117" s="1"/>
  <c r="F230" i="117" a="1"/>
  <c r="F230" i="117" s="1"/>
  <c r="E230" i="117" a="1"/>
  <c r="E230" i="117" s="1"/>
  <c r="D230" i="117" a="1"/>
  <c r="D230" i="117" s="1"/>
  <c r="F229" i="117" a="1"/>
  <c r="F229" i="117" s="1"/>
  <c r="E229" i="117" a="1"/>
  <c r="E229" i="117" s="1"/>
  <c r="D229" i="117" a="1"/>
  <c r="D229" i="117" s="1"/>
  <c r="F228" i="117" a="1"/>
  <c r="F228" i="117" s="1"/>
  <c r="E228" i="117" a="1"/>
  <c r="E228" i="117" s="1"/>
  <c r="D228" i="117" a="1"/>
  <c r="D228" i="117" s="1"/>
  <c r="F227" i="117" a="1"/>
  <c r="F227" i="117" s="1"/>
  <c r="E227" i="117" a="1"/>
  <c r="E227" i="117" s="1"/>
  <c r="D227" i="117" a="1"/>
  <c r="D227" i="117" s="1"/>
  <c r="F226" i="117" a="1"/>
  <c r="F226" i="117" s="1"/>
  <c r="E226" i="117" a="1"/>
  <c r="E226" i="117" s="1"/>
  <c r="D226" i="117" a="1"/>
  <c r="D226" i="117" s="1"/>
  <c r="F225" i="117" a="1"/>
  <c r="F225" i="117" s="1"/>
  <c r="E225" i="117" a="1"/>
  <c r="E225" i="117" s="1"/>
  <c r="D225" i="117" a="1"/>
  <c r="D225" i="117" s="1"/>
  <c r="F224" i="117" a="1"/>
  <c r="F224" i="117" s="1"/>
  <c r="E224" i="117" a="1"/>
  <c r="E224" i="117" s="1"/>
  <c r="D224" i="117" a="1"/>
  <c r="D224" i="117" s="1"/>
  <c r="F223" i="117" a="1"/>
  <c r="F223" i="117" s="1"/>
  <c r="E223" i="117" a="1"/>
  <c r="E223" i="117" s="1"/>
  <c r="D223" i="117" a="1"/>
  <c r="D223" i="117" s="1"/>
  <c r="F222" i="117" a="1"/>
  <c r="F222" i="117" s="1"/>
  <c r="E222" i="117" a="1"/>
  <c r="E222" i="117" s="1"/>
  <c r="D222" i="117" a="1"/>
  <c r="D222" i="117" s="1"/>
  <c r="F221" i="117" a="1"/>
  <c r="F221" i="117" s="1"/>
  <c r="E221" i="117" a="1"/>
  <c r="E221" i="117" s="1"/>
  <c r="D221" i="117" a="1"/>
  <c r="D221" i="117" s="1"/>
  <c r="F220" i="117" a="1"/>
  <c r="F220" i="117" s="1"/>
  <c r="E220" i="117" a="1"/>
  <c r="E220" i="117" s="1"/>
  <c r="D220" i="117" a="1"/>
  <c r="D220" i="117" s="1"/>
  <c r="F219" i="117" a="1"/>
  <c r="F219" i="117" s="1"/>
  <c r="E219" i="117" a="1"/>
  <c r="E219" i="117" s="1"/>
  <c r="D219" i="117" a="1"/>
  <c r="D219" i="117" s="1"/>
  <c r="F218" i="117" a="1"/>
  <c r="F218" i="117" s="1"/>
  <c r="E218" i="117" a="1"/>
  <c r="E218" i="117" s="1"/>
  <c r="D218" i="117" a="1"/>
  <c r="D218" i="117" s="1"/>
  <c r="F217" i="117" a="1"/>
  <c r="F217" i="117" s="1"/>
  <c r="E217" i="117" a="1"/>
  <c r="E217" i="117" s="1"/>
  <c r="D217" i="117" a="1"/>
  <c r="D217" i="117" s="1"/>
  <c r="F216" i="117" a="1"/>
  <c r="F216" i="117" s="1"/>
  <c r="E216" i="117" a="1"/>
  <c r="E216" i="117" s="1"/>
  <c r="D216" i="117" a="1"/>
  <c r="D216" i="117" s="1"/>
  <c r="F215" i="117" a="1"/>
  <c r="F215" i="117" s="1"/>
  <c r="E215" i="117" a="1"/>
  <c r="E215" i="117" s="1"/>
  <c r="D215" i="117" a="1"/>
  <c r="D215" i="117" s="1"/>
  <c r="F214" i="117" a="1"/>
  <c r="F214" i="117" s="1"/>
  <c r="E214" i="117" a="1"/>
  <c r="E214" i="117" s="1"/>
  <c r="D214" i="117" a="1"/>
  <c r="D214" i="117" s="1"/>
  <c r="F213" i="117" a="1"/>
  <c r="F213" i="117" s="1"/>
  <c r="E213" i="117" a="1"/>
  <c r="E213" i="117" s="1"/>
  <c r="D213" i="117" a="1"/>
  <c r="D213" i="117" s="1"/>
  <c r="F212" i="117" a="1"/>
  <c r="F212" i="117" s="1"/>
  <c r="E212" i="117" a="1"/>
  <c r="E212" i="117" s="1"/>
  <c r="D212" i="117" a="1"/>
  <c r="D212" i="117" s="1"/>
  <c r="F211" i="117" a="1"/>
  <c r="F211" i="117" s="1"/>
  <c r="E211" i="117" a="1"/>
  <c r="E211" i="117" s="1"/>
  <c r="D211" i="117" a="1"/>
  <c r="D211" i="117" s="1"/>
  <c r="F210" i="117" a="1"/>
  <c r="F210" i="117" s="1"/>
  <c r="E210" i="117" a="1"/>
  <c r="E210" i="117" s="1"/>
  <c r="D210" i="117" a="1"/>
  <c r="D210" i="117" s="1"/>
  <c r="F209" i="117" a="1"/>
  <c r="F209" i="117" s="1"/>
  <c r="E209" i="117" a="1"/>
  <c r="E209" i="117" s="1"/>
  <c r="D209" i="117" a="1"/>
  <c r="D209" i="117" s="1"/>
  <c r="F208" i="117" a="1"/>
  <c r="F208" i="117" s="1"/>
  <c r="E208" i="117" a="1"/>
  <c r="E208" i="117" s="1"/>
  <c r="D208" i="117" a="1"/>
  <c r="D208" i="117" s="1"/>
  <c r="F207" i="117" a="1"/>
  <c r="F207" i="117" s="1"/>
  <c r="E207" i="117" a="1"/>
  <c r="E207" i="117" s="1"/>
  <c r="D207" i="117" a="1"/>
  <c r="D207" i="117" s="1"/>
  <c r="F206" i="117" a="1"/>
  <c r="F206" i="117" s="1"/>
  <c r="E206" i="117" a="1"/>
  <c r="E206" i="117" s="1"/>
  <c r="D206" i="117" a="1"/>
  <c r="D206" i="117" s="1"/>
  <c r="F205" i="117" a="1"/>
  <c r="F205" i="117" s="1"/>
  <c r="E205" i="117" a="1"/>
  <c r="E205" i="117" s="1"/>
  <c r="D205" i="117" a="1"/>
  <c r="D205" i="117" s="1"/>
  <c r="F204" i="117" a="1"/>
  <c r="F204" i="117" s="1"/>
  <c r="E204" i="117" a="1"/>
  <c r="E204" i="117" s="1"/>
  <c r="D204" i="117" a="1"/>
  <c r="D204" i="117" s="1"/>
  <c r="F203" i="117" a="1"/>
  <c r="F203" i="117" s="1"/>
  <c r="E203" i="117" a="1"/>
  <c r="E203" i="117" s="1"/>
  <c r="D203" i="117" a="1"/>
  <c r="D203" i="117" s="1"/>
  <c r="F202" i="117" a="1"/>
  <c r="F202" i="117" s="1"/>
  <c r="E202" i="117" a="1"/>
  <c r="E202" i="117" s="1"/>
  <c r="D202" i="117" a="1"/>
  <c r="D202" i="117" s="1"/>
  <c r="F201" i="117" a="1"/>
  <c r="F201" i="117" s="1"/>
  <c r="E201" i="117" a="1"/>
  <c r="E201" i="117" s="1"/>
  <c r="D201" i="117" a="1"/>
  <c r="D201" i="117" s="1"/>
  <c r="F200" i="117" a="1"/>
  <c r="F200" i="117" s="1"/>
  <c r="E200" i="117" a="1"/>
  <c r="E200" i="117" s="1"/>
  <c r="D200" i="117" a="1"/>
  <c r="D200" i="117" s="1"/>
  <c r="F199" i="117" a="1"/>
  <c r="F199" i="117" s="1"/>
  <c r="E199" i="117" a="1"/>
  <c r="E199" i="117" s="1"/>
  <c r="D199" i="117" a="1"/>
  <c r="D199" i="117" s="1"/>
  <c r="F198" i="117" a="1"/>
  <c r="F198" i="117" s="1"/>
  <c r="E198" i="117" a="1"/>
  <c r="E198" i="117" s="1"/>
  <c r="D198" i="117" a="1"/>
  <c r="D198" i="117" s="1"/>
  <c r="F197" i="117" a="1"/>
  <c r="F197" i="117" s="1"/>
  <c r="E197" i="117" a="1"/>
  <c r="E197" i="117" s="1"/>
  <c r="D197" i="117" a="1"/>
  <c r="D197" i="117" s="1"/>
  <c r="F196" i="117" a="1"/>
  <c r="F196" i="117" s="1"/>
  <c r="E196" i="117" a="1"/>
  <c r="E196" i="117" s="1"/>
  <c r="D196" i="117" a="1"/>
  <c r="D196" i="117" s="1"/>
  <c r="F195" i="117" a="1"/>
  <c r="F195" i="117" s="1"/>
  <c r="E195" i="117" a="1"/>
  <c r="E195" i="117" s="1"/>
  <c r="D195" i="117" a="1"/>
  <c r="D195" i="117" s="1"/>
  <c r="F194" i="117" a="1"/>
  <c r="F194" i="117" s="1"/>
  <c r="E194" i="117" a="1"/>
  <c r="E194" i="117" s="1"/>
  <c r="D194" i="117" a="1"/>
  <c r="D194" i="117" s="1"/>
  <c r="F193" i="117" a="1"/>
  <c r="F193" i="117" s="1"/>
  <c r="E193" i="117" a="1"/>
  <c r="E193" i="117" s="1"/>
  <c r="D193" i="117" a="1"/>
  <c r="D193" i="117" s="1"/>
  <c r="F192" i="117" a="1"/>
  <c r="F192" i="117" s="1"/>
  <c r="E192" i="117" a="1"/>
  <c r="E192" i="117" s="1"/>
  <c r="D192" i="117" a="1"/>
  <c r="D192" i="117" s="1"/>
  <c r="F191" i="117" a="1"/>
  <c r="F191" i="117" s="1"/>
  <c r="E191" i="117" a="1"/>
  <c r="E191" i="117" s="1"/>
  <c r="D191" i="117" a="1"/>
  <c r="D191" i="117" s="1"/>
  <c r="F190" i="117" a="1"/>
  <c r="F190" i="117" s="1"/>
  <c r="E190" i="117" a="1"/>
  <c r="E190" i="117" s="1"/>
  <c r="D190" i="117" a="1"/>
  <c r="D190" i="117" s="1"/>
  <c r="F189" i="117" a="1"/>
  <c r="F189" i="117" s="1"/>
  <c r="E189" i="117" a="1"/>
  <c r="E189" i="117" s="1"/>
  <c r="D189" i="117" a="1"/>
  <c r="D189" i="117" s="1"/>
  <c r="F188" i="117" a="1"/>
  <c r="F188" i="117" s="1"/>
  <c r="E188" i="117" a="1"/>
  <c r="E188" i="117" s="1"/>
  <c r="D188" i="117" a="1"/>
  <c r="D188" i="117" s="1"/>
  <c r="F187" i="117" a="1"/>
  <c r="F187" i="117" s="1"/>
  <c r="E187" i="117" a="1"/>
  <c r="E187" i="117" s="1"/>
  <c r="D187" i="117" a="1"/>
  <c r="D187" i="117" s="1"/>
  <c r="F186" i="117" a="1"/>
  <c r="F186" i="117" s="1"/>
  <c r="E186" i="117" a="1"/>
  <c r="E186" i="117" s="1"/>
  <c r="D186" i="117" a="1"/>
  <c r="D186" i="117" s="1"/>
  <c r="F185" i="117" a="1"/>
  <c r="F185" i="117" s="1"/>
  <c r="E185" i="117" a="1"/>
  <c r="E185" i="117" s="1"/>
  <c r="D185" i="117" a="1"/>
  <c r="D185" i="117" s="1"/>
  <c r="F184" i="117" a="1"/>
  <c r="F184" i="117" s="1"/>
  <c r="E184" i="117" a="1"/>
  <c r="E184" i="117" s="1"/>
  <c r="D184" i="117" a="1"/>
  <c r="D184" i="117" s="1"/>
  <c r="F183" i="117" a="1"/>
  <c r="F183" i="117" s="1"/>
  <c r="E183" i="117" a="1"/>
  <c r="E183" i="117" s="1"/>
  <c r="D183" i="117" a="1"/>
  <c r="D183" i="117" s="1"/>
  <c r="F182" i="117" a="1"/>
  <c r="F182" i="117" s="1"/>
  <c r="E182" i="117" a="1"/>
  <c r="E182" i="117" s="1"/>
  <c r="D182" i="117" a="1"/>
  <c r="D182" i="117" s="1"/>
  <c r="F181" i="117" a="1"/>
  <c r="F181" i="117" s="1"/>
  <c r="E181" i="117" a="1"/>
  <c r="E181" i="117" s="1"/>
  <c r="D181" i="117" a="1"/>
  <c r="D181" i="117" s="1"/>
  <c r="F180" i="117" a="1"/>
  <c r="F180" i="117" s="1"/>
  <c r="E180" i="117" a="1"/>
  <c r="E180" i="117" s="1"/>
  <c r="D180" i="117" a="1"/>
  <c r="D180" i="117" s="1"/>
  <c r="F179" i="117" a="1"/>
  <c r="F179" i="117" s="1"/>
  <c r="E179" i="117" a="1"/>
  <c r="E179" i="117" s="1"/>
  <c r="D179" i="117" a="1"/>
  <c r="D179" i="117" s="1"/>
  <c r="F178" i="117" a="1"/>
  <c r="F178" i="117" s="1"/>
  <c r="E178" i="117" a="1"/>
  <c r="E178" i="117" s="1"/>
  <c r="D178" i="117" a="1"/>
  <c r="D178" i="117" s="1"/>
  <c r="F177" i="117" a="1"/>
  <c r="F177" i="117" s="1"/>
  <c r="E177" i="117" a="1"/>
  <c r="E177" i="117" s="1"/>
  <c r="D177" i="117" a="1"/>
  <c r="D177" i="117" s="1"/>
  <c r="F176" i="117" a="1"/>
  <c r="F176" i="117" s="1"/>
  <c r="E176" i="117" a="1"/>
  <c r="E176" i="117" s="1"/>
  <c r="D176" i="117" a="1"/>
  <c r="D176" i="117" s="1"/>
  <c r="F175" i="117" a="1"/>
  <c r="F175" i="117" s="1"/>
  <c r="E175" i="117" a="1"/>
  <c r="E175" i="117" s="1"/>
  <c r="D175" i="117" a="1"/>
  <c r="D175" i="117" s="1"/>
  <c r="F174" i="117" a="1"/>
  <c r="F174" i="117" s="1"/>
  <c r="E174" i="117" a="1"/>
  <c r="E174" i="117" s="1"/>
  <c r="D174" i="117" a="1"/>
  <c r="D174" i="117" s="1"/>
  <c r="F173" i="117" a="1"/>
  <c r="F173" i="117" s="1"/>
  <c r="E173" i="117" a="1"/>
  <c r="E173" i="117" s="1"/>
  <c r="D173" i="117" a="1"/>
  <c r="D173" i="117" s="1"/>
  <c r="F172" i="117" a="1"/>
  <c r="F172" i="117" s="1"/>
  <c r="E172" i="117" a="1"/>
  <c r="E172" i="117" s="1"/>
  <c r="D172" i="117" a="1"/>
  <c r="D172" i="117" s="1"/>
  <c r="F171" i="117" a="1"/>
  <c r="F171" i="117" s="1"/>
  <c r="E171" i="117" a="1"/>
  <c r="E171" i="117" s="1"/>
  <c r="D171" i="117" a="1"/>
  <c r="D171" i="117" s="1"/>
  <c r="F170" i="117" a="1"/>
  <c r="F170" i="117" s="1"/>
  <c r="E170" i="117" a="1"/>
  <c r="E170" i="117" s="1"/>
  <c r="D170" i="117" a="1"/>
  <c r="D170" i="117" s="1"/>
  <c r="F169" i="117" a="1"/>
  <c r="F169" i="117" s="1"/>
  <c r="E169" i="117" a="1"/>
  <c r="E169" i="117" s="1"/>
  <c r="D169" i="117" a="1"/>
  <c r="D169" i="117" s="1"/>
  <c r="F168" i="117" a="1"/>
  <c r="F168" i="117" s="1"/>
  <c r="E168" i="117" a="1"/>
  <c r="E168" i="117" s="1"/>
  <c r="D168" i="117" a="1"/>
  <c r="D168" i="117" s="1"/>
  <c r="F167" i="117" a="1"/>
  <c r="F167" i="117" s="1"/>
  <c r="E167" i="117" a="1"/>
  <c r="E167" i="117" s="1"/>
  <c r="D167" i="117" a="1"/>
  <c r="D167" i="117" s="1"/>
  <c r="F166" i="117" a="1"/>
  <c r="F166" i="117" s="1"/>
  <c r="E166" i="117" a="1"/>
  <c r="E166" i="117" s="1"/>
  <c r="D166" i="117" a="1"/>
  <c r="D166" i="117" s="1"/>
  <c r="F165" i="117" a="1"/>
  <c r="F165" i="117" s="1"/>
  <c r="E165" i="117" a="1"/>
  <c r="E165" i="117" s="1"/>
  <c r="D165" i="117" a="1"/>
  <c r="D165" i="117" s="1"/>
  <c r="F164" i="117" a="1"/>
  <c r="F164" i="117" s="1"/>
  <c r="E164" i="117" a="1"/>
  <c r="E164" i="117" s="1"/>
  <c r="D164" i="117" a="1"/>
  <c r="D164" i="117" s="1"/>
  <c r="F163" i="117" a="1"/>
  <c r="F163" i="117" s="1"/>
  <c r="E163" i="117" a="1"/>
  <c r="E163" i="117" s="1"/>
  <c r="D163" i="117" a="1"/>
  <c r="D163" i="117" s="1"/>
  <c r="F162" i="117" a="1"/>
  <c r="F162" i="117" s="1"/>
  <c r="E162" i="117" a="1"/>
  <c r="E162" i="117" s="1"/>
  <c r="D162" i="117" a="1"/>
  <c r="D162" i="117" s="1"/>
  <c r="F161" i="117" a="1"/>
  <c r="F161" i="117" s="1"/>
  <c r="E161" i="117" a="1"/>
  <c r="E161" i="117" s="1"/>
  <c r="D161" i="117" a="1"/>
  <c r="D161" i="117" s="1"/>
  <c r="F160" i="117" a="1"/>
  <c r="F160" i="117" s="1"/>
  <c r="E160" i="117" a="1"/>
  <c r="E160" i="117" s="1"/>
  <c r="D160" i="117" a="1"/>
  <c r="D160" i="117" s="1"/>
  <c r="F159" i="117" a="1"/>
  <c r="F159" i="117" s="1"/>
  <c r="E159" i="117" a="1"/>
  <c r="E159" i="117" s="1"/>
  <c r="D159" i="117" a="1"/>
  <c r="D159" i="117" s="1"/>
  <c r="F158" i="117" a="1"/>
  <c r="F158" i="117" s="1"/>
  <c r="E158" i="117" a="1"/>
  <c r="E158" i="117" s="1"/>
  <c r="D158" i="117" a="1"/>
  <c r="D158" i="117" s="1"/>
  <c r="F157" i="117" a="1"/>
  <c r="F157" i="117" s="1"/>
  <c r="E157" i="117" a="1"/>
  <c r="E157" i="117" s="1"/>
  <c r="D157" i="117" a="1"/>
  <c r="D157" i="117" s="1"/>
  <c r="F156" i="117" a="1"/>
  <c r="F156" i="117" s="1"/>
  <c r="E156" i="117" a="1"/>
  <c r="E156" i="117" s="1"/>
  <c r="D156" i="117" a="1"/>
  <c r="D156" i="117" s="1"/>
  <c r="F155" i="117" a="1"/>
  <c r="F155" i="117" s="1"/>
  <c r="E155" i="117" a="1"/>
  <c r="E155" i="117" s="1"/>
  <c r="D155" i="117" a="1"/>
  <c r="D155" i="117" s="1"/>
  <c r="F154" i="117" a="1"/>
  <c r="F154" i="117" s="1"/>
  <c r="E154" i="117" a="1"/>
  <c r="E154" i="117" s="1"/>
  <c r="D154" i="117" a="1"/>
  <c r="D154" i="117" s="1"/>
  <c r="F153" i="117" a="1"/>
  <c r="F153" i="117" s="1"/>
  <c r="E153" i="117" a="1"/>
  <c r="E153" i="117" s="1"/>
  <c r="D153" i="117" a="1"/>
  <c r="D153" i="117" s="1"/>
  <c r="F152" i="117" a="1"/>
  <c r="F152" i="117" s="1"/>
  <c r="E152" i="117" a="1"/>
  <c r="E152" i="117" s="1"/>
  <c r="D152" i="117" a="1"/>
  <c r="D152" i="117" s="1"/>
  <c r="F151" i="117" a="1"/>
  <c r="F151" i="117" s="1"/>
  <c r="E151" i="117" a="1"/>
  <c r="E151" i="117" s="1"/>
  <c r="D151" i="117" a="1"/>
  <c r="D151" i="117" s="1"/>
  <c r="F150" i="117" a="1"/>
  <c r="F150" i="117" s="1"/>
  <c r="E150" i="117" a="1"/>
  <c r="E150" i="117" s="1"/>
  <c r="D150" i="117" a="1"/>
  <c r="D150" i="117" s="1"/>
  <c r="F149" i="117" a="1"/>
  <c r="F149" i="117" s="1"/>
  <c r="E149" i="117" a="1"/>
  <c r="E149" i="117" s="1"/>
  <c r="D149" i="117" a="1"/>
  <c r="D149" i="117" s="1"/>
  <c r="F148" i="117" a="1"/>
  <c r="F148" i="117" s="1"/>
  <c r="E148" i="117" a="1"/>
  <c r="E148" i="117" s="1"/>
  <c r="D148" i="117" a="1"/>
  <c r="D148" i="117" s="1"/>
  <c r="F147" i="117" a="1"/>
  <c r="F147" i="117" s="1"/>
  <c r="E147" i="117" a="1"/>
  <c r="E147" i="117" s="1"/>
  <c r="D147" i="117" a="1"/>
  <c r="D147" i="117" s="1"/>
  <c r="F146" i="117" a="1"/>
  <c r="F146" i="117" s="1"/>
  <c r="E146" i="117" a="1"/>
  <c r="E146" i="117" s="1"/>
  <c r="D146" i="117" a="1"/>
  <c r="D146" i="117" s="1"/>
  <c r="F145" i="117" a="1"/>
  <c r="F145" i="117" s="1"/>
  <c r="E145" i="117" a="1"/>
  <c r="E145" i="117" s="1"/>
  <c r="D145" i="117" a="1"/>
  <c r="D145" i="117" s="1"/>
  <c r="F144" i="117" a="1"/>
  <c r="F144" i="117" s="1"/>
  <c r="E144" i="117" a="1"/>
  <c r="E144" i="117" s="1"/>
  <c r="D144" i="117" a="1"/>
  <c r="D144" i="117" s="1"/>
  <c r="F143" i="117" a="1"/>
  <c r="F143" i="117" s="1"/>
  <c r="E143" i="117" a="1"/>
  <c r="E143" i="117" s="1"/>
  <c r="D143" i="117" a="1"/>
  <c r="D143" i="117" s="1"/>
  <c r="F142" i="117" a="1"/>
  <c r="F142" i="117" s="1"/>
  <c r="E142" i="117" a="1"/>
  <c r="E142" i="117" s="1"/>
  <c r="D142" i="117" a="1"/>
  <c r="D142" i="117" s="1"/>
  <c r="F141" i="117" a="1"/>
  <c r="F141" i="117" s="1"/>
  <c r="E141" i="117" a="1"/>
  <c r="E141" i="117" s="1"/>
  <c r="D141" i="117" a="1"/>
  <c r="D141" i="117" s="1"/>
  <c r="F140" i="117" a="1"/>
  <c r="F140" i="117" s="1"/>
  <c r="E140" i="117" a="1"/>
  <c r="E140" i="117" s="1"/>
  <c r="D140" i="117" a="1"/>
  <c r="D140" i="117" s="1"/>
  <c r="F139" i="117" a="1"/>
  <c r="F139" i="117" s="1"/>
  <c r="E139" i="117" a="1"/>
  <c r="E139" i="117" s="1"/>
  <c r="D139" i="117" a="1"/>
  <c r="D139" i="117" s="1"/>
  <c r="F138" i="117" a="1"/>
  <c r="F138" i="117" s="1"/>
  <c r="E138" i="117" a="1"/>
  <c r="E138" i="117" s="1"/>
  <c r="D138" i="117" a="1"/>
  <c r="D138" i="117" s="1"/>
  <c r="F137" i="117" a="1"/>
  <c r="F137" i="117" s="1"/>
  <c r="E137" i="117" a="1"/>
  <c r="E137" i="117" s="1"/>
  <c r="D137" i="117" a="1"/>
  <c r="D137" i="117" s="1"/>
  <c r="F136" i="117" a="1"/>
  <c r="F136" i="117" s="1"/>
  <c r="E136" i="117" a="1"/>
  <c r="E136" i="117" s="1"/>
  <c r="D136" i="117" a="1"/>
  <c r="D136" i="117" s="1"/>
  <c r="F135" i="117" a="1"/>
  <c r="F135" i="117" s="1"/>
  <c r="E135" i="117" a="1"/>
  <c r="E135" i="117" s="1"/>
  <c r="D135" i="117" a="1"/>
  <c r="D135" i="117" s="1"/>
  <c r="F134" i="117" a="1"/>
  <c r="F134" i="117" s="1"/>
  <c r="E134" i="117" a="1"/>
  <c r="E134" i="117" s="1"/>
  <c r="D134" i="117" a="1"/>
  <c r="D134" i="117" s="1"/>
  <c r="F133" i="117" a="1"/>
  <c r="F133" i="117" s="1"/>
  <c r="E133" i="117" a="1"/>
  <c r="E133" i="117" s="1"/>
  <c r="D133" i="117" a="1"/>
  <c r="D133" i="117" s="1"/>
  <c r="F132" i="117" a="1"/>
  <c r="F132" i="117" s="1"/>
  <c r="E132" i="117" a="1"/>
  <c r="E132" i="117" s="1"/>
  <c r="D132" i="117" a="1"/>
  <c r="D132" i="117" s="1"/>
  <c r="F131" i="117" a="1"/>
  <c r="F131" i="117" s="1"/>
  <c r="E131" i="117" a="1"/>
  <c r="E131" i="117" s="1"/>
  <c r="D131" i="117" a="1"/>
  <c r="D131" i="117" s="1"/>
  <c r="F130" i="117" a="1"/>
  <c r="F130" i="117" s="1"/>
  <c r="E130" i="117" a="1"/>
  <c r="E130" i="117" s="1"/>
  <c r="D130" i="117" a="1"/>
  <c r="D130" i="117" s="1"/>
  <c r="F129" i="117" a="1"/>
  <c r="F129" i="117" s="1"/>
  <c r="E129" i="117" a="1"/>
  <c r="E129" i="117" s="1"/>
  <c r="D129" i="117" a="1"/>
  <c r="D129" i="117" s="1"/>
  <c r="F128" i="117" a="1"/>
  <c r="F128" i="117" s="1"/>
  <c r="E128" i="117" a="1"/>
  <c r="E128" i="117" s="1"/>
  <c r="D128" i="117" a="1"/>
  <c r="D128" i="117" s="1"/>
  <c r="F127" i="117" a="1"/>
  <c r="F127" i="117" s="1"/>
  <c r="E127" i="117" a="1"/>
  <c r="E127" i="117" s="1"/>
  <c r="D127" i="117" a="1"/>
  <c r="D127" i="117" s="1"/>
  <c r="F126" i="117" a="1"/>
  <c r="F126" i="117" s="1"/>
  <c r="E126" i="117" a="1"/>
  <c r="E126" i="117" s="1"/>
  <c r="D126" i="117" a="1"/>
  <c r="D126" i="117" s="1"/>
  <c r="F125" i="117" a="1"/>
  <c r="F125" i="117" s="1"/>
  <c r="E125" i="117" a="1"/>
  <c r="E125" i="117" s="1"/>
  <c r="D125" i="117" a="1"/>
  <c r="D125" i="117" s="1"/>
  <c r="F124" i="117" a="1"/>
  <c r="F124" i="117" s="1"/>
  <c r="E124" i="117" a="1"/>
  <c r="E124" i="117" s="1"/>
  <c r="D124" i="117" a="1"/>
  <c r="D124" i="117" s="1"/>
  <c r="F123" i="117" a="1"/>
  <c r="F123" i="117" s="1"/>
  <c r="E123" i="117" a="1"/>
  <c r="E123" i="117" s="1"/>
  <c r="D123" i="117" a="1"/>
  <c r="D123" i="117" s="1"/>
  <c r="F122" i="117" a="1"/>
  <c r="F122" i="117" s="1"/>
  <c r="E122" i="117" a="1"/>
  <c r="E122" i="117" s="1"/>
  <c r="D122" i="117" a="1"/>
  <c r="D122" i="117" s="1"/>
  <c r="F121" i="117" a="1"/>
  <c r="F121" i="117" s="1"/>
  <c r="E121" i="117" a="1"/>
  <c r="E121" i="117" s="1"/>
  <c r="D121" i="117" a="1"/>
  <c r="D121" i="117" s="1"/>
  <c r="F120" i="117" a="1"/>
  <c r="F120" i="117" s="1"/>
  <c r="E120" i="117" a="1"/>
  <c r="E120" i="117" s="1"/>
  <c r="D120" i="117" a="1"/>
  <c r="D120" i="117" s="1"/>
  <c r="F119" i="117" a="1"/>
  <c r="F119" i="117" s="1"/>
  <c r="E119" i="117" a="1"/>
  <c r="E119" i="117" s="1"/>
  <c r="D119" i="117" a="1"/>
  <c r="D119" i="117" s="1"/>
  <c r="F118" i="117" a="1"/>
  <c r="F118" i="117" s="1"/>
  <c r="E118" i="117" a="1"/>
  <c r="E118" i="117" s="1"/>
  <c r="D118" i="117" a="1"/>
  <c r="D118" i="117" s="1"/>
  <c r="F117" i="117" a="1"/>
  <c r="F117" i="117" s="1"/>
  <c r="E117" i="117" a="1"/>
  <c r="E117" i="117" s="1"/>
  <c r="D117" i="117" a="1"/>
  <c r="D117" i="117" s="1"/>
  <c r="F116" i="117" a="1"/>
  <c r="F116" i="117" s="1"/>
  <c r="E116" i="117" a="1"/>
  <c r="E116" i="117" s="1"/>
  <c r="D116" i="117" a="1"/>
  <c r="D116" i="117" s="1"/>
  <c r="F115" i="117" a="1"/>
  <c r="F115" i="117" s="1"/>
  <c r="E115" i="117" a="1"/>
  <c r="E115" i="117" s="1"/>
  <c r="D115" i="117" a="1"/>
  <c r="D115" i="117" s="1"/>
  <c r="F114" i="117" a="1"/>
  <c r="F114" i="117" s="1"/>
  <c r="E114" i="117" a="1"/>
  <c r="E114" i="117" s="1"/>
  <c r="D114" i="117" a="1"/>
  <c r="D114" i="117" s="1"/>
  <c r="F113" i="117" a="1"/>
  <c r="F113" i="117" s="1"/>
  <c r="E113" i="117" a="1"/>
  <c r="E113" i="117" s="1"/>
  <c r="D113" i="117" a="1"/>
  <c r="D113" i="117" s="1"/>
  <c r="F112" i="117" a="1"/>
  <c r="F112" i="117" s="1"/>
  <c r="E112" i="117" a="1"/>
  <c r="E112" i="117" s="1"/>
  <c r="D112" i="117" a="1"/>
  <c r="D112" i="117" s="1"/>
  <c r="F111" i="117" a="1"/>
  <c r="F111" i="117" s="1"/>
  <c r="E111" i="117" a="1"/>
  <c r="E111" i="117" s="1"/>
  <c r="D111" i="117" a="1"/>
  <c r="D111" i="117" s="1"/>
  <c r="F110" i="117" a="1"/>
  <c r="F110" i="117" s="1"/>
  <c r="E110" i="117" a="1"/>
  <c r="E110" i="117" s="1"/>
  <c r="D110" i="117" a="1"/>
  <c r="D110" i="117" s="1"/>
  <c r="F109" i="117" a="1"/>
  <c r="F109" i="117" s="1"/>
  <c r="E109" i="117" a="1"/>
  <c r="E109" i="117" s="1"/>
  <c r="D109" i="117" a="1"/>
  <c r="D109" i="117" s="1"/>
  <c r="F108" i="117" a="1"/>
  <c r="F108" i="117" s="1"/>
  <c r="E108" i="117" a="1"/>
  <c r="E108" i="117" s="1"/>
  <c r="D108" i="117" a="1"/>
  <c r="D108" i="117" s="1"/>
  <c r="F107" i="117" a="1"/>
  <c r="F107" i="117" s="1"/>
  <c r="E107" i="117" a="1"/>
  <c r="E107" i="117" s="1"/>
  <c r="D107" i="117" a="1"/>
  <c r="D107" i="117" s="1"/>
  <c r="F106" i="117" a="1"/>
  <c r="F106" i="117" s="1"/>
  <c r="E106" i="117" a="1"/>
  <c r="E106" i="117" s="1"/>
  <c r="D106" i="117" a="1"/>
  <c r="D106" i="117" s="1"/>
  <c r="F105" i="117" a="1"/>
  <c r="F105" i="117" s="1"/>
  <c r="E105" i="117" a="1"/>
  <c r="E105" i="117" s="1"/>
  <c r="D105" i="117" a="1"/>
  <c r="D105" i="117" s="1"/>
  <c r="F104" i="117" a="1"/>
  <c r="F104" i="117" s="1"/>
  <c r="E104" i="117" a="1"/>
  <c r="E104" i="117" s="1"/>
  <c r="D104" i="117" a="1"/>
  <c r="D104" i="117" s="1"/>
  <c r="F103" i="117" a="1"/>
  <c r="F103" i="117" s="1"/>
  <c r="E103" i="117" a="1"/>
  <c r="E103" i="117" s="1"/>
  <c r="D103" i="117" a="1"/>
  <c r="D103" i="117" s="1"/>
  <c r="F102" i="117" a="1"/>
  <c r="F102" i="117" s="1"/>
  <c r="E102" i="117" a="1"/>
  <c r="E102" i="117" s="1"/>
  <c r="D102" i="117" a="1"/>
  <c r="D102" i="117" s="1"/>
  <c r="F101" i="117" a="1"/>
  <c r="F101" i="117" s="1"/>
  <c r="E101" i="117" a="1"/>
  <c r="E101" i="117" s="1"/>
  <c r="D101" i="117" a="1"/>
  <c r="D101" i="117" s="1"/>
  <c r="F100" i="117" a="1"/>
  <c r="F100" i="117" s="1"/>
  <c r="E100" i="117" a="1"/>
  <c r="E100" i="117" s="1"/>
  <c r="D100" i="117" a="1"/>
  <c r="D100" i="117" s="1"/>
  <c r="F99" i="117" a="1"/>
  <c r="F99" i="117" s="1"/>
  <c r="E99" i="117" a="1"/>
  <c r="E99" i="117" s="1"/>
  <c r="D99" i="117" a="1"/>
  <c r="D99" i="117" s="1"/>
  <c r="F98" i="117" a="1"/>
  <c r="F98" i="117" s="1"/>
  <c r="E98" i="117" a="1"/>
  <c r="E98" i="117" s="1"/>
  <c r="D98" i="117" a="1"/>
  <c r="D98" i="117" s="1"/>
  <c r="F97" i="117" a="1"/>
  <c r="F97" i="117" s="1"/>
  <c r="E97" i="117" a="1"/>
  <c r="E97" i="117" s="1"/>
  <c r="D97" i="117" a="1"/>
  <c r="D97" i="117" s="1"/>
  <c r="F96" i="117" a="1"/>
  <c r="F96" i="117" s="1"/>
  <c r="E96" i="117" a="1"/>
  <c r="E96" i="117" s="1"/>
  <c r="D96" i="117" a="1"/>
  <c r="D96" i="117" s="1"/>
  <c r="F95" i="117" a="1"/>
  <c r="F95" i="117" s="1"/>
  <c r="E95" i="117" a="1"/>
  <c r="E95" i="117" s="1"/>
  <c r="D95" i="117" a="1"/>
  <c r="D95" i="117" s="1"/>
  <c r="F94" i="117" a="1"/>
  <c r="F94" i="117" s="1"/>
  <c r="E94" i="117" a="1"/>
  <c r="E94" i="117" s="1"/>
  <c r="D94" i="117" a="1"/>
  <c r="D94" i="117" s="1"/>
  <c r="F93" i="117" a="1"/>
  <c r="F93" i="117" s="1"/>
  <c r="E93" i="117" a="1"/>
  <c r="E93" i="117" s="1"/>
  <c r="D93" i="117" a="1"/>
  <c r="D93" i="117" s="1"/>
  <c r="D91" i="117" a="1"/>
  <c r="D91" i="117" s="1"/>
  <c r="F89" i="117" a="1"/>
  <c r="F89" i="117" s="1"/>
  <c r="E89" i="117" a="1"/>
  <c r="E89" i="117" s="1"/>
  <c r="D89" i="117" a="1"/>
  <c r="D89" i="117" s="1"/>
  <c r="F88" i="117" a="1"/>
  <c r="F88" i="117" s="1"/>
  <c r="E88" i="117" a="1"/>
  <c r="E88" i="117" s="1"/>
  <c r="D88" i="117" a="1"/>
  <c r="D88" i="117" s="1"/>
  <c r="F87" i="117" a="1"/>
  <c r="F87" i="117" s="1"/>
  <c r="E87" i="117" a="1"/>
  <c r="E87" i="117" s="1"/>
  <c r="D87" i="117" a="1"/>
  <c r="D87" i="117" s="1"/>
  <c r="F86" i="117" a="1"/>
  <c r="F86" i="117" s="1"/>
  <c r="E86" i="117" a="1"/>
  <c r="E86" i="117" s="1"/>
  <c r="D86" i="117" a="1"/>
  <c r="D86" i="117" s="1"/>
  <c r="F85" i="117" a="1"/>
  <c r="F85" i="117" s="1"/>
  <c r="E85" i="117" a="1"/>
  <c r="E85" i="117" s="1"/>
  <c r="D85" i="117" a="1"/>
  <c r="D85" i="117" s="1"/>
  <c r="F84" i="117" a="1"/>
  <c r="F84" i="117" s="1"/>
  <c r="E84" i="117" a="1"/>
  <c r="E84" i="117" s="1"/>
  <c r="D84" i="117" a="1"/>
  <c r="D84" i="117" s="1"/>
  <c r="F83" i="117" a="1"/>
  <c r="F83" i="117" s="1"/>
  <c r="E83" i="117" a="1"/>
  <c r="E83" i="117" s="1"/>
  <c r="D83" i="117" a="1"/>
  <c r="D83" i="117" s="1"/>
  <c r="F82" i="117" a="1"/>
  <c r="F82" i="117" s="1"/>
  <c r="E82" i="117" a="1"/>
  <c r="E82" i="117" s="1"/>
  <c r="D82" i="117" a="1"/>
  <c r="D82" i="117" s="1"/>
  <c r="F81" i="117" a="1"/>
  <c r="F81" i="117" s="1"/>
  <c r="E81" i="117" a="1"/>
  <c r="E81" i="117" s="1"/>
  <c r="D81" i="117" a="1"/>
  <c r="D81" i="117" s="1"/>
  <c r="F80" i="117" a="1"/>
  <c r="F80" i="117" s="1"/>
  <c r="E80" i="117" a="1"/>
  <c r="E80" i="117" s="1"/>
  <c r="D80" i="117" a="1"/>
  <c r="D80" i="117" s="1"/>
  <c r="F79" i="117" a="1"/>
  <c r="F79" i="117" s="1"/>
  <c r="E79" i="117" a="1"/>
  <c r="E79" i="117" s="1"/>
  <c r="D79" i="117" a="1"/>
  <c r="D79" i="117" s="1"/>
  <c r="F78" i="117" a="1"/>
  <c r="F78" i="117" s="1"/>
  <c r="E78" i="117" a="1"/>
  <c r="E78" i="117" s="1"/>
  <c r="D78" i="117" a="1"/>
  <c r="D78" i="117" s="1"/>
  <c r="F77" i="117" a="1"/>
  <c r="F77" i="117" s="1"/>
  <c r="E77" i="117" a="1"/>
  <c r="E77" i="117" s="1"/>
  <c r="D77" i="117" a="1"/>
  <c r="D77" i="117" s="1"/>
  <c r="F76" i="117" a="1"/>
  <c r="F76" i="117" s="1"/>
  <c r="E76" i="117" a="1"/>
  <c r="E76" i="117" s="1"/>
  <c r="D76" i="117" a="1"/>
  <c r="D76" i="117" s="1"/>
  <c r="F75" i="117" a="1"/>
  <c r="F75" i="117" s="1"/>
  <c r="E75" i="117" a="1"/>
  <c r="E75" i="117" s="1"/>
  <c r="D75" i="117" a="1"/>
  <c r="D75" i="117" s="1"/>
  <c r="F74" i="117" a="1"/>
  <c r="F74" i="117" s="1"/>
  <c r="E74" i="117" a="1"/>
  <c r="E74" i="117" s="1"/>
  <c r="D74" i="117" a="1"/>
  <c r="D74" i="117" s="1"/>
  <c r="D71" i="117" a="1"/>
  <c r="D71" i="117" s="1"/>
  <c r="D70" i="117" a="1"/>
  <c r="D70" i="117" s="1"/>
  <c r="F67" i="117" a="1"/>
  <c r="F67" i="117" s="1"/>
  <c r="E67" i="117" a="1"/>
  <c r="E67" i="117" s="1"/>
  <c r="D67" i="117" a="1"/>
  <c r="D67" i="117" s="1"/>
  <c r="F66" i="117" a="1"/>
  <c r="F66" i="117" s="1"/>
  <c r="E66" i="117" a="1"/>
  <c r="E66" i="117" s="1"/>
  <c r="D66" i="117" a="1"/>
  <c r="D66" i="117" s="1"/>
  <c r="F65" i="117" a="1"/>
  <c r="F65" i="117" s="1"/>
  <c r="E65" i="117" a="1"/>
  <c r="E65" i="117" s="1"/>
  <c r="D65" i="117" a="1"/>
  <c r="D65" i="117" s="1"/>
  <c r="F64" i="117" a="1"/>
  <c r="F64" i="117" s="1"/>
  <c r="E64" i="117" a="1"/>
  <c r="E64" i="117" s="1"/>
  <c r="D64" i="117" a="1"/>
  <c r="D64" i="117" s="1"/>
  <c r="F63" i="117" a="1"/>
  <c r="F63" i="117" s="1"/>
  <c r="E63" i="117" a="1"/>
  <c r="E63" i="117" s="1"/>
  <c r="D63" i="117" a="1"/>
  <c r="D63" i="117" s="1"/>
  <c r="D60" i="117" a="1"/>
  <c r="D60" i="117" s="1"/>
  <c r="D59" i="117" a="1"/>
  <c r="D59" i="117" s="1"/>
  <c r="I56" i="117" a="1"/>
  <c r="I56" i="117" s="1"/>
  <c r="H56" i="117" a="1"/>
  <c r="H56" i="117" s="1"/>
  <c r="G56" i="117" a="1"/>
  <c r="G56" i="117" s="1"/>
  <c r="F56" i="117" a="1"/>
  <c r="F56" i="117" s="1"/>
  <c r="E56" i="117" a="1"/>
  <c r="E56" i="117" s="1"/>
  <c r="D56" i="117" a="1"/>
  <c r="D56" i="117" s="1"/>
  <c r="I55" i="117" a="1"/>
  <c r="I55" i="117" s="1"/>
  <c r="H55" i="117" a="1"/>
  <c r="H55" i="117" s="1"/>
  <c r="G55" i="117" a="1"/>
  <c r="G55" i="117" s="1"/>
  <c r="F55" i="117" a="1"/>
  <c r="F55" i="117" s="1"/>
  <c r="E55" i="117" a="1"/>
  <c r="E55" i="117" s="1"/>
  <c r="D55" i="117" a="1"/>
  <c r="D55" i="117" s="1"/>
  <c r="I54" i="117" a="1"/>
  <c r="I54" i="117" s="1"/>
  <c r="H54" i="117" a="1"/>
  <c r="H54" i="117" s="1"/>
  <c r="G54" i="117" a="1"/>
  <c r="G54" i="117" s="1"/>
  <c r="F54" i="117" a="1"/>
  <c r="F54" i="117" s="1"/>
  <c r="E54" i="117" a="1"/>
  <c r="E54" i="117" s="1"/>
  <c r="D54" i="117" a="1"/>
  <c r="D54" i="117" s="1"/>
  <c r="I53" i="117" a="1"/>
  <c r="I53" i="117" s="1"/>
  <c r="H53" i="117" a="1"/>
  <c r="H53" i="117" s="1"/>
  <c r="G53" i="117" a="1"/>
  <c r="G53" i="117" s="1"/>
  <c r="F53" i="117" a="1"/>
  <c r="F53" i="117" s="1"/>
  <c r="E53" i="117" a="1"/>
  <c r="E53" i="117" s="1"/>
  <c r="D53" i="117" a="1"/>
  <c r="D53" i="117" s="1"/>
  <c r="I52" i="117" a="1"/>
  <c r="I52" i="117" s="1"/>
  <c r="H52" i="117" a="1"/>
  <c r="H52" i="117" s="1"/>
  <c r="G52" i="117" a="1"/>
  <c r="G52" i="117" s="1"/>
  <c r="F52" i="117" a="1"/>
  <c r="F52" i="117" s="1"/>
  <c r="E52" i="117" a="1"/>
  <c r="E52" i="117" s="1"/>
  <c r="D52" i="117" a="1"/>
  <c r="D52" i="117" s="1"/>
  <c r="E19" i="114" s="1"/>
  <c r="D49" i="117" a="1"/>
  <c r="D49" i="117" s="1"/>
  <c r="D48" i="117" a="1"/>
  <c r="D48" i="117" s="1"/>
  <c r="E45" i="117" a="1"/>
  <c r="E45" i="117" s="1"/>
  <c r="D45" i="117" a="1"/>
  <c r="D45" i="117" s="1"/>
  <c r="E44" i="117" a="1"/>
  <c r="E44" i="117" s="1"/>
  <c r="D44" i="117" a="1"/>
  <c r="D44" i="117" s="1"/>
  <c r="D41" i="117" a="1"/>
  <c r="D41" i="117" s="1"/>
  <c r="D40" i="117" a="1"/>
  <c r="D40" i="117" s="1"/>
  <c r="L37" i="117" a="1"/>
  <c r="L37" i="117" s="1"/>
  <c r="K37" i="117" a="1"/>
  <c r="K37" i="117" s="1"/>
  <c r="J37" i="117" a="1"/>
  <c r="J37" i="117" s="1"/>
  <c r="I37" i="117" a="1"/>
  <c r="I37" i="117" s="1"/>
  <c r="H37" i="117" a="1"/>
  <c r="H37" i="117" s="1"/>
  <c r="G37" i="117" a="1"/>
  <c r="G37" i="117" s="1"/>
  <c r="F37" i="117" a="1"/>
  <c r="F37" i="117" s="1"/>
  <c r="E37" i="117" a="1"/>
  <c r="E37" i="117" s="1"/>
  <c r="D37" i="117" a="1"/>
  <c r="D37" i="117" s="1"/>
  <c r="L36" i="117" a="1"/>
  <c r="L36" i="117" s="1"/>
  <c r="K36" i="117" a="1"/>
  <c r="K36" i="117" s="1"/>
  <c r="J36" i="117" a="1"/>
  <c r="J36" i="117" s="1"/>
  <c r="I36" i="117" a="1"/>
  <c r="I36" i="117" s="1"/>
  <c r="H36" i="117" a="1"/>
  <c r="H36" i="117" s="1"/>
  <c r="G36" i="117" a="1"/>
  <c r="G36" i="117" s="1"/>
  <c r="F36" i="117" a="1"/>
  <c r="F36" i="117" s="1"/>
  <c r="E36" i="117" a="1"/>
  <c r="E36" i="117" s="1"/>
  <c r="D36" i="117" a="1"/>
  <c r="D36" i="117" s="1"/>
  <c r="L35" i="117" a="1"/>
  <c r="L35" i="117" s="1"/>
  <c r="K35" i="117" a="1"/>
  <c r="K35" i="117" s="1"/>
  <c r="J35" i="117" a="1"/>
  <c r="J35" i="117" s="1"/>
  <c r="I35" i="117" a="1"/>
  <c r="I35" i="117" s="1"/>
  <c r="H35" i="117" a="1"/>
  <c r="H35" i="117" s="1"/>
  <c r="G35" i="117" a="1"/>
  <c r="G35" i="117" s="1"/>
  <c r="F35" i="117" a="1"/>
  <c r="F35" i="117" s="1"/>
  <c r="E35" i="117" a="1"/>
  <c r="E35" i="117" s="1"/>
  <c r="D35" i="117" a="1"/>
  <c r="D35" i="117" s="1"/>
  <c r="L34" i="117" a="1"/>
  <c r="L34" i="117" s="1"/>
  <c r="K34" i="117" a="1"/>
  <c r="K34" i="117" s="1"/>
  <c r="J34" i="117" a="1"/>
  <c r="J34" i="117" s="1"/>
  <c r="I34" i="117" a="1"/>
  <c r="I34" i="117" s="1"/>
  <c r="H34" i="117" a="1"/>
  <c r="H34" i="117" s="1"/>
  <c r="G34" i="117" a="1"/>
  <c r="G34" i="117" s="1"/>
  <c r="F34" i="117" a="1"/>
  <c r="F34" i="117" s="1"/>
  <c r="E34" i="117" a="1"/>
  <c r="E34" i="117" s="1"/>
  <c r="D34" i="117" a="1"/>
  <c r="D34" i="117" s="1"/>
  <c r="L33" i="117" a="1"/>
  <c r="L33" i="117" s="1"/>
  <c r="K33" i="117" a="1"/>
  <c r="K33" i="117" s="1"/>
  <c r="J33" i="117" a="1"/>
  <c r="J33" i="117" s="1"/>
  <c r="I33" i="117" a="1"/>
  <c r="I33" i="117" s="1"/>
  <c r="H33" i="117" a="1"/>
  <c r="H33" i="117" s="1"/>
  <c r="G33" i="117" a="1"/>
  <c r="G33" i="117" s="1"/>
  <c r="F33" i="117" a="1"/>
  <c r="F33" i="117" s="1"/>
  <c r="E33" i="117" a="1"/>
  <c r="E33" i="117" s="1"/>
  <c r="D33" i="117" a="1"/>
  <c r="D33" i="117" s="1"/>
  <c r="L32" i="117" a="1"/>
  <c r="L32" i="117" s="1"/>
  <c r="K32" i="117" a="1"/>
  <c r="K32" i="117" s="1"/>
  <c r="J32" i="117" a="1"/>
  <c r="J32" i="117" s="1"/>
  <c r="I32" i="117" a="1"/>
  <c r="I32" i="117" s="1"/>
  <c r="H32" i="117" a="1"/>
  <c r="H32" i="117" s="1"/>
  <c r="G32" i="117" a="1"/>
  <c r="G32" i="117" s="1"/>
  <c r="F32" i="117" a="1"/>
  <c r="F32" i="117" s="1"/>
  <c r="E32" i="117" a="1"/>
  <c r="E32" i="117" s="1"/>
  <c r="D32" i="117" a="1"/>
  <c r="D32" i="117" s="1"/>
  <c r="L31" i="117" a="1"/>
  <c r="L31" i="117" s="1"/>
  <c r="K31" i="117" a="1"/>
  <c r="K31" i="117" s="1"/>
  <c r="J31" i="117" a="1"/>
  <c r="J31" i="117" s="1"/>
  <c r="I31" i="117" a="1"/>
  <c r="I31" i="117" s="1"/>
  <c r="H31" i="117" a="1"/>
  <c r="H31" i="117" s="1"/>
  <c r="G31" i="117" a="1"/>
  <c r="G31" i="117" s="1"/>
  <c r="F31" i="117" a="1"/>
  <c r="F31" i="117" s="1"/>
  <c r="E31" i="117" a="1"/>
  <c r="E31" i="117" s="1"/>
  <c r="D31" i="117" a="1"/>
  <c r="D31" i="117" s="1"/>
  <c r="L30" i="117" a="1"/>
  <c r="L30" i="117" s="1"/>
  <c r="K30" i="117" a="1"/>
  <c r="K30" i="117" s="1"/>
  <c r="J30" i="117" a="1"/>
  <c r="J30" i="117" s="1"/>
  <c r="I30" i="117" a="1"/>
  <c r="I30" i="117" s="1"/>
  <c r="H30" i="117" a="1"/>
  <c r="H30" i="117" s="1"/>
  <c r="G30" i="117" a="1"/>
  <c r="G30" i="117" s="1"/>
  <c r="F30" i="117" a="1"/>
  <c r="F30" i="117" s="1"/>
  <c r="E30" i="117" a="1"/>
  <c r="E30" i="117" s="1"/>
  <c r="D30" i="117" a="1"/>
  <c r="D30" i="117" s="1"/>
  <c r="L29" i="117" a="1"/>
  <c r="L29" i="117" s="1"/>
  <c r="K29" i="117" a="1"/>
  <c r="K29" i="117" s="1"/>
  <c r="J29" i="117" a="1"/>
  <c r="J29" i="117" s="1"/>
  <c r="I29" i="117" a="1"/>
  <c r="I29" i="117" s="1"/>
  <c r="H29" i="117" a="1"/>
  <c r="H29" i="117" s="1"/>
  <c r="G29" i="117" a="1"/>
  <c r="G29" i="117" s="1"/>
  <c r="F29" i="117" a="1"/>
  <c r="F29" i="117" s="1"/>
  <c r="E29" i="117" a="1"/>
  <c r="E29" i="117" s="1"/>
  <c r="D29" i="117" a="1"/>
  <c r="D29" i="117" s="1"/>
  <c r="L28" i="117" a="1"/>
  <c r="L28" i="117" s="1"/>
  <c r="K28" i="117" a="1"/>
  <c r="K28" i="117" s="1"/>
  <c r="J28" i="117" a="1"/>
  <c r="J28" i="117" s="1"/>
  <c r="I28" i="117" a="1"/>
  <c r="I28" i="117" s="1"/>
  <c r="H28" i="117" a="1"/>
  <c r="H28" i="117" s="1"/>
  <c r="G28" i="117" a="1"/>
  <c r="G28" i="117" s="1"/>
  <c r="F28" i="117" a="1"/>
  <c r="F28" i="117" s="1"/>
  <c r="E28" i="117" a="1"/>
  <c r="E28" i="117" s="1"/>
  <c r="D28" i="117" a="1"/>
  <c r="D28" i="117" s="1"/>
  <c r="L27" i="117" a="1"/>
  <c r="L27" i="117" s="1"/>
  <c r="K27" i="117" a="1"/>
  <c r="K27" i="117" s="1"/>
  <c r="J27" i="117" a="1"/>
  <c r="J27" i="117" s="1"/>
  <c r="I27" i="117" a="1"/>
  <c r="I27" i="117" s="1"/>
  <c r="H27" i="117" a="1"/>
  <c r="H27" i="117" s="1"/>
  <c r="G27" i="117" a="1"/>
  <c r="G27" i="117" s="1"/>
  <c r="F27" i="117" a="1"/>
  <c r="F27" i="117" s="1"/>
  <c r="E27" i="117" a="1"/>
  <c r="E27" i="117" s="1"/>
  <c r="D27" i="117" a="1"/>
  <c r="D27" i="117" s="1"/>
  <c r="L26" i="117" a="1"/>
  <c r="L26" i="117" s="1"/>
  <c r="K26" i="117" a="1"/>
  <c r="K26" i="117" s="1"/>
  <c r="J26" i="117" a="1"/>
  <c r="J26" i="117" s="1"/>
  <c r="I26" i="117" a="1"/>
  <c r="I26" i="117" s="1"/>
  <c r="H26" i="117" a="1"/>
  <c r="H26" i="117" s="1"/>
  <c r="G26" i="117" a="1"/>
  <c r="G26" i="117" s="1"/>
  <c r="F26" i="117" a="1"/>
  <c r="F26" i="117" s="1"/>
  <c r="E26" i="117" a="1"/>
  <c r="E26" i="117" s="1"/>
  <c r="D26" i="117" a="1"/>
  <c r="D26" i="117" s="1"/>
  <c r="L25" i="117" a="1"/>
  <c r="L25" i="117" s="1"/>
  <c r="K25" i="117" a="1"/>
  <c r="K25" i="117" s="1"/>
  <c r="J25" i="117" a="1"/>
  <c r="J25" i="117" s="1"/>
  <c r="I25" i="117" a="1"/>
  <c r="I25" i="117" s="1"/>
  <c r="H25" i="117" a="1"/>
  <c r="H25" i="117" s="1"/>
  <c r="G25" i="117" a="1"/>
  <c r="G25" i="117" s="1"/>
  <c r="F25" i="117" a="1"/>
  <c r="F25" i="117" s="1"/>
  <c r="E25" i="117" a="1"/>
  <c r="E25" i="117" s="1"/>
  <c r="D25" i="117" a="1"/>
  <c r="D25" i="117" s="1"/>
  <c r="L24" i="117" a="1"/>
  <c r="L24" i="117" s="1"/>
  <c r="K24" i="117" a="1"/>
  <c r="K24" i="117" s="1"/>
  <c r="J24" i="117" a="1"/>
  <c r="J24" i="117" s="1"/>
  <c r="I24" i="117" a="1"/>
  <c r="I24" i="117" s="1"/>
  <c r="H24" i="117" a="1"/>
  <c r="H24" i="117" s="1"/>
  <c r="G24" i="117" a="1"/>
  <c r="G24" i="117" s="1"/>
  <c r="F24" i="117" a="1"/>
  <c r="F24" i="117" s="1"/>
  <c r="E24" i="117" a="1"/>
  <c r="E24" i="117" s="1"/>
  <c r="D24" i="117" a="1"/>
  <c r="D24" i="117" s="1"/>
  <c r="L23" i="117" a="1"/>
  <c r="L23" i="117" s="1"/>
  <c r="K23" i="117" a="1"/>
  <c r="K23" i="117" s="1"/>
  <c r="J23" i="117" a="1"/>
  <c r="J23" i="117" s="1"/>
  <c r="I23" i="117" a="1"/>
  <c r="I23" i="117" s="1"/>
  <c r="H23" i="117" a="1"/>
  <c r="H23" i="117" s="1"/>
  <c r="G23" i="117" a="1"/>
  <c r="G23" i="117" s="1"/>
  <c r="F23" i="117" a="1"/>
  <c r="F23" i="117" s="1"/>
  <c r="E23" i="117" a="1"/>
  <c r="E23" i="117" s="1"/>
  <c r="D23" i="117" a="1"/>
  <c r="D23" i="117" s="1"/>
  <c r="L22" i="117" a="1"/>
  <c r="L22" i="117" s="1"/>
  <c r="K22" i="117" a="1"/>
  <c r="K22" i="117" s="1"/>
  <c r="J22" i="117" a="1"/>
  <c r="J22" i="117" s="1"/>
  <c r="I22" i="117" a="1"/>
  <c r="I22" i="117" s="1"/>
  <c r="H22" i="117" a="1"/>
  <c r="H22" i="117" s="1"/>
  <c r="G22" i="117" a="1"/>
  <c r="G22" i="117" s="1"/>
  <c r="F22" i="117" a="1"/>
  <c r="F22" i="117" s="1"/>
  <c r="E22" i="117" a="1"/>
  <c r="E22" i="117" s="1"/>
  <c r="D22" i="117" a="1"/>
  <c r="D22" i="117" s="1"/>
  <c r="L21" i="117" a="1"/>
  <c r="L21" i="117" s="1"/>
  <c r="K21" i="117" a="1"/>
  <c r="K21" i="117" s="1"/>
  <c r="J21" i="117" a="1"/>
  <c r="J21" i="117" s="1"/>
  <c r="I21" i="117" a="1"/>
  <c r="I21" i="117" s="1"/>
  <c r="H21" i="117" a="1"/>
  <c r="H21" i="117" s="1"/>
  <c r="G21" i="117" a="1"/>
  <c r="G21" i="117" s="1"/>
  <c r="F21" i="117" a="1"/>
  <c r="F21" i="117" s="1"/>
  <c r="E21" i="117" a="1"/>
  <c r="E21" i="117" s="1"/>
  <c r="D21" i="117" a="1"/>
  <c r="D21" i="117" s="1"/>
  <c r="L20" i="117" a="1"/>
  <c r="L20" i="117" s="1"/>
  <c r="K20" i="117" a="1"/>
  <c r="K20" i="117" s="1"/>
  <c r="J20" i="117" a="1"/>
  <c r="J20" i="117" s="1"/>
  <c r="I20" i="117" a="1"/>
  <c r="I20" i="117" s="1"/>
  <c r="H20" i="117" a="1"/>
  <c r="H20" i="117" s="1"/>
  <c r="G20" i="117" a="1"/>
  <c r="G20" i="117" s="1"/>
  <c r="F20" i="117" a="1"/>
  <c r="F20" i="117" s="1"/>
  <c r="E20" i="117" a="1"/>
  <c r="E20" i="117" s="1"/>
  <c r="D20" i="117" a="1"/>
  <c r="D20" i="117" s="1"/>
  <c r="D17" i="117" a="1"/>
  <c r="D17" i="117" s="1"/>
  <c r="D16" i="117" a="1"/>
  <c r="D16" i="117" s="1"/>
  <c r="D15" i="117" a="1"/>
  <c r="D15" i="117" s="1"/>
  <c r="K10" i="117" a="1"/>
  <c r="K10" i="117" s="1"/>
  <c r="J10" i="117" a="1"/>
  <c r="J10" i="117" s="1"/>
  <c r="I10" i="117" a="1"/>
  <c r="I10" i="117" s="1"/>
  <c r="H10" i="117" a="1"/>
  <c r="H10" i="117" s="1"/>
  <c r="G10" i="117" a="1"/>
  <c r="G10" i="117" s="1"/>
  <c r="F10" i="117" a="1"/>
  <c r="F10" i="117" s="1"/>
  <c r="E10" i="117" a="1"/>
  <c r="E10" i="117" s="1"/>
  <c r="D10" i="117" a="1"/>
  <c r="D10" i="117" s="1"/>
  <c r="K9" i="117" a="1"/>
  <c r="K9" i="117" s="1"/>
  <c r="J9" i="117" a="1"/>
  <c r="J9" i="117" s="1"/>
  <c r="I9" i="117" a="1"/>
  <c r="I9" i="117" s="1"/>
  <c r="H9" i="117" a="1"/>
  <c r="H9" i="117" s="1"/>
  <c r="G9" i="117" a="1"/>
  <c r="G9" i="117" s="1"/>
  <c r="F9" i="117" a="1"/>
  <c r="F9" i="117" s="1"/>
  <c r="E9" i="117" a="1"/>
  <c r="E9" i="117" s="1"/>
  <c r="D9" i="117" a="1"/>
  <c r="D9" i="117" s="1"/>
  <c r="K8" i="117" a="1"/>
  <c r="K8" i="117" s="1"/>
  <c r="J8" i="117" a="1"/>
  <c r="J8" i="117" s="1"/>
  <c r="I8" i="117" a="1"/>
  <c r="I8" i="117" s="1"/>
  <c r="H8" i="117" a="1"/>
  <c r="H8" i="117" s="1"/>
  <c r="G8" i="117" a="1"/>
  <c r="G8" i="117" s="1"/>
  <c r="F8" i="117" a="1"/>
  <c r="F8" i="117" s="1"/>
  <c r="E8" i="117" a="1"/>
  <c r="E8" i="117" s="1"/>
  <c r="D8" i="117" a="1"/>
  <c r="D8" i="117" s="1"/>
  <c r="D5" i="117" a="1"/>
  <c r="D5" i="117" s="1"/>
  <c r="P53" i="116" a="1"/>
  <c r="P53" i="116" s="1"/>
  <c r="F53" i="116" a="1"/>
  <c r="F53" i="116" s="1"/>
  <c r="N50" i="116" a="1"/>
  <c r="N50" i="116" s="1"/>
  <c r="D50" i="116" a="1"/>
  <c r="D50" i="116" s="1"/>
  <c r="N45" i="116"/>
  <c r="D45" i="116"/>
  <c r="J40" i="116"/>
  <c r="J36" i="116" a="1"/>
  <c r="J36" i="116" s="1"/>
  <c r="H36" i="116" a="1"/>
  <c r="H36" i="116" s="1"/>
  <c r="D36" i="116" a="1"/>
  <c r="D36" i="116" s="1"/>
  <c r="E34" i="116" a="1"/>
  <c r="E34" i="116" s="1"/>
  <c r="E33" i="116" a="1"/>
  <c r="E33" i="116" s="1"/>
  <c r="D29" i="116" a="1"/>
  <c r="D29" i="116" s="1"/>
  <c r="D28" i="116" a="1"/>
  <c r="D28" i="116" s="1"/>
  <c r="G25" i="116"/>
  <c r="F25" i="116"/>
  <c r="J19" i="116" a="1"/>
  <c r="J19" i="116" s="1"/>
  <c r="J18" i="116"/>
  <c r="J16" i="116" a="1"/>
  <c r="J16" i="116" s="1"/>
  <c r="J14" i="116" a="1"/>
  <c r="J14" i="116" s="1"/>
  <c r="J13" i="116" a="1"/>
  <c r="J13" i="116" s="1"/>
  <c r="H13" i="116" a="1"/>
  <c r="H13" i="116" s="1"/>
  <c r="D13" i="116" a="1"/>
  <c r="D13" i="116" s="1"/>
  <c r="E11" i="116" a="1"/>
  <c r="E11" i="116" s="1"/>
  <c r="E10" i="116" a="1"/>
  <c r="E10" i="116" s="1"/>
  <c r="D6" i="116" a="1"/>
  <c r="D6" i="116" s="1"/>
  <c r="D5" i="116" a="1"/>
  <c r="D5" i="116" s="1"/>
  <c r="P45" i="115" a="1"/>
  <c r="P45" i="115" s="1"/>
  <c r="F45" i="115" a="1"/>
  <c r="F45" i="115" s="1"/>
  <c r="N42" i="115" a="1"/>
  <c r="N42" i="115" s="1"/>
  <c r="D42" i="115" a="1"/>
  <c r="D42" i="115" s="1"/>
  <c r="P40" i="115" a="1"/>
  <c r="P40" i="115" s="1"/>
  <c r="F40" i="115" a="1"/>
  <c r="F40" i="115" s="1"/>
  <c r="J36" i="115"/>
  <c r="R33" i="115" a="1"/>
  <c r="R33" i="115" s="1"/>
  <c r="N33" i="115" a="1"/>
  <c r="N33" i="115" s="1"/>
  <c r="H33" i="115" a="1"/>
  <c r="H33" i="115" s="1"/>
  <c r="D33" i="115" a="1"/>
  <c r="D33" i="115" s="1"/>
  <c r="O31" i="115" a="1"/>
  <c r="O31" i="115" s="1"/>
  <c r="E31" i="115" a="1"/>
  <c r="E31" i="115" s="1"/>
  <c r="O30" i="115" a="1"/>
  <c r="O30" i="115" s="1"/>
  <c r="E30" i="115" a="1"/>
  <c r="E30" i="115" s="1"/>
  <c r="N26" i="115" a="1"/>
  <c r="N26" i="115" s="1"/>
  <c r="D26" i="115" a="1"/>
  <c r="D26" i="115" s="1"/>
  <c r="N25" i="115" a="1"/>
  <c r="N25" i="115" s="1"/>
  <c r="D25" i="115" a="1"/>
  <c r="D25" i="115" s="1"/>
  <c r="P21" i="115" a="1"/>
  <c r="P21" i="115" s="1"/>
  <c r="F21" i="115" a="1"/>
  <c r="F21" i="115" s="1"/>
  <c r="J19" i="115"/>
  <c r="R13" i="115" a="1"/>
  <c r="R13" i="115" s="1"/>
  <c r="N13" i="115" a="1"/>
  <c r="N13" i="115" s="1"/>
  <c r="J13" i="115"/>
  <c r="H13" i="115" a="1"/>
  <c r="H13" i="115" s="1"/>
  <c r="D13" i="115" a="1"/>
  <c r="D13" i="115" s="1"/>
  <c r="E11" i="115" a="1"/>
  <c r="E11" i="115" s="1"/>
  <c r="E10" i="115" a="1"/>
  <c r="E10" i="115" s="1"/>
  <c r="D6" i="115" a="1"/>
  <c r="D6" i="115" s="1"/>
  <c r="D5" i="115" a="1"/>
  <c r="D5" i="115" s="1"/>
  <c r="E68" i="113" a="1"/>
  <c r="E68" i="113" s="1"/>
  <c r="D68" i="113" a="1"/>
  <c r="D68" i="113" s="1"/>
  <c r="E67" i="113" a="1"/>
  <c r="E67" i="113" s="1"/>
  <c r="D67" i="113" a="1"/>
  <c r="D67" i="113" s="1"/>
  <c r="E66" i="113" a="1"/>
  <c r="E66" i="113" s="1"/>
  <c r="D66" i="113" a="1"/>
  <c r="D66" i="113" s="1"/>
  <c r="E65" i="113" a="1"/>
  <c r="E65" i="113" s="1"/>
  <c r="D65" i="113" a="1"/>
  <c r="D65" i="113" s="1"/>
  <c r="E64" i="113" a="1"/>
  <c r="E64" i="113" s="1"/>
  <c r="D64" i="113" a="1"/>
  <c r="D64" i="113" s="1"/>
  <c r="E63" i="113" a="1"/>
  <c r="E63" i="113" s="1"/>
  <c r="D63" i="113" a="1"/>
  <c r="D63" i="113" s="1"/>
  <c r="E62" i="113" a="1"/>
  <c r="E62" i="113" s="1"/>
  <c r="D62" i="113" a="1"/>
  <c r="D62" i="113" s="1"/>
  <c r="E61" i="113" a="1"/>
  <c r="E61" i="113" s="1"/>
  <c r="D61" i="113" a="1"/>
  <c r="D61" i="113" s="1"/>
  <c r="E60" i="113" a="1"/>
  <c r="E60" i="113" s="1"/>
  <c r="D60" i="113" a="1"/>
  <c r="D60" i="113" s="1"/>
  <c r="E59" i="113" a="1"/>
  <c r="E59" i="113" s="1"/>
  <c r="D59" i="113" a="1"/>
  <c r="D59" i="113" s="1"/>
  <c r="E58" i="113" a="1"/>
  <c r="E58" i="113" s="1"/>
  <c r="D58" i="113" a="1"/>
  <c r="D58" i="113" s="1"/>
  <c r="D56" i="113" a="1"/>
  <c r="D56" i="113" s="1"/>
  <c r="D55" i="113" a="1"/>
  <c r="D55" i="113" s="1"/>
  <c r="D54" i="113" a="1"/>
  <c r="D54" i="113" s="1"/>
  <c r="D53" i="113" a="1"/>
  <c r="D53" i="113" s="1"/>
  <c r="D52" i="113" a="1"/>
  <c r="D52" i="113" s="1"/>
  <c r="G50" i="113" a="1"/>
  <c r="G50" i="113" s="1"/>
  <c r="F50" i="113" a="1"/>
  <c r="F50" i="113" s="1"/>
  <c r="E50" i="113" a="1"/>
  <c r="E50" i="113" s="1"/>
  <c r="O21" i="113" s="1"/>
  <c r="D50" i="113" a="1"/>
  <c r="D50" i="113" s="1"/>
  <c r="G49" i="113" a="1"/>
  <c r="G49" i="113" s="1"/>
  <c r="F49" i="113" a="1"/>
  <c r="F49" i="113" s="1"/>
  <c r="E49" i="113" a="1"/>
  <c r="E49" i="113" s="1"/>
  <c r="O20" i="113" s="1"/>
  <c r="D49" i="113" a="1"/>
  <c r="D49" i="113" s="1"/>
  <c r="G48" i="113" a="1"/>
  <c r="G48" i="113" s="1"/>
  <c r="F48" i="113" a="1"/>
  <c r="F48" i="113" s="1"/>
  <c r="E48" i="113" a="1"/>
  <c r="E48" i="113" s="1"/>
  <c r="O19" i="113" s="1"/>
  <c r="D48" i="113" a="1"/>
  <c r="D48" i="113" s="1"/>
  <c r="G47" i="113" a="1"/>
  <c r="G47" i="113" s="1"/>
  <c r="F47" i="113" a="1"/>
  <c r="F47" i="113" s="1"/>
  <c r="E47" i="113" a="1"/>
  <c r="E47" i="113" s="1"/>
  <c r="O18" i="113" s="1"/>
  <c r="D47" i="113" a="1"/>
  <c r="D47" i="113" s="1"/>
  <c r="G46" i="113" a="1"/>
  <c r="G46" i="113" s="1"/>
  <c r="F46" i="113" a="1"/>
  <c r="F46" i="113" s="1"/>
  <c r="E46" i="113" a="1"/>
  <c r="E46" i="113" s="1"/>
  <c r="O17" i="113" s="1"/>
  <c r="D46" i="113" a="1"/>
  <c r="D46" i="113" s="1"/>
  <c r="G45" i="113" a="1"/>
  <c r="G45" i="113" s="1"/>
  <c r="F45" i="113" a="1"/>
  <c r="F45" i="113" s="1"/>
  <c r="E45" i="113" a="1"/>
  <c r="E45" i="113" s="1"/>
  <c r="D45" i="113" a="1"/>
  <c r="D45" i="113" s="1"/>
  <c r="G44" i="113" a="1"/>
  <c r="G44" i="113" s="1"/>
  <c r="F44" i="113" a="1"/>
  <c r="F44" i="113" s="1"/>
  <c r="E44" i="113" a="1"/>
  <c r="E44" i="113" s="1"/>
  <c r="M21" i="113" s="1"/>
  <c r="D44" i="113" a="1"/>
  <c r="D44" i="113" s="1"/>
  <c r="G43" i="113" a="1"/>
  <c r="G43" i="113" s="1"/>
  <c r="F43" i="113" a="1"/>
  <c r="F43" i="113" s="1"/>
  <c r="E43" i="113" a="1"/>
  <c r="E43" i="113" s="1"/>
  <c r="M20" i="113" s="1"/>
  <c r="D43" i="113" a="1"/>
  <c r="D43" i="113" s="1"/>
  <c r="G42" i="113" a="1"/>
  <c r="G42" i="113" s="1"/>
  <c r="F42" i="113" a="1"/>
  <c r="F42" i="113" s="1"/>
  <c r="E42" i="113" a="1"/>
  <c r="E42" i="113" s="1"/>
  <c r="M19" i="113" s="1"/>
  <c r="D42" i="113" a="1"/>
  <c r="D42" i="113" s="1"/>
  <c r="G41" i="113" a="1"/>
  <c r="G41" i="113" s="1"/>
  <c r="F41" i="113" a="1"/>
  <c r="F41" i="113" s="1"/>
  <c r="E41" i="113" a="1"/>
  <c r="E41" i="113" s="1"/>
  <c r="M18" i="113" s="1"/>
  <c r="D41" i="113" a="1"/>
  <c r="D41" i="113" s="1"/>
  <c r="G40" i="113" a="1"/>
  <c r="G40" i="113" s="1"/>
  <c r="F40" i="113" a="1"/>
  <c r="F40" i="113" s="1"/>
  <c r="E40" i="113" a="1"/>
  <c r="E40" i="113" s="1"/>
  <c r="M17" i="113" s="1"/>
  <c r="D40" i="113" a="1"/>
  <c r="D40" i="113" s="1"/>
  <c r="G39" i="113" a="1"/>
  <c r="G39" i="113" s="1"/>
  <c r="F39" i="113" a="1"/>
  <c r="F39" i="113" s="1"/>
  <c r="E39" i="113" a="1"/>
  <c r="E39" i="113" s="1"/>
  <c r="D39" i="113" a="1"/>
  <c r="D39" i="113" s="1"/>
  <c r="G38" i="113" a="1"/>
  <c r="G38" i="113" s="1"/>
  <c r="F38" i="113" a="1"/>
  <c r="F38" i="113" s="1"/>
  <c r="E38" i="113" a="1"/>
  <c r="E38" i="113" s="1"/>
  <c r="K26" i="113" s="1"/>
  <c r="D38" i="113" a="1"/>
  <c r="D38" i="113" s="1"/>
  <c r="G37" i="113" a="1"/>
  <c r="G37" i="113" s="1"/>
  <c r="F37" i="113" a="1"/>
  <c r="F37" i="113" s="1"/>
  <c r="E37" i="113" a="1"/>
  <c r="E37" i="113" s="1"/>
  <c r="K25" i="113" s="1"/>
  <c r="D37" i="113" a="1"/>
  <c r="D37" i="113" s="1"/>
  <c r="G36" i="113" a="1"/>
  <c r="G36" i="113" s="1"/>
  <c r="F36" i="113" a="1"/>
  <c r="F36" i="113" s="1"/>
  <c r="E36" i="113" a="1"/>
  <c r="E36" i="113" s="1"/>
  <c r="K24" i="113" s="1"/>
  <c r="D36" i="113" a="1"/>
  <c r="D36" i="113" s="1"/>
  <c r="G35" i="113" a="1"/>
  <c r="G35" i="113" s="1"/>
  <c r="F35" i="113" a="1"/>
  <c r="F35" i="113" s="1"/>
  <c r="E35" i="113" a="1"/>
  <c r="E35" i="113" s="1"/>
  <c r="K23" i="113" s="1"/>
  <c r="D35" i="113" a="1"/>
  <c r="D35" i="113" s="1"/>
  <c r="G34" i="113" a="1"/>
  <c r="G34" i="113" s="1"/>
  <c r="F34" i="113" a="1"/>
  <c r="F34" i="113" s="1"/>
  <c r="E34" i="113" a="1"/>
  <c r="E34" i="113" s="1"/>
  <c r="K22" i="113" s="1"/>
  <c r="D34" i="113" a="1"/>
  <c r="D34" i="113" s="1"/>
  <c r="G33" i="113" a="1"/>
  <c r="G33" i="113" s="1"/>
  <c r="F33" i="113" a="1"/>
  <c r="F33" i="113" s="1"/>
  <c r="E33" i="113" a="1"/>
  <c r="E33" i="113" s="1"/>
  <c r="K21" i="113" s="1"/>
  <c r="D33" i="113" a="1"/>
  <c r="D33" i="113" s="1"/>
  <c r="G32" i="113" a="1"/>
  <c r="G32" i="113" s="1"/>
  <c r="F32" i="113" a="1"/>
  <c r="F32" i="113" s="1"/>
  <c r="E32" i="113" a="1"/>
  <c r="E32" i="113" s="1"/>
  <c r="K20" i="113" s="1"/>
  <c r="D32" i="113" a="1"/>
  <c r="D32" i="113" s="1"/>
  <c r="G31" i="113" a="1"/>
  <c r="G31" i="113" s="1"/>
  <c r="F31" i="113" a="1"/>
  <c r="F31" i="113" s="1"/>
  <c r="E31" i="113" a="1"/>
  <c r="E31" i="113" s="1"/>
  <c r="K19" i="113" s="1"/>
  <c r="D31" i="113" a="1"/>
  <c r="D31" i="113" s="1"/>
  <c r="G30" i="113" a="1"/>
  <c r="G30" i="113" s="1"/>
  <c r="F30" i="113" a="1"/>
  <c r="F30" i="113" s="1"/>
  <c r="E30" i="113" a="1"/>
  <c r="E30" i="113" s="1"/>
  <c r="K18" i="113" s="1"/>
  <c r="D30" i="113" a="1"/>
  <c r="D30" i="113" s="1"/>
  <c r="G29" i="113" a="1"/>
  <c r="G29" i="113" s="1"/>
  <c r="F29" i="113" a="1"/>
  <c r="F29" i="113" s="1"/>
  <c r="E29" i="113" a="1"/>
  <c r="E29" i="113" s="1"/>
  <c r="K17" i="113" s="1"/>
  <c r="D29" i="113" a="1"/>
  <c r="D29" i="113" s="1"/>
  <c r="G28" i="113" a="1"/>
  <c r="G28" i="113" s="1"/>
  <c r="F28" i="113" a="1"/>
  <c r="F28" i="113" s="1"/>
  <c r="E28" i="113" a="1"/>
  <c r="E28" i="113" s="1"/>
  <c r="D28" i="113" a="1"/>
  <c r="D28" i="113" s="1"/>
  <c r="G27" i="113" a="1"/>
  <c r="G27" i="113" s="1"/>
  <c r="F27" i="113" a="1"/>
  <c r="F27" i="113" s="1"/>
  <c r="E27" i="113" a="1"/>
  <c r="E27" i="113" s="1"/>
  <c r="I27" i="113" s="1"/>
  <c r="D27" i="113" a="1"/>
  <c r="D27" i="113" s="1"/>
  <c r="G26" i="113" a="1"/>
  <c r="G26" i="113" s="1"/>
  <c r="F26" i="113" a="1"/>
  <c r="F26" i="113" s="1"/>
  <c r="E26" i="113" a="1"/>
  <c r="E26" i="113" s="1"/>
  <c r="I26" i="113" s="1"/>
  <c r="D26" i="113" a="1"/>
  <c r="D26" i="113" s="1"/>
  <c r="G25" i="113" a="1"/>
  <c r="G25" i="113" s="1"/>
  <c r="F25" i="113" a="1"/>
  <c r="F25" i="113" s="1"/>
  <c r="E25" i="113" a="1"/>
  <c r="E25" i="113" s="1"/>
  <c r="I25" i="113" s="1"/>
  <c r="D25" i="113" a="1"/>
  <c r="D25" i="113" s="1"/>
  <c r="G24" i="113" a="1"/>
  <c r="G24" i="113" s="1"/>
  <c r="F24" i="113" a="1"/>
  <c r="F24" i="113" s="1"/>
  <c r="E24" i="113" a="1"/>
  <c r="E24" i="113" s="1"/>
  <c r="I24" i="113" s="1"/>
  <c r="D24" i="113" a="1"/>
  <c r="D24" i="113" s="1"/>
  <c r="G23" i="113" a="1"/>
  <c r="G23" i="113" s="1"/>
  <c r="F23" i="113" a="1"/>
  <c r="F23" i="113" s="1"/>
  <c r="E23" i="113" a="1"/>
  <c r="E23" i="113" s="1"/>
  <c r="I23" i="113" s="1"/>
  <c r="D23" i="113" a="1"/>
  <c r="D23" i="113" s="1"/>
  <c r="G22" i="113" a="1"/>
  <c r="G22" i="113" s="1"/>
  <c r="F22" i="113" a="1"/>
  <c r="F22" i="113" s="1"/>
  <c r="E22" i="113" a="1"/>
  <c r="E22" i="113" s="1"/>
  <c r="I22" i="113" s="1"/>
  <c r="D22" i="113" a="1"/>
  <c r="D22" i="113" s="1"/>
  <c r="G21" i="113" a="1"/>
  <c r="G21" i="113" s="1"/>
  <c r="F21" i="113" a="1"/>
  <c r="F21" i="113" s="1"/>
  <c r="E21" i="113" a="1"/>
  <c r="E21" i="113" s="1"/>
  <c r="I21" i="113" s="1"/>
  <c r="D21" i="113" a="1"/>
  <c r="D21" i="113" s="1"/>
  <c r="G20" i="113" a="1"/>
  <c r="G20" i="113" s="1"/>
  <c r="F20" i="113" a="1"/>
  <c r="F20" i="113" s="1"/>
  <c r="E20" i="113" a="1"/>
  <c r="E20" i="113" s="1"/>
  <c r="I20" i="113" s="1"/>
  <c r="D20" i="113" a="1"/>
  <c r="D20" i="113" s="1"/>
  <c r="G19" i="113" a="1"/>
  <c r="G19" i="113" s="1"/>
  <c r="F19" i="113" a="1"/>
  <c r="F19" i="113" s="1"/>
  <c r="E19" i="113" a="1"/>
  <c r="E19" i="113" s="1"/>
  <c r="I19" i="113" s="1"/>
  <c r="D19" i="113" a="1"/>
  <c r="D19" i="113" s="1"/>
  <c r="G18" i="113" a="1"/>
  <c r="G18" i="113" s="1"/>
  <c r="F18" i="113" a="1"/>
  <c r="F18" i="113" s="1"/>
  <c r="E18" i="113" a="1"/>
  <c r="E18" i="113" s="1"/>
  <c r="I18" i="113" s="1"/>
  <c r="D18" i="113" a="1"/>
  <c r="D18" i="113" s="1"/>
  <c r="G17" i="113" a="1"/>
  <c r="G17" i="113" s="1"/>
  <c r="F17" i="113" a="1"/>
  <c r="F17" i="113" s="1"/>
  <c r="E17" i="113" a="1"/>
  <c r="E17" i="113" s="1"/>
  <c r="E116" i="112" s="1" a="1"/>
  <c r="E116" i="112" s="1"/>
  <c r="D17" i="113" a="1"/>
  <c r="D17" i="113" s="1"/>
  <c r="D15" i="113" a="1"/>
  <c r="D15" i="113" s="1"/>
  <c r="D14" i="113" a="1"/>
  <c r="D14" i="113" s="1"/>
  <c r="D7" i="113" a="1"/>
  <c r="D7" i="113" s="1"/>
  <c r="D6" i="113" a="1"/>
  <c r="D6" i="113" s="1"/>
  <c r="D5" i="113" a="1"/>
  <c r="D5" i="113" s="1"/>
  <c r="H185" i="112"/>
  <c r="H179" i="112"/>
  <c r="H168" i="112"/>
  <c r="H144" i="112"/>
  <c r="H138" i="112"/>
  <c r="H127" i="112"/>
  <c r="H105" i="112" a="1"/>
  <c r="H105" i="112" s="1"/>
  <c r="D105" i="112" a="1"/>
  <c r="D105" i="112" s="1"/>
  <c r="E103" i="112" a="1"/>
  <c r="E103" i="112" s="1"/>
  <c r="E102" i="112" a="1"/>
  <c r="E102" i="112" s="1"/>
  <c r="D98" i="112" a="1"/>
  <c r="D98" i="112" s="1"/>
  <c r="D97" i="112" a="1"/>
  <c r="D97" i="112" s="1"/>
  <c r="D96" i="112" a="1"/>
  <c r="D96" i="112" s="1"/>
  <c r="J16" i="112" a="1"/>
  <c r="J16" i="112" s="1"/>
  <c r="I16" i="112" a="1"/>
  <c r="I16" i="112" s="1"/>
  <c r="J15" i="112" a="1"/>
  <c r="J15" i="112" s="1"/>
  <c r="I15" i="112" a="1"/>
  <c r="I15" i="112" s="1"/>
  <c r="J14" i="112" a="1"/>
  <c r="J14" i="112" s="1"/>
  <c r="I14" i="112" a="1"/>
  <c r="I14" i="112" s="1"/>
  <c r="J13" i="112" a="1"/>
  <c r="J13" i="112" s="1"/>
  <c r="I13" i="112" a="1"/>
  <c r="I13" i="112" s="1"/>
  <c r="G13" i="112" a="1"/>
  <c r="G13" i="112" s="1"/>
  <c r="D13" i="112" a="1"/>
  <c r="D13" i="112" s="1"/>
  <c r="E11" i="112" a="1"/>
  <c r="E11" i="112" s="1"/>
  <c r="E10" i="112" a="1"/>
  <c r="E10" i="112" s="1"/>
  <c r="D6" i="112" a="1"/>
  <c r="D6" i="112" s="1"/>
  <c r="D5" i="112" a="1"/>
  <c r="D5" i="112" s="1"/>
  <c r="E174" i="110" a="1"/>
  <c r="E174" i="110" s="1"/>
  <c r="D174" i="110" a="1"/>
  <c r="D174" i="110" s="1"/>
  <c r="E173" i="110" a="1"/>
  <c r="E173" i="110" s="1"/>
  <c r="D173" i="110" a="1"/>
  <c r="D173" i="110" s="1"/>
  <c r="E172" i="110" a="1"/>
  <c r="E172" i="110" s="1"/>
  <c r="D172" i="110" a="1"/>
  <c r="D172" i="110" s="1"/>
  <c r="E171" i="110" a="1"/>
  <c r="E171" i="110" s="1"/>
  <c r="D171" i="110" a="1"/>
  <c r="D171" i="110" s="1"/>
  <c r="E170" i="110" a="1"/>
  <c r="E170" i="110" s="1"/>
  <c r="D170" i="110" a="1"/>
  <c r="D170" i="110" s="1"/>
  <c r="E169" i="110" a="1"/>
  <c r="E169" i="110" s="1"/>
  <c r="D169" i="110" a="1"/>
  <c r="D169" i="110" s="1"/>
  <c r="E168" i="110" a="1"/>
  <c r="E168" i="110" s="1"/>
  <c r="D168" i="110" a="1"/>
  <c r="D168" i="110" s="1"/>
  <c r="D165" i="110" a="1"/>
  <c r="D165" i="110" s="1"/>
  <c r="D164" i="110" a="1"/>
  <c r="D164" i="110" s="1"/>
  <c r="F102" i="110" a="1"/>
  <c r="F102" i="110" s="1"/>
  <c r="E102" i="110" a="1"/>
  <c r="E102" i="110" s="1"/>
  <c r="D102" i="110" a="1"/>
  <c r="D102" i="110" s="1"/>
  <c r="D161" i="110" s="1"/>
  <c r="F101" i="110" a="1"/>
  <c r="F101" i="110" s="1"/>
  <c r="E101" i="110" a="1"/>
  <c r="E101" i="110" s="1"/>
  <c r="D101" i="110" a="1"/>
  <c r="D101" i="110" s="1"/>
  <c r="D160" i="110" s="1"/>
  <c r="F100" i="110" a="1"/>
  <c r="F100" i="110" s="1"/>
  <c r="E100" i="110" a="1"/>
  <c r="E100" i="110" s="1"/>
  <c r="D100" i="110" a="1"/>
  <c r="D100" i="110" s="1"/>
  <c r="D159" i="110" s="1"/>
  <c r="F99" i="110" a="1"/>
  <c r="F99" i="110" s="1"/>
  <c r="E99" i="110" a="1"/>
  <c r="E99" i="110" s="1"/>
  <c r="D99" i="110" a="1"/>
  <c r="D99" i="110" s="1"/>
  <c r="D158" i="110" s="1"/>
  <c r="F98" i="110" a="1"/>
  <c r="F98" i="110" s="1"/>
  <c r="L157" i="110" s="1" a="1"/>
  <c r="L157" i="110" s="1"/>
  <c r="E98" i="110" a="1"/>
  <c r="E98" i="110" s="1"/>
  <c r="D98" i="110" a="1"/>
  <c r="D98" i="110" s="1"/>
  <c r="D157" i="110" s="1"/>
  <c r="F97" i="110" a="1"/>
  <c r="F97" i="110" s="1"/>
  <c r="E97" i="110" a="1"/>
  <c r="E97" i="110" s="1"/>
  <c r="D97" i="110" a="1"/>
  <c r="D97" i="110" s="1"/>
  <c r="D156" i="110" s="1"/>
  <c r="F96" i="110" a="1"/>
  <c r="F96" i="110" s="1"/>
  <c r="E96" i="110" a="1"/>
  <c r="E96" i="110" s="1"/>
  <c r="D96" i="110" a="1"/>
  <c r="D96" i="110" s="1"/>
  <c r="D155" i="110" s="1"/>
  <c r="F95" i="110" a="1"/>
  <c r="F95" i="110" s="1"/>
  <c r="E95" i="110" a="1"/>
  <c r="E95" i="110" s="1"/>
  <c r="E154" i="110" s="1" a="1"/>
  <c r="E154" i="110" s="1"/>
  <c r="D95" i="110" a="1"/>
  <c r="D95" i="110" s="1"/>
  <c r="D154" i="110" s="1"/>
  <c r="F94" i="110" a="1"/>
  <c r="F94" i="110" s="1"/>
  <c r="E94" i="110" a="1"/>
  <c r="E94" i="110" s="1"/>
  <c r="D94" i="110" a="1"/>
  <c r="D94" i="110" s="1"/>
  <c r="D153" i="110" s="1"/>
  <c r="F93" i="110" a="1"/>
  <c r="F93" i="110" s="1"/>
  <c r="E93" i="110" a="1"/>
  <c r="E93" i="110" s="1"/>
  <c r="E152" i="110" s="1" a="1"/>
  <c r="E152" i="110" s="1"/>
  <c r="D93" i="110" a="1"/>
  <c r="D93" i="110" s="1"/>
  <c r="D152" i="110" s="1"/>
  <c r="F92" i="110" a="1"/>
  <c r="F92" i="110" s="1"/>
  <c r="E92" i="110" a="1"/>
  <c r="E92" i="110" s="1"/>
  <c r="G151" i="110" s="1" a="1"/>
  <c r="G151" i="110" s="1"/>
  <c r="D92" i="110" a="1"/>
  <c r="D92" i="110" s="1"/>
  <c r="D151" i="110" s="1"/>
  <c r="F91" i="110" a="1"/>
  <c r="F91" i="110" s="1"/>
  <c r="E91" i="110" a="1"/>
  <c r="E91" i="110" s="1"/>
  <c r="D91" i="110" a="1"/>
  <c r="D91" i="110" s="1"/>
  <c r="D150" i="110" s="1"/>
  <c r="F90" i="110" a="1"/>
  <c r="F90" i="110" s="1"/>
  <c r="E90" i="110" a="1"/>
  <c r="E90" i="110" s="1"/>
  <c r="D90" i="110" a="1"/>
  <c r="D90" i="110" s="1"/>
  <c r="D149" i="110" s="1"/>
  <c r="F89" i="110" a="1"/>
  <c r="F89" i="110" s="1"/>
  <c r="E89" i="110" a="1"/>
  <c r="E89" i="110" s="1"/>
  <c r="D89" i="110" a="1"/>
  <c r="D89" i="110" s="1"/>
  <c r="D148" i="110" s="1"/>
  <c r="F88" i="110" a="1"/>
  <c r="F88" i="110" s="1"/>
  <c r="E88" i="110" a="1"/>
  <c r="E88" i="110" s="1"/>
  <c r="D88" i="110" a="1"/>
  <c r="D88" i="110" s="1"/>
  <c r="D147" i="110" s="1"/>
  <c r="F87" i="110" a="1"/>
  <c r="F87" i="110" s="1"/>
  <c r="E87" i="110" a="1"/>
  <c r="E87" i="110" s="1"/>
  <c r="H146" i="110" s="1" a="1"/>
  <c r="H146" i="110" s="1"/>
  <c r="D87" i="110" a="1"/>
  <c r="D87" i="110" s="1"/>
  <c r="D146" i="110" s="1"/>
  <c r="F86" i="110" a="1"/>
  <c r="F86" i="110" s="1"/>
  <c r="E86" i="110" a="1"/>
  <c r="E86" i="110" s="1"/>
  <c r="D86" i="110" a="1"/>
  <c r="D86" i="110" s="1"/>
  <c r="D145" i="110" s="1"/>
  <c r="F85" i="110" a="1"/>
  <c r="F85" i="110" s="1"/>
  <c r="E85" i="110" a="1"/>
  <c r="E85" i="110" s="1"/>
  <c r="D85" i="110" a="1"/>
  <c r="D85" i="110" s="1"/>
  <c r="D144" i="110" s="1"/>
  <c r="F84" i="110" a="1"/>
  <c r="F84" i="110" s="1"/>
  <c r="E84" i="110" a="1"/>
  <c r="E84" i="110" s="1"/>
  <c r="D84" i="110" a="1"/>
  <c r="D84" i="110" s="1"/>
  <c r="D143" i="110" s="1"/>
  <c r="F83" i="110" a="1"/>
  <c r="F83" i="110" s="1"/>
  <c r="E83" i="110" a="1"/>
  <c r="E83" i="110" s="1"/>
  <c r="D83" i="110" a="1"/>
  <c r="D83" i="110" s="1"/>
  <c r="D142" i="110" s="1"/>
  <c r="F82" i="110" a="1"/>
  <c r="F82" i="110" s="1"/>
  <c r="E82" i="110" a="1"/>
  <c r="E82" i="110" s="1"/>
  <c r="D82" i="110" a="1"/>
  <c r="D82" i="110" s="1"/>
  <c r="D141" i="110" s="1"/>
  <c r="F81" i="110" a="1"/>
  <c r="F81" i="110" s="1"/>
  <c r="E81" i="110" a="1"/>
  <c r="E81" i="110" s="1"/>
  <c r="D81" i="110" a="1"/>
  <c r="D81" i="110" s="1"/>
  <c r="D140" i="110" s="1"/>
  <c r="F80" i="110" a="1"/>
  <c r="F80" i="110" s="1"/>
  <c r="E80" i="110" a="1"/>
  <c r="E80" i="110" s="1"/>
  <c r="D80" i="110" a="1"/>
  <c r="D80" i="110" s="1"/>
  <c r="D139" i="110" s="1"/>
  <c r="F79" i="110" a="1"/>
  <c r="F79" i="110" s="1"/>
  <c r="E79" i="110" a="1"/>
  <c r="E79" i="110" s="1"/>
  <c r="D79" i="110" a="1"/>
  <c r="D79" i="110" s="1"/>
  <c r="D138" i="110" s="1"/>
  <c r="F78" i="110" a="1"/>
  <c r="F78" i="110" s="1"/>
  <c r="E78" i="110" a="1"/>
  <c r="E78" i="110" s="1"/>
  <c r="D78" i="110" a="1"/>
  <c r="D78" i="110" s="1"/>
  <c r="D137" i="110" s="1"/>
  <c r="F77" i="110" a="1"/>
  <c r="F77" i="110" s="1"/>
  <c r="E77" i="110" a="1"/>
  <c r="E77" i="110" s="1"/>
  <c r="D77" i="110" a="1"/>
  <c r="D77" i="110" s="1"/>
  <c r="D136" i="110" s="1"/>
  <c r="F76" i="110" a="1"/>
  <c r="F76" i="110" s="1"/>
  <c r="E76" i="110" a="1"/>
  <c r="E76" i="110" s="1"/>
  <c r="G135" i="110" s="1" a="1"/>
  <c r="G135" i="110" s="1"/>
  <c r="D76" i="110" a="1"/>
  <c r="D76" i="110" s="1"/>
  <c r="D135" i="110" s="1"/>
  <c r="F75" i="110" a="1"/>
  <c r="F75" i="110" s="1"/>
  <c r="E75" i="110" a="1"/>
  <c r="E75" i="110" s="1"/>
  <c r="D75" i="110" a="1"/>
  <c r="D75" i="110" s="1"/>
  <c r="D134" i="110" s="1"/>
  <c r="F74" i="110" a="1"/>
  <c r="F74" i="110" s="1"/>
  <c r="E74" i="110" a="1"/>
  <c r="E74" i="110" s="1"/>
  <c r="D74" i="110" a="1"/>
  <c r="D74" i="110" s="1"/>
  <c r="D133" i="110" s="1"/>
  <c r="F73" i="110" a="1"/>
  <c r="F73" i="110" s="1"/>
  <c r="E73" i="110" a="1"/>
  <c r="E73" i="110" s="1"/>
  <c r="D73" i="110" a="1"/>
  <c r="D73" i="110" s="1"/>
  <c r="D132" i="110" s="1"/>
  <c r="F72" i="110" a="1"/>
  <c r="F72" i="110" s="1"/>
  <c r="E72" i="110" a="1"/>
  <c r="E72" i="110" s="1"/>
  <c r="D72" i="110" a="1"/>
  <c r="D72" i="110" s="1"/>
  <c r="D131" i="110" s="1"/>
  <c r="F71" i="110" a="1"/>
  <c r="F71" i="110" s="1"/>
  <c r="E71" i="110" a="1"/>
  <c r="E71" i="110" s="1"/>
  <c r="H130" i="110" s="1" a="1"/>
  <c r="H130" i="110" s="1"/>
  <c r="D71" i="110" a="1"/>
  <c r="D71" i="110" s="1"/>
  <c r="D130" i="110" s="1"/>
  <c r="F70" i="110" a="1"/>
  <c r="F70" i="110" s="1"/>
  <c r="E70" i="110" a="1"/>
  <c r="E70" i="110" s="1"/>
  <c r="D70" i="110" a="1"/>
  <c r="D70" i="110" s="1"/>
  <c r="D129" i="110" s="1"/>
  <c r="F69" i="110" a="1"/>
  <c r="F69" i="110" s="1"/>
  <c r="E69" i="110" a="1"/>
  <c r="E69" i="110" s="1"/>
  <c r="D69" i="110" a="1"/>
  <c r="D69" i="110" s="1"/>
  <c r="D128" i="110" s="1"/>
  <c r="F68" i="110" a="1"/>
  <c r="F68" i="110" s="1"/>
  <c r="E68" i="110" a="1"/>
  <c r="E68" i="110" s="1"/>
  <c r="D68" i="110" a="1"/>
  <c r="D68" i="110" s="1"/>
  <c r="D127" i="110" s="1"/>
  <c r="F67" i="110" a="1"/>
  <c r="F67" i="110" s="1"/>
  <c r="E67" i="110" a="1"/>
  <c r="E67" i="110" s="1"/>
  <c r="D67" i="110" a="1"/>
  <c r="D67" i="110" s="1"/>
  <c r="D126" i="110" s="1"/>
  <c r="F66" i="110" a="1"/>
  <c r="F66" i="110" s="1"/>
  <c r="E66" i="110" a="1"/>
  <c r="E66" i="110" s="1"/>
  <c r="F125" i="110" s="1" a="1"/>
  <c r="F125" i="110" s="1"/>
  <c r="D66" i="110" a="1"/>
  <c r="D66" i="110" s="1"/>
  <c r="D125" i="110" s="1"/>
  <c r="F65" i="110" a="1"/>
  <c r="F65" i="110" s="1"/>
  <c r="E65" i="110" a="1"/>
  <c r="E65" i="110" s="1"/>
  <c r="D65" i="110" a="1"/>
  <c r="D65" i="110" s="1"/>
  <c r="D124" i="110" s="1"/>
  <c r="F64" i="110" a="1"/>
  <c r="F64" i="110" s="1"/>
  <c r="E64" i="110" a="1"/>
  <c r="E64" i="110" s="1"/>
  <c r="D64" i="110" a="1"/>
  <c r="D64" i="110" s="1"/>
  <c r="D123" i="110" s="1"/>
  <c r="F63" i="110" a="1"/>
  <c r="F63" i="110" s="1"/>
  <c r="E63" i="110" a="1"/>
  <c r="E63" i="110" s="1"/>
  <c r="D63" i="110" a="1"/>
  <c r="D63" i="110" s="1"/>
  <c r="D122" i="110" s="1"/>
  <c r="F62" i="110" a="1"/>
  <c r="F62" i="110" s="1"/>
  <c r="E62" i="110" a="1"/>
  <c r="E62" i="110" s="1"/>
  <c r="D62" i="110" a="1"/>
  <c r="D62" i="110" s="1"/>
  <c r="D121" i="110" s="1"/>
  <c r="F61" i="110" a="1"/>
  <c r="F61" i="110" s="1"/>
  <c r="E61" i="110" a="1"/>
  <c r="E61" i="110" s="1"/>
  <c r="D61" i="110" a="1"/>
  <c r="D61" i="110" s="1"/>
  <c r="D120" i="110" s="1"/>
  <c r="F60" i="110" a="1"/>
  <c r="F60" i="110" s="1"/>
  <c r="E60" i="110" a="1"/>
  <c r="E60" i="110" s="1"/>
  <c r="D60" i="110" a="1"/>
  <c r="D60" i="110" s="1"/>
  <c r="D119" i="110" s="1"/>
  <c r="F59" i="110" a="1"/>
  <c r="F59" i="110" s="1"/>
  <c r="E59" i="110" a="1"/>
  <c r="E59" i="110" s="1"/>
  <c r="D59" i="110" a="1"/>
  <c r="D59" i="110" s="1"/>
  <c r="D118" i="110" s="1"/>
  <c r="F58" i="110" a="1"/>
  <c r="F58" i="110" s="1"/>
  <c r="E58" i="110" a="1"/>
  <c r="E58" i="110" s="1"/>
  <c r="D58" i="110" a="1"/>
  <c r="D58" i="110" s="1"/>
  <c r="D117" i="110" s="1"/>
  <c r="F57" i="110" a="1"/>
  <c r="F57" i="110" s="1"/>
  <c r="E57" i="110" a="1"/>
  <c r="E57" i="110" s="1"/>
  <c r="H116" i="110" s="1" a="1"/>
  <c r="H116" i="110" s="1"/>
  <c r="D57" i="110" a="1"/>
  <c r="D57" i="110" s="1"/>
  <c r="D116" i="110" s="1"/>
  <c r="F56" i="110" a="1"/>
  <c r="F56" i="110" s="1"/>
  <c r="E56" i="110" a="1"/>
  <c r="E56" i="110" s="1"/>
  <c r="G115" i="110" s="1" a="1"/>
  <c r="G115" i="110" s="1"/>
  <c r="D56" i="110" a="1"/>
  <c r="D56" i="110" s="1"/>
  <c r="D115" i="110" s="1"/>
  <c r="F55" i="110" a="1"/>
  <c r="F55" i="110" s="1"/>
  <c r="E55" i="110" a="1"/>
  <c r="E55" i="110" s="1"/>
  <c r="D55" i="110" a="1"/>
  <c r="D55" i="110" s="1"/>
  <c r="D114" i="110" s="1"/>
  <c r="F54" i="110" a="1"/>
  <c r="F54" i="110" s="1"/>
  <c r="E54" i="110" a="1"/>
  <c r="E54" i="110" s="1"/>
  <c r="F113" i="110" s="1" a="1"/>
  <c r="F113" i="110" s="1"/>
  <c r="D54" i="110" a="1"/>
  <c r="D54" i="110" s="1"/>
  <c r="D113" i="110" s="1"/>
  <c r="F53" i="110" a="1"/>
  <c r="F53" i="110" s="1"/>
  <c r="E53" i="110" a="1"/>
  <c r="E53" i="110" s="1"/>
  <c r="D53" i="110" a="1"/>
  <c r="D53" i="110" s="1"/>
  <c r="D51" i="110" a="1"/>
  <c r="D51" i="110" s="1"/>
  <c r="D50" i="110" a="1"/>
  <c r="D50" i="110" s="1"/>
  <c r="D49" i="110" a="1"/>
  <c r="D49" i="110" s="1"/>
  <c r="H46" i="110" a="1"/>
  <c r="H46" i="110" s="1"/>
  <c r="G46" i="110" a="1"/>
  <c r="G46" i="110" s="1"/>
  <c r="F46" i="110" a="1"/>
  <c r="F46" i="110" s="1"/>
  <c r="E46" i="110" a="1"/>
  <c r="E46" i="110" s="1"/>
  <c r="D46" i="110" a="1"/>
  <c r="D46" i="110" s="1"/>
  <c r="H45" i="110" a="1"/>
  <c r="H45" i="110" s="1"/>
  <c r="G45" i="110" a="1"/>
  <c r="G45" i="110" s="1"/>
  <c r="F45" i="110" a="1"/>
  <c r="F45" i="110" s="1"/>
  <c r="E45" i="110" a="1"/>
  <c r="E45" i="110" s="1"/>
  <c r="D45" i="110" a="1"/>
  <c r="D45" i="110" s="1"/>
  <c r="H44" i="110" a="1"/>
  <c r="H44" i="110" s="1"/>
  <c r="G44" i="110" a="1"/>
  <c r="G44" i="110" s="1"/>
  <c r="F44" i="110" a="1"/>
  <c r="F44" i="110" s="1"/>
  <c r="E44" i="110" a="1"/>
  <c r="E44" i="110" s="1"/>
  <c r="D44" i="110" a="1"/>
  <c r="D44" i="110" s="1"/>
  <c r="H43" i="110" a="1"/>
  <c r="H43" i="110" s="1"/>
  <c r="G43" i="110" a="1"/>
  <c r="G43" i="110" s="1"/>
  <c r="F43" i="110" a="1"/>
  <c r="F43" i="110" s="1"/>
  <c r="E43" i="110" a="1"/>
  <c r="E43" i="110" s="1"/>
  <c r="D43" i="110" a="1"/>
  <c r="D43" i="110" s="1"/>
  <c r="H42" i="110" a="1"/>
  <c r="H42" i="110" s="1"/>
  <c r="G42" i="110" a="1"/>
  <c r="G42" i="110" s="1"/>
  <c r="F42" i="110" a="1"/>
  <c r="F42" i="110" s="1"/>
  <c r="E42" i="110" a="1"/>
  <c r="E42" i="110" s="1"/>
  <c r="D42" i="110" a="1"/>
  <c r="D42" i="110" s="1"/>
  <c r="H41" i="110" a="1"/>
  <c r="H41" i="110" s="1"/>
  <c r="G41" i="110" a="1"/>
  <c r="G41" i="110" s="1"/>
  <c r="F41" i="110" a="1"/>
  <c r="F41" i="110" s="1"/>
  <c r="E41" i="110" a="1"/>
  <c r="E41" i="110" s="1"/>
  <c r="D41" i="110" a="1"/>
  <c r="D41" i="110" s="1"/>
  <c r="H40" i="110" a="1"/>
  <c r="H40" i="110" s="1"/>
  <c r="G40" i="110" a="1"/>
  <c r="G40" i="110" s="1"/>
  <c r="F40" i="110" a="1"/>
  <c r="F40" i="110" s="1"/>
  <c r="E40" i="110" a="1"/>
  <c r="E40" i="110" s="1"/>
  <c r="D40" i="110" a="1"/>
  <c r="D40" i="110" s="1"/>
  <c r="H39" i="110" a="1"/>
  <c r="H39" i="110" s="1"/>
  <c r="G39" i="110" a="1"/>
  <c r="G39" i="110" s="1"/>
  <c r="F39" i="110" a="1"/>
  <c r="F39" i="110" s="1"/>
  <c r="E39" i="110" a="1"/>
  <c r="E39" i="110" s="1"/>
  <c r="D39" i="110" a="1"/>
  <c r="D39" i="110" s="1"/>
  <c r="H38" i="110" a="1"/>
  <c r="H38" i="110" s="1"/>
  <c r="G38" i="110" a="1"/>
  <c r="G38" i="110" s="1"/>
  <c r="F38" i="110" a="1"/>
  <c r="F38" i="110" s="1"/>
  <c r="E38" i="110" a="1"/>
  <c r="E38" i="110" s="1"/>
  <c r="D38" i="110" a="1"/>
  <c r="D38" i="110" s="1"/>
  <c r="H37" i="110" a="1"/>
  <c r="H37" i="110" s="1"/>
  <c r="G37" i="110" a="1"/>
  <c r="G37" i="110" s="1"/>
  <c r="F37" i="110" a="1"/>
  <c r="F37" i="110" s="1"/>
  <c r="E37" i="110" a="1"/>
  <c r="E37" i="110" s="1"/>
  <c r="D37" i="110" a="1"/>
  <c r="D37" i="110" s="1"/>
  <c r="H36" i="110" a="1"/>
  <c r="H36" i="110" s="1"/>
  <c r="G36" i="110" a="1"/>
  <c r="G36" i="110" s="1"/>
  <c r="F36" i="110" a="1"/>
  <c r="F36" i="110" s="1"/>
  <c r="E36" i="110" a="1"/>
  <c r="E36" i="110" s="1"/>
  <c r="D36" i="110" a="1"/>
  <c r="D36" i="110" s="1"/>
  <c r="H35" i="110" a="1"/>
  <c r="H35" i="110" s="1"/>
  <c r="G35" i="110" a="1"/>
  <c r="G35" i="110" s="1"/>
  <c r="F35" i="110" a="1"/>
  <c r="F35" i="110" s="1"/>
  <c r="E35" i="110" a="1"/>
  <c r="E35" i="110" s="1"/>
  <c r="D35" i="110" a="1"/>
  <c r="D35" i="110" s="1"/>
  <c r="H34" i="110" a="1"/>
  <c r="H34" i="110" s="1"/>
  <c r="G34" i="110" a="1"/>
  <c r="G34" i="110" s="1"/>
  <c r="F34" i="110" a="1"/>
  <c r="F34" i="110" s="1"/>
  <c r="E34" i="110" a="1"/>
  <c r="E34" i="110" s="1"/>
  <c r="D34" i="110" a="1"/>
  <c r="D34" i="110" s="1"/>
  <c r="H33" i="110" a="1"/>
  <c r="H33" i="110" s="1"/>
  <c r="G33" i="110" a="1"/>
  <c r="G33" i="110" s="1"/>
  <c r="F33" i="110" a="1"/>
  <c r="F33" i="110" s="1"/>
  <c r="E33" i="110" a="1"/>
  <c r="E33" i="110" s="1"/>
  <c r="D33" i="110" a="1"/>
  <c r="D33" i="110" s="1"/>
  <c r="H32" i="110" a="1"/>
  <c r="H32" i="110" s="1"/>
  <c r="G32" i="110" a="1"/>
  <c r="G32" i="110" s="1"/>
  <c r="F32" i="110" a="1"/>
  <c r="F32" i="110" s="1"/>
  <c r="E32" i="110" a="1"/>
  <c r="E32" i="110" s="1"/>
  <c r="D32" i="110" a="1"/>
  <c r="D32" i="110" s="1"/>
  <c r="H31" i="110" a="1"/>
  <c r="H31" i="110" s="1"/>
  <c r="G31" i="110" a="1"/>
  <c r="G31" i="110" s="1"/>
  <c r="F31" i="110" a="1"/>
  <c r="F31" i="110" s="1"/>
  <c r="E31" i="110" a="1"/>
  <c r="E31" i="110" s="1"/>
  <c r="D31" i="110" a="1"/>
  <c r="D31" i="110" s="1"/>
  <c r="H30" i="110" a="1"/>
  <c r="H30" i="110" s="1"/>
  <c r="G30" i="110" a="1"/>
  <c r="G30" i="110" s="1"/>
  <c r="F30" i="110" a="1"/>
  <c r="F30" i="110" s="1"/>
  <c r="E30" i="110" a="1"/>
  <c r="E30" i="110" s="1"/>
  <c r="D30" i="110" a="1"/>
  <c r="D30" i="110" s="1"/>
  <c r="H29" i="110" a="1"/>
  <c r="H29" i="110" s="1"/>
  <c r="G29" i="110" a="1"/>
  <c r="G29" i="110" s="1"/>
  <c r="F29" i="110" a="1"/>
  <c r="F29" i="110" s="1"/>
  <c r="E29" i="110" a="1"/>
  <c r="E29" i="110" s="1"/>
  <c r="D29" i="110" a="1"/>
  <c r="D29" i="110" s="1"/>
  <c r="H28" i="110" a="1"/>
  <c r="H28" i="110" s="1"/>
  <c r="G28" i="110" a="1"/>
  <c r="G28" i="110" s="1"/>
  <c r="F28" i="110" a="1"/>
  <c r="F28" i="110" s="1"/>
  <c r="E28" i="110" a="1"/>
  <c r="E28" i="110" s="1"/>
  <c r="D28" i="110" a="1"/>
  <c r="D28" i="110" s="1"/>
  <c r="H27" i="110" a="1"/>
  <c r="H27" i="110" s="1"/>
  <c r="G27" i="110" a="1"/>
  <c r="G27" i="110" s="1"/>
  <c r="F27" i="110" a="1"/>
  <c r="F27" i="110" s="1"/>
  <c r="E27" i="110" a="1"/>
  <c r="E27" i="110" s="1"/>
  <c r="D27" i="110" a="1"/>
  <c r="D27" i="110" s="1"/>
  <c r="H26" i="110" a="1"/>
  <c r="H26" i="110" s="1"/>
  <c r="G26" i="110" a="1"/>
  <c r="G26" i="110" s="1"/>
  <c r="F26" i="110" a="1"/>
  <c r="F26" i="110" s="1"/>
  <c r="E26" i="110" a="1"/>
  <c r="E26" i="110" s="1"/>
  <c r="D26" i="110" a="1"/>
  <c r="D26" i="110" s="1"/>
  <c r="H25" i="110" a="1"/>
  <c r="H25" i="110" s="1"/>
  <c r="G25" i="110" a="1"/>
  <c r="G25" i="110" s="1"/>
  <c r="F25" i="110" a="1"/>
  <c r="F25" i="110" s="1"/>
  <c r="E25" i="110" a="1"/>
  <c r="E25" i="110" s="1"/>
  <c r="D25" i="110" a="1"/>
  <c r="D25" i="110" s="1"/>
  <c r="H24" i="110" a="1"/>
  <c r="H24" i="110" s="1"/>
  <c r="G24" i="110" a="1"/>
  <c r="G24" i="110" s="1"/>
  <c r="F24" i="110" a="1"/>
  <c r="F24" i="110" s="1"/>
  <c r="E24" i="110" a="1"/>
  <c r="E24" i="110" s="1"/>
  <c r="D24" i="110" a="1"/>
  <c r="D24" i="110" s="1"/>
  <c r="H23" i="110" a="1"/>
  <c r="H23" i="110" s="1"/>
  <c r="G23" i="110" a="1"/>
  <c r="G23" i="110" s="1"/>
  <c r="F23" i="110" a="1"/>
  <c r="F23" i="110" s="1"/>
  <c r="E23" i="110" a="1"/>
  <c r="E23" i="110" s="1"/>
  <c r="D23" i="110" a="1"/>
  <c r="D23" i="110" s="1"/>
  <c r="H22" i="110" a="1"/>
  <c r="H22" i="110" s="1"/>
  <c r="G22" i="110" a="1"/>
  <c r="G22" i="110" s="1"/>
  <c r="F22" i="110" a="1"/>
  <c r="F22" i="110" s="1"/>
  <c r="E22" i="110" a="1"/>
  <c r="E22" i="110" s="1"/>
  <c r="D22" i="110" a="1"/>
  <c r="D22" i="110" s="1"/>
  <c r="H21" i="110" a="1"/>
  <c r="H21" i="110" s="1"/>
  <c r="G21" i="110" a="1"/>
  <c r="G21" i="110" s="1"/>
  <c r="F21" i="110" a="1"/>
  <c r="F21" i="110" s="1"/>
  <c r="E21" i="110" a="1"/>
  <c r="E21" i="110" s="1"/>
  <c r="D21" i="110" a="1"/>
  <c r="D21" i="110" s="1"/>
  <c r="H20" i="110" a="1"/>
  <c r="H20" i="110" s="1"/>
  <c r="G20" i="110" a="1"/>
  <c r="G20" i="110" s="1"/>
  <c r="F20" i="110" a="1"/>
  <c r="F20" i="110" s="1"/>
  <c r="E20" i="110" a="1"/>
  <c r="E20" i="110" s="1"/>
  <c r="D20" i="110" a="1"/>
  <c r="D20" i="110" s="1"/>
  <c r="H19" i="110" a="1"/>
  <c r="H19" i="110" s="1"/>
  <c r="G19" i="110" a="1"/>
  <c r="G19" i="110" s="1"/>
  <c r="F19" i="110" a="1"/>
  <c r="F19" i="110" s="1"/>
  <c r="E19" i="110" a="1"/>
  <c r="E19" i="110" s="1"/>
  <c r="D19" i="110" a="1"/>
  <c r="D19" i="110" s="1"/>
  <c r="H18" i="110" a="1"/>
  <c r="H18" i="110" s="1"/>
  <c r="G18" i="110" a="1"/>
  <c r="G18" i="110" s="1"/>
  <c r="F18" i="110" a="1"/>
  <c r="F18" i="110" s="1"/>
  <c r="E18" i="110" a="1"/>
  <c r="E18" i="110" s="1"/>
  <c r="D18" i="110" a="1"/>
  <c r="D18" i="110" s="1"/>
  <c r="H17" i="110" a="1"/>
  <c r="H17" i="110" s="1"/>
  <c r="G17" i="110" a="1"/>
  <c r="G17" i="110" s="1"/>
  <c r="F17" i="110" a="1"/>
  <c r="F17" i="110" s="1"/>
  <c r="E17" i="110" a="1"/>
  <c r="E17" i="110" s="1"/>
  <c r="D17" i="110" a="1"/>
  <c r="D17" i="110" s="1"/>
  <c r="H16" i="110" a="1"/>
  <c r="H16" i="110" s="1"/>
  <c r="G16" i="110" a="1"/>
  <c r="G16" i="110" s="1"/>
  <c r="F16" i="110" a="1"/>
  <c r="F16" i="110" s="1"/>
  <c r="E16" i="110" a="1"/>
  <c r="E16" i="110" s="1"/>
  <c r="D16" i="110" a="1"/>
  <c r="D16" i="110" s="1"/>
  <c r="H15" i="110" a="1"/>
  <c r="H15" i="110" s="1"/>
  <c r="G15" i="110" a="1"/>
  <c r="G15" i="110" s="1"/>
  <c r="F15" i="110" a="1"/>
  <c r="F15" i="110" s="1"/>
  <c r="E15" i="110" a="1"/>
  <c r="E15" i="110" s="1"/>
  <c r="D15" i="110" a="1"/>
  <c r="D15" i="110" s="1"/>
  <c r="H14" i="110" a="1"/>
  <c r="H14" i="110" s="1"/>
  <c r="G14" i="110" a="1"/>
  <c r="G14" i="110" s="1"/>
  <c r="F14" i="110" a="1"/>
  <c r="F14" i="110" s="1"/>
  <c r="E14" i="110" a="1"/>
  <c r="E14" i="110" s="1"/>
  <c r="D14" i="110" a="1"/>
  <c r="D14" i="110" s="1"/>
  <c r="H13" i="110" a="1"/>
  <c r="H13" i="110" s="1"/>
  <c r="G13" i="110" a="1"/>
  <c r="G13" i="110" s="1"/>
  <c r="F13" i="110" a="1"/>
  <c r="F13" i="110" s="1"/>
  <c r="E13" i="110" a="1"/>
  <c r="E13" i="110" s="1"/>
  <c r="D13" i="110" a="1"/>
  <c r="D13" i="110" s="1"/>
  <c r="H12" i="110" a="1"/>
  <c r="H12" i="110" s="1"/>
  <c r="G12" i="110" a="1"/>
  <c r="G12" i="110" s="1"/>
  <c r="F12" i="110" a="1"/>
  <c r="F12" i="110" s="1"/>
  <c r="E12" i="110" a="1"/>
  <c r="E12" i="110" s="1"/>
  <c r="D12" i="110" a="1"/>
  <c r="D12" i="110" s="1"/>
  <c r="H11" i="110" a="1"/>
  <c r="H11" i="110" s="1"/>
  <c r="G11" i="110" a="1"/>
  <c r="G11" i="110" s="1"/>
  <c r="F11" i="110" a="1"/>
  <c r="F11" i="110" s="1"/>
  <c r="E11" i="110" a="1"/>
  <c r="E11" i="110" s="1"/>
  <c r="D11" i="110" a="1"/>
  <c r="D11" i="110" s="1"/>
  <c r="H10" i="110" a="1"/>
  <c r="H10" i="110" s="1"/>
  <c r="G10" i="110" a="1"/>
  <c r="G10" i="110" s="1"/>
  <c r="F10" i="110" a="1"/>
  <c r="F10" i="110" s="1"/>
  <c r="E10" i="110" a="1"/>
  <c r="E10" i="110" s="1"/>
  <c r="D10" i="110" a="1"/>
  <c r="D10" i="110" s="1"/>
  <c r="H9" i="110" a="1"/>
  <c r="H9" i="110" s="1"/>
  <c r="G9" i="110" a="1"/>
  <c r="G9" i="110" s="1"/>
  <c r="F9" i="110" a="1"/>
  <c r="F9" i="110" s="1"/>
  <c r="E9" i="110" a="1"/>
  <c r="E9" i="110" s="1"/>
  <c r="D9" i="110" a="1"/>
  <c r="D9" i="110" s="1"/>
  <c r="D7" i="110" a="1"/>
  <c r="D7" i="110" s="1"/>
  <c r="D6" i="110" a="1"/>
  <c r="D6" i="110" s="1"/>
  <c r="D5" i="110" a="1"/>
  <c r="D5" i="110" s="1"/>
  <c r="D107" i="110" s="1"/>
  <c r="D71" i="109"/>
  <c r="D70" i="109"/>
  <c r="D69" i="109"/>
  <c r="D68" i="109"/>
  <c r="D67" i="109"/>
  <c r="D66" i="109"/>
  <c r="I57" i="109" a="1"/>
  <c r="I57" i="109" s="1"/>
  <c r="I56" i="109" a="1"/>
  <c r="I56" i="109" s="1"/>
  <c r="G56" i="109" a="1"/>
  <c r="G56" i="109" s="1"/>
  <c r="D56" i="109" a="1"/>
  <c r="D56" i="109" s="1"/>
  <c r="E54" i="109" a="1"/>
  <c r="E54" i="109" s="1"/>
  <c r="F73" i="109" s="1"/>
  <c r="E53" i="109" a="1"/>
  <c r="E53" i="109" s="1"/>
  <c r="D49" i="109" a="1"/>
  <c r="D49" i="109" s="1"/>
  <c r="G14" i="109" a="1"/>
  <c r="G14" i="109" s="1"/>
  <c r="D14" i="109" a="1"/>
  <c r="D14" i="109" s="1"/>
  <c r="E12" i="109" a="1"/>
  <c r="E12" i="109" s="1"/>
  <c r="E11" i="109" a="1"/>
  <c r="E11" i="109" s="1"/>
  <c r="D7" i="109" a="1"/>
  <c r="D7" i="109" s="1"/>
  <c r="D6" i="109" a="1"/>
  <c r="D6" i="109" s="1"/>
  <c r="D5" i="109" a="1"/>
  <c r="D5" i="109" s="1"/>
  <c r="E139" i="107"/>
  <c r="F40" i="106" s="1"/>
  <c r="M40" i="106" s="1" a="1"/>
  <c r="M40" i="106" s="1"/>
  <c r="G138" i="107"/>
  <c r="F32" i="105" s="1"/>
  <c r="M32" i="105" s="1" a="1"/>
  <c r="M32" i="105" s="1"/>
  <c r="E138" i="107"/>
  <c r="F39" i="106" s="1"/>
  <c r="G137" i="107"/>
  <c r="F31" i="105" s="1"/>
  <c r="E137" i="107"/>
  <c r="F38" i="106" s="1"/>
  <c r="D137" i="107"/>
  <c r="F31" i="106" s="1"/>
  <c r="G136" i="107"/>
  <c r="F30" i="105" s="1"/>
  <c r="E136" i="107"/>
  <c r="F37" i="106" s="1"/>
  <c r="M37" i="106" s="1" a="1"/>
  <c r="M37" i="106" s="1"/>
  <c r="D136" i="107"/>
  <c r="F30" i="106" s="1"/>
  <c r="G135" i="107"/>
  <c r="F29" i="105" s="1"/>
  <c r="M29" i="105" s="1" a="1"/>
  <c r="M29" i="105" s="1"/>
  <c r="E135" i="107"/>
  <c r="F36" i="106" s="1"/>
  <c r="D135" i="107"/>
  <c r="F29" i="106" s="1"/>
  <c r="M29" i="106" s="1" a="1"/>
  <c r="M29" i="106" s="1"/>
  <c r="G134" i="107"/>
  <c r="F28" i="105" s="1"/>
  <c r="E134" i="107"/>
  <c r="F35" i="106" s="1"/>
  <c r="M35" i="106" s="1" a="1"/>
  <c r="M35" i="106" s="1"/>
  <c r="D134" i="107"/>
  <c r="F28" i="106" s="1"/>
  <c r="G133" i="107"/>
  <c r="F27" i="105" s="1"/>
  <c r="M27" i="105" s="1" a="1"/>
  <c r="M27" i="105" s="1"/>
  <c r="F133" i="107"/>
  <c r="F36" i="105" s="1"/>
  <c r="E133" i="107"/>
  <c r="F34" i="106" s="1"/>
  <c r="D133" i="107"/>
  <c r="F27" i="106" s="1"/>
  <c r="I132" i="107"/>
  <c r="F38" i="105" s="1"/>
  <c r="M38" i="105" s="1" a="1"/>
  <c r="M38" i="105" s="1"/>
  <c r="G132" i="107"/>
  <c r="F26" i="105" s="1"/>
  <c r="M26" i="105" s="1" a="1"/>
  <c r="M26" i="105" s="1"/>
  <c r="F132" i="107"/>
  <c r="F35" i="105" s="1"/>
  <c r="L35" i="105" s="1" a="1"/>
  <c r="L35" i="105" s="1"/>
  <c r="E132" i="107"/>
  <c r="F33" i="106" s="1"/>
  <c r="D132" i="107"/>
  <c r="F26" i="106" s="1"/>
  <c r="M26" i="106" s="1" a="1"/>
  <c r="M26" i="106" s="1"/>
  <c r="I131" i="107"/>
  <c r="F37" i="105" s="1"/>
  <c r="H131" i="107"/>
  <c r="F33" i="105" s="1"/>
  <c r="G131" i="107"/>
  <c r="F25" i="105" s="1"/>
  <c r="F131" i="107"/>
  <c r="F34" i="105" s="1"/>
  <c r="E131" i="107"/>
  <c r="F32" i="106" s="1"/>
  <c r="M32" i="106" s="1" a="1"/>
  <c r="M32" i="106" s="1"/>
  <c r="D131" i="107"/>
  <c r="F25" i="106" s="1"/>
  <c r="F120" i="107" a="1"/>
  <c r="F120" i="107" s="1"/>
  <c r="E120" i="107" a="1"/>
  <c r="E120" i="107" s="1"/>
  <c r="D120" i="107" a="1"/>
  <c r="D120" i="107" s="1"/>
  <c r="F119" i="107" a="1"/>
  <c r="F119" i="107" s="1"/>
  <c r="E119" i="107" a="1"/>
  <c r="E119" i="107" s="1"/>
  <c r="D119" i="107" a="1"/>
  <c r="D119" i="107" s="1"/>
  <c r="F118" i="107" a="1"/>
  <c r="F118" i="107" s="1"/>
  <c r="E118" i="107" a="1"/>
  <c r="E118" i="107" s="1"/>
  <c r="D118" i="107" a="1"/>
  <c r="D118" i="107" s="1"/>
  <c r="F117" i="107" a="1"/>
  <c r="F117" i="107" s="1"/>
  <c r="E117" i="107" a="1"/>
  <c r="E117" i="107" s="1"/>
  <c r="D117" i="107" a="1"/>
  <c r="D117" i="107" s="1"/>
  <c r="F116" i="107" a="1"/>
  <c r="F116" i="107" s="1"/>
  <c r="E116" i="107" a="1"/>
  <c r="E116" i="107" s="1"/>
  <c r="D116" i="107" a="1"/>
  <c r="D116" i="107" s="1"/>
  <c r="F115" i="107" a="1"/>
  <c r="F115" i="107" s="1"/>
  <c r="E115" i="107" a="1"/>
  <c r="E115" i="107" s="1"/>
  <c r="D115" i="107" a="1"/>
  <c r="D115" i="107" s="1"/>
  <c r="F114" i="107" a="1"/>
  <c r="F114" i="107" s="1"/>
  <c r="E114" i="107" a="1"/>
  <c r="E114" i="107" s="1"/>
  <c r="D114" i="107" a="1"/>
  <c r="D114" i="107" s="1"/>
  <c r="G113" i="107" a="1"/>
  <c r="G113" i="107" s="1"/>
  <c r="F113" i="107" a="1"/>
  <c r="F113" i="107" s="1"/>
  <c r="E113" i="107" a="1"/>
  <c r="E113" i="107" s="1"/>
  <c r="D113" i="107" a="1"/>
  <c r="D113" i="107" s="1"/>
  <c r="D110" i="107" a="1"/>
  <c r="D110" i="107" s="1"/>
  <c r="D109" i="107" a="1"/>
  <c r="D109" i="107" s="1"/>
  <c r="D108" i="107" a="1"/>
  <c r="D108" i="107" s="1"/>
  <c r="D107" i="107" a="1"/>
  <c r="D107" i="107" s="1"/>
  <c r="J104" i="107" a="1"/>
  <c r="J104" i="107" s="1"/>
  <c r="I104" i="107" a="1"/>
  <c r="I104" i="107" s="1"/>
  <c r="H104" i="107" a="1"/>
  <c r="H104" i="107" s="1"/>
  <c r="G104" i="107" a="1"/>
  <c r="G104" i="107" s="1"/>
  <c r="F104" i="107" a="1"/>
  <c r="F104" i="107" s="1"/>
  <c r="E104" i="107" a="1"/>
  <c r="E104" i="107" s="1"/>
  <c r="D104" i="107" a="1"/>
  <c r="D104" i="107" s="1"/>
  <c r="E40" i="106" s="1"/>
  <c r="I40" i="106" s="1"/>
  <c r="J103" i="107" a="1"/>
  <c r="J103" i="107" s="1"/>
  <c r="I103" i="107" a="1"/>
  <c r="I103" i="107" s="1"/>
  <c r="H103" i="107" a="1"/>
  <c r="H103" i="107" s="1"/>
  <c r="G103" i="107" a="1"/>
  <c r="G103" i="107" s="1"/>
  <c r="F103" i="107" a="1"/>
  <c r="F103" i="107" s="1"/>
  <c r="E103" i="107" a="1"/>
  <c r="E103" i="107" s="1"/>
  <c r="D103" i="107" a="1"/>
  <c r="D103" i="107" s="1"/>
  <c r="E39" i="106" s="1"/>
  <c r="J102" i="107" a="1"/>
  <c r="J102" i="107" s="1"/>
  <c r="I102" i="107" a="1"/>
  <c r="I102" i="107" s="1"/>
  <c r="H102" i="107" a="1"/>
  <c r="H102" i="107" s="1"/>
  <c r="G102" i="107" a="1"/>
  <c r="G102" i="107" s="1"/>
  <c r="F102" i="107" a="1"/>
  <c r="F102" i="107" s="1"/>
  <c r="E102" i="107" a="1"/>
  <c r="E102" i="107" s="1"/>
  <c r="D102" i="107" a="1"/>
  <c r="D102" i="107" s="1"/>
  <c r="J101" i="107" a="1"/>
  <c r="J101" i="107" s="1"/>
  <c r="I101" i="107" a="1"/>
  <c r="I101" i="107" s="1"/>
  <c r="H101" i="107" a="1"/>
  <c r="H101" i="107" s="1"/>
  <c r="G101" i="107" a="1"/>
  <c r="G101" i="107" s="1"/>
  <c r="F101" i="107" a="1"/>
  <c r="F101" i="107" s="1"/>
  <c r="E101" i="107" a="1"/>
  <c r="E101" i="107" s="1"/>
  <c r="D101" i="107" a="1"/>
  <c r="D101" i="107" s="1"/>
  <c r="J100" i="107" a="1"/>
  <c r="J100" i="107" s="1"/>
  <c r="I100" i="107" a="1"/>
  <c r="I100" i="107" s="1"/>
  <c r="H100" i="107" a="1"/>
  <c r="H100" i="107" s="1"/>
  <c r="G100" i="107" a="1"/>
  <c r="G100" i="107" s="1"/>
  <c r="F100" i="107" a="1"/>
  <c r="F100" i="107" s="1"/>
  <c r="E100" i="107" a="1"/>
  <c r="E100" i="107" s="1"/>
  <c r="D100" i="107" a="1"/>
  <c r="D100" i="107" s="1"/>
  <c r="J99" i="107" a="1"/>
  <c r="J99" i="107" s="1"/>
  <c r="I99" i="107" a="1"/>
  <c r="I99" i="107" s="1"/>
  <c r="H99" i="107" a="1"/>
  <c r="H99" i="107" s="1"/>
  <c r="G99" i="107" a="1"/>
  <c r="G99" i="107" s="1"/>
  <c r="F99" i="107" a="1"/>
  <c r="F99" i="107" s="1"/>
  <c r="E99" i="107" a="1"/>
  <c r="E99" i="107" s="1"/>
  <c r="D99" i="107" a="1"/>
  <c r="D99" i="107" s="1"/>
  <c r="J98" i="107" a="1"/>
  <c r="J98" i="107" s="1"/>
  <c r="I98" i="107" a="1"/>
  <c r="I98" i="107" s="1"/>
  <c r="H98" i="107" a="1"/>
  <c r="H98" i="107" s="1"/>
  <c r="G98" i="107" a="1"/>
  <c r="G98" i="107" s="1"/>
  <c r="F98" i="107" a="1"/>
  <c r="F98" i="107" s="1"/>
  <c r="E98" i="107" a="1"/>
  <c r="E98" i="107" s="1"/>
  <c r="D98" i="107" a="1"/>
  <c r="D98" i="107" s="1"/>
  <c r="J97" i="107" a="1"/>
  <c r="J97" i="107" s="1"/>
  <c r="I97" i="107" a="1"/>
  <c r="I97" i="107" s="1"/>
  <c r="H97" i="107" a="1"/>
  <c r="H97" i="107" s="1"/>
  <c r="G97" i="107" a="1"/>
  <c r="G97" i="107" s="1"/>
  <c r="F97" i="107" a="1"/>
  <c r="F97" i="107" s="1"/>
  <c r="E97" i="107" a="1"/>
  <c r="E97" i="107" s="1"/>
  <c r="D97" i="107" a="1"/>
  <c r="D97" i="107" s="1"/>
  <c r="J96" i="107" a="1"/>
  <c r="J96" i="107" s="1"/>
  <c r="I96" i="107" a="1"/>
  <c r="I96" i="107" s="1"/>
  <c r="H96" i="107" a="1"/>
  <c r="H96" i="107" s="1"/>
  <c r="G96" i="107" a="1"/>
  <c r="G96" i="107" s="1"/>
  <c r="F96" i="107" a="1"/>
  <c r="F96" i="107" s="1"/>
  <c r="E96" i="107" a="1"/>
  <c r="E96" i="107" s="1"/>
  <c r="D96" i="107" a="1"/>
  <c r="D96" i="107" s="1"/>
  <c r="J95" i="107" a="1"/>
  <c r="J95" i="107" s="1"/>
  <c r="I95" i="107" a="1"/>
  <c r="I95" i="107" s="1"/>
  <c r="H95" i="107" a="1"/>
  <c r="H95" i="107" s="1"/>
  <c r="G95" i="107" a="1"/>
  <c r="G95" i="107" s="1"/>
  <c r="F95" i="107" a="1"/>
  <c r="F95" i="107" s="1"/>
  <c r="E95" i="107" a="1"/>
  <c r="E95" i="107" s="1"/>
  <c r="D95" i="107" a="1"/>
  <c r="D95" i="107" s="1"/>
  <c r="J94" i="107" a="1"/>
  <c r="J94" i="107" s="1"/>
  <c r="I94" i="107" a="1"/>
  <c r="I94" i="107" s="1"/>
  <c r="H94" i="107" a="1"/>
  <c r="H94" i="107" s="1"/>
  <c r="G94" i="107" a="1"/>
  <c r="G94" i="107" s="1"/>
  <c r="F94" i="107" a="1"/>
  <c r="F94" i="107" s="1"/>
  <c r="E94" i="107" a="1"/>
  <c r="E94" i="107" s="1"/>
  <c r="D94" i="107" a="1"/>
  <c r="D94" i="107" s="1"/>
  <c r="J93" i="107" a="1"/>
  <c r="J93" i="107" s="1"/>
  <c r="I93" i="107" a="1"/>
  <c r="I93" i="107" s="1"/>
  <c r="H93" i="107" a="1"/>
  <c r="H93" i="107" s="1"/>
  <c r="G93" i="107" a="1"/>
  <c r="G93" i="107" s="1"/>
  <c r="F93" i="107" a="1"/>
  <c r="F93" i="107" s="1"/>
  <c r="E93" i="107" a="1"/>
  <c r="E93" i="107" s="1"/>
  <c r="D93" i="107" a="1"/>
  <c r="D93" i="107" s="1"/>
  <c r="J92" i="107" a="1"/>
  <c r="J92" i="107" s="1"/>
  <c r="I92" i="107" a="1"/>
  <c r="I92" i="107" s="1"/>
  <c r="H92" i="107" a="1"/>
  <c r="H92" i="107" s="1"/>
  <c r="G92" i="107" a="1"/>
  <c r="G92" i="107" s="1"/>
  <c r="F92" i="107" a="1"/>
  <c r="F92" i="107" s="1"/>
  <c r="E92" i="107" a="1"/>
  <c r="E92" i="107" s="1"/>
  <c r="D92" i="107" a="1"/>
  <c r="D92" i="107" s="1"/>
  <c r="J91" i="107" a="1"/>
  <c r="J91" i="107" s="1"/>
  <c r="I91" i="107" a="1"/>
  <c r="I91" i="107" s="1"/>
  <c r="H91" i="107" a="1"/>
  <c r="H91" i="107" s="1"/>
  <c r="G91" i="107" a="1"/>
  <c r="G91" i="107" s="1"/>
  <c r="F91" i="107" a="1"/>
  <c r="F91" i="107" s="1"/>
  <c r="E91" i="107" a="1"/>
  <c r="E91" i="107" s="1"/>
  <c r="D91" i="107" a="1"/>
  <c r="D91" i="107" s="1"/>
  <c r="J90" i="107" a="1"/>
  <c r="J90" i="107" s="1"/>
  <c r="I90" i="107" a="1"/>
  <c r="I90" i="107" s="1"/>
  <c r="H90" i="107" a="1"/>
  <c r="H90" i="107" s="1"/>
  <c r="G90" i="107" a="1"/>
  <c r="G90" i="107" s="1"/>
  <c r="F90" i="107" a="1"/>
  <c r="F90" i="107" s="1"/>
  <c r="E90" i="107" a="1"/>
  <c r="E90" i="107" s="1"/>
  <c r="D90" i="107" a="1"/>
  <c r="D90" i="107" s="1"/>
  <c r="J89" i="107" a="1"/>
  <c r="J89" i="107" s="1"/>
  <c r="I89" i="107" a="1"/>
  <c r="I89" i="107" s="1"/>
  <c r="H89" i="107" a="1"/>
  <c r="H89" i="107" s="1"/>
  <c r="G89" i="107" a="1"/>
  <c r="G89" i="107" s="1"/>
  <c r="F89" i="107" a="1"/>
  <c r="F89" i="107" s="1"/>
  <c r="E89" i="107" a="1"/>
  <c r="E89" i="107" s="1"/>
  <c r="D89" i="107" a="1"/>
  <c r="D89" i="107" s="1"/>
  <c r="J88" i="107" a="1"/>
  <c r="J88" i="107" s="1"/>
  <c r="I88" i="107" a="1"/>
  <c r="I88" i="107" s="1"/>
  <c r="H88" i="107" a="1"/>
  <c r="H88" i="107" s="1"/>
  <c r="G88" i="107" a="1"/>
  <c r="G88" i="107" s="1"/>
  <c r="F88" i="107" a="1"/>
  <c r="F88" i="107" s="1"/>
  <c r="E88" i="107" a="1"/>
  <c r="E88" i="107" s="1"/>
  <c r="D88" i="107" a="1"/>
  <c r="D88" i="107" s="1"/>
  <c r="J87" i="107" a="1"/>
  <c r="J87" i="107" s="1"/>
  <c r="I87" i="107" a="1"/>
  <c r="I87" i="107" s="1"/>
  <c r="H87" i="107" a="1"/>
  <c r="H87" i="107" s="1"/>
  <c r="G87" i="107" a="1"/>
  <c r="G87" i="107" s="1"/>
  <c r="F87" i="107" a="1"/>
  <c r="F87" i="107" s="1"/>
  <c r="E87" i="107" a="1"/>
  <c r="E87" i="107" s="1"/>
  <c r="D87" i="107" a="1"/>
  <c r="D87" i="107" s="1"/>
  <c r="D84" i="107" a="1"/>
  <c r="D84" i="107" s="1"/>
  <c r="D83" i="107" a="1"/>
  <c r="D83" i="107" s="1"/>
  <c r="D82" i="107" a="1"/>
  <c r="D82" i="107" s="1"/>
  <c r="D81" i="107" a="1"/>
  <c r="D81" i="107" s="1"/>
  <c r="K77" i="107" a="1"/>
  <c r="K77" i="107" s="1"/>
  <c r="J77" i="107" a="1"/>
  <c r="J77" i="107" s="1"/>
  <c r="I77" i="107" a="1"/>
  <c r="I77" i="107" s="1"/>
  <c r="H77" i="107" a="1"/>
  <c r="H77" i="107" s="1"/>
  <c r="G77" i="107" a="1"/>
  <c r="G77" i="107" s="1"/>
  <c r="F77" i="107" a="1"/>
  <c r="F77" i="107" s="1"/>
  <c r="E77" i="107" a="1"/>
  <c r="E77" i="107" s="1"/>
  <c r="D77" i="107" a="1"/>
  <c r="D77" i="107" s="1"/>
  <c r="K76" i="107" a="1"/>
  <c r="K76" i="107" s="1"/>
  <c r="J76" i="107" a="1"/>
  <c r="J76" i="107" s="1"/>
  <c r="I76" i="107" a="1"/>
  <c r="I76" i="107" s="1"/>
  <c r="H76" i="107" a="1"/>
  <c r="H76" i="107" s="1"/>
  <c r="G76" i="107" a="1"/>
  <c r="G76" i="107" s="1"/>
  <c r="F76" i="107" a="1"/>
  <c r="F76" i="107" s="1"/>
  <c r="E76" i="107" a="1"/>
  <c r="E76" i="107" s="1"/>
  <c r="D76" i="107" a="1"/>
  <c r="D76" i="107" s="1"/>
  <c r="K75" i="107" a="1"/>
  <c r="K75" i="107" s="1"/>
  <c r="J75" i="107" a="1"/>
  <c r="J75" i="107" s="1"/>
  <c r="I75" i="107" a="1"/>
  <c r="I75" i="107" s="1"/>
  <c r="H75" i="107" a="1"/>
  <c r="H75" i="107" s="1"/>
  <c r="G75" i="107" a="1"/>
  <c r="G75" i="107" s="1"/>
  <c r="F75" i="107" a="1"/>
  <c r="F75" i="107" s="1"/>
  <c r="E75" i="107" a="1"/>
  <c r="E75" i="107" s="1"/>
  <c r="D75" i="107" a="1"/>
  <c r="D75" i="107" s="1"/>
  <c r="E37" i="106" s="1"/>
  <c r="K37" i="106" s="1"/>
  <c r="K74" i="107" a="1"/>
  <c r="K74" i="107" s="1"/>
  <c r="J74" i="107" a="1"/>
  <c r="J74" i="107" s="1"/>
  <c r="I74" i="107" a="1"/>
  <c r="I74" i="107" s="1"/>
  <c r="H74" i="107" a="1"/>
  <c r="H74" i="107" s="1"/>
  <c r="G74" i="107" a="1"/>
  <c r="G74" i="107" s="1"/>
  <c r="F74" i="107" a="1"/>
  <c r="F74" i="107" s="1"/>
  <c r="E74" i="107" a="1"/>
  <c r="E74" i="107" s="1"/>
  <c r="D74" i="107" a="1"/>
  <c r="D74" i="107" s="1"/>
  <c r="K73" i="107" a="1"/>
  <c r="K73" i="107" s="1"/>
  <c r="J73" i="107" a="1"/>
  <c r="J73" i="107" s="1"/>
  <c r="I73" i="107" a="1"/>
  <c r="I73" i="107" s="1"/>
  <c r="H73" i="107" a="1"/>
  <c r="H73" i="107" s="1"/>
  <c r="G73" i="107" a="1"/>
  <c r="G73" i="107" s="1"/>
  <c r="F73" i="107" a="1"/>
  <c r="F73" i="107" s="1"/>
  <c r="E73" i="107" a="1"/>
  <c r="E73" i="107" s="1"/>
  <c r="D73" i="107" a="1"/>
  <c r="D73" i="107" s="1"/>
  <c r="E35" i="106" s="1"/>
  <c r="K35" i="106" s="1"/>
  <c r="K72" i="107" a="1"/>
  <c r="K72" i="107" s="1"/>
  <c r="J72" i="107" a="1"/>
  <c r="J72" i="107" s="1"/>
  <c r="I72" i="107" a="1"/>
  <c r="I72" i="107" s="1"/>
  <c r="H72" i="107" a="1"/>
  <c r="H72" i="107" s="1"/>
  <c r="G72" i="107" a="1"/>
  <c r="G72" i="107" s="1"/>
  <c r="F72" i="107" a="1"/>
  <c r="F72" i="107" s="1"/>
  <c r="E72" i="107" a="1"/>
  <c r="E72" i="107" s="1"/>
  <c r="D72" i="107" a="1"/>
  <c r="D72" i="107" s="1"/>
  <c r="K71" i="107" a="1"/>
  <c r="K71" i="107" s="1"/>
  <c r="J71" i="107" a="1"/>
  <c r="J71" i="107" s="1"/>
  <c r="I71" i="107" a="1"/>
  <c r="I71" i="107" s="1"/>
  <c r="H71" i="107" a="1"/>
  <c r="H71" i="107" s="1"/>
  <c r="G71" i="107" a="1"/>
  <c r="G71" i="107" s="1"/>
  <c r="F71" i="107" a="1"/>
  <c r="F71" i="107" s="1"/>
  <c r="E71" i="107" a="1"/>
  <c r="E71" i="107" s="1"/>
  <c r="D71" i="107" a="1"/>
  <c r="D71" i="107" s="1"/>
  <c r="K70" i="107" a="1"/>
  <c r="K70" i="107" s="1"/>
  <c r="J70" i="107" a="1"/>
  <c r="J70" i="107" s="1"/>
  <c r="I70" i="107" a="1"/>
  <c r="I70" i="107" s="1"/>
  <c r="H70" i="107" a="1"/>
  <c r="H70" i="107" s="1"/>
  <c r="G70" i="107" a="1"/>
  <c r="G70" i="107" s="1"/>
  <c r="F70" i="107" a="1"/>
  <c r="F70" i="107" s="1"/>
  <c r="E70" i="107" a="1"/>
  <c r="E70" i="107" s="1"/>
  <c r="D70" i="107" a="1"/>
  <c r="D70" i="107" s="1"/>
  <c r="K69" i="107" a="1"/>
  <c r="K69" i="107" s="1"/>
  <c r="J69" i="107" a="1"/>
  <c r="J69" i="107" s="1"/>
  <c r="I69" i="107" a="1"/>
  <c r="I69" i="107" s="1"/>
  <c r="H69" i="107" a="1"/>
  <c r="H69" i="107" s="1"/>
  <c r="G69" i="107" a="1"/>
  <c r="G69" i="107" s="1"/>
  <c r="F69" i="107" a="1"/>
  <c r="F69" i="107" s="1"/>
  <c r="E69" i="107" a="1"/>
  <c r="E69" i="107" s="1"/>
  <c r="D69" i="107" a="1"/>
  <c r="D69" i="107" s="1"/>
  <c r="K68" i="107" a="1"/>
  <c r="K68" i="107" s="1"/>
  <c r="J68" i="107" a="1"/>
  <c r="J68" i="107" s="1"/>
  <c r="I68" i="107" a="1"/>
  <c r="I68" i="107" s="1"/>
  <c r="H68" i="107" a="1"/>
  <c r="H68" i="107" s="1"/>
  <c r="G68" i="107" a="1"/>
  <c r="G68" i="107" s="1"/>
  <c r="F68" i="107" a="1"/>
  <c r="F68" i="107" s="1"/>
  <c r="E68" i="107" a="1"/>
  <c r="E68" i="107" s="1"/>
  <c r="D68" i="107" a="1"/>
  <c r="D68" i="107" s="1"/>
  <c r="K67" i="107" a="1"/>
  <c r="K67" i="107" s="1"/>
  <c r="J67" i="107" a="1"/>
  <c r="J67" i="107" s="1"/>
  <c r="I67" i="107" a="1"/>
  <c r="I67" i="107" s="1"/>
  <c r="H67" i="107" a="1"/>
  <c r="H67" i="107" s="1"/>
  <c r="G67" i="107" a="1"/>
  <c r="G67" i="107" s="1"/>
  <c r="F67" i="107" a="1"/>
  <c r="F67" i="107" s="1"/>
  <c r="E67" i="107" a="1"/>
  <c r="E67" i="107" s="1"/>
  <c r="D67" i="107" a="1"/>
  <c r="D67" i="107" s="1"/>
  <c r="E34" i="106" s="1"/>
  <c r="K34" i="106" s="1"/>
  <c r="K66" i="107" a="1"/>
  <c r="K66" i="107" s="1"/>
  <c r="J66" i="107" a="1"/>
  <c r="J66" i="107" s="1"/>
  <c r="I66" i="107" a="1"/>
  <c r="I66" i="107" s="1"/>
  <c r="H66" i="107" a="1"/>
  <c r="H66" i="107" s="1"/>
  <c r="G66" i="107" a="1"/>
  <c r="G66" i="107" s="1"/>
  <c r="F66" i="107" a="1"/>
  <c r="F66" i="107" s="1"/>
  <c r="E66" i="107" a="1"/>
  <c r="E66" i="107" s="1"/>
  <c r="D66" i="107" a="1"/>
  <c r="D66" i="107" s="1"/>
  <c r="K65" i="107" a="1"/>
  <c r="K65" i="107" s="1"/>
  <c r="J65" i="107" a="1"/>
  <c r="J65" i="107" s="1"/>
  <c r="I65" i="107" a="1"/>
  <c r="I65" i="107" s="1"/>
  <c r="H65" i="107" a="1"/>
  <c r="H65" i="107" s="1"/>
  <c r="G65" i="107" a="1"/>
  <c r="G65" i="107" s="1"/>
  <c r="F65" i="107" a="1"/>
  <c r="F65" i="107" s="1"/>
  <c r="E65" i="107" a="1"/>
  <c r="E65" i="107" s="1"/>
  <c r="D65" i="107" a="1"/>
  <c r="D65" i="107" s="1"/>
  <c r="K64" i="107" a="1"/>
  <c r="K64" i="107" s="1"/>
  <c r="J64" i="107" a="1"/>
  <c r="J64" i="107" s="1"/>
  <c r="I64" i="107" a="1"/>
  <c r="I64" i="107" s="1"/>
  <c r="H64" i="107" a="1"/>
  <c r="H64" i="107" s="1"/>
  <c r="G64" i="107" a="1"/>
  <c r="G64" i="107" s="1"/>
  <c r="F64" i="107" a="1"/>
  <c r="F64" i="107" s="1"/>
  <c r="E64" i="107" a="1"/>
  <c r="E64" i="107" s="1"/>
  <c r="D64" i="107" a="1"/>
  <c r="D64" i="107" s="1"/>
  <c r="K63" i="107" a="1"/>
  <c r="K63" i="107" s="1"/>
  <c r="J63" i="107" a="1"/>
  <c r="J63" i="107" s="1"/>
  <c r="I63" i="107" a="1"/>
  <c r="I63" i="107" s="1"/>
  <c r="H63" i="107" a="1"/>
  <c r="H63" i="107" s="1"/>
  <c r="G63" i="107" a="1"/>
  <c r="G63" i="107" s="1"/>
  <c r="F63" i="107" a="1"/>
  <c r="F63" i="107" s="1"/>
  <c r="E63" i="107" a="1"/>
  <c r="E63" i="107" s="1"/>
  <c r="D63" i="107" a="1"/>
  <c r="D63" i="107" s="1"/>
  <c r="E26" i="106" s="1"/>
  <c r="K62" i="107" a="1"/>
  <c r="K62" i="107" s="1"/>
  <c r="J62" i="107" a="1"/>
  <c r="J62" i="107" s="1"/>
  <c r="I62" i="107" a="1"/>
  <c r="I62" i="107" s="1"/>
  <c r="H62" i="107" a="1"/>
  <c r="H62" i="107" s="1"/>
  <c r="G62" i="107" a="1"/>
  <c r="G62" i="107" s="1"/>
  <c r="F62" i="107" a="1"/>
  <c r="F62" i="107" s="1"/>
  <c r="E62" i="107" a="1"/>
  <c r="E62" i="107" s="1"/>
  <c r="D62" i="107" a="1"/>
  <c r="D62" i="107" s="1"/>
  <c r="K61" i="107" a="1"/>
  <c r="K61" i="107" s="1"/>
  <c r="J61" i="107" a="1"/>
  <c r="J61" i="107" s="1"/>
  <c r="I61" i="107" a="1"/>
  <c r="I61" i="107" s="1"/>
  <c r="H61" i="107" a="1"/>
  <c r="H61" i="107" s="1"/>
  <c r="G61" i="107" a="1"/>
  <c r="G61" i="107" s="1"/>
  <c r="F61" i="107" a="1"/>
  <c r="F61" i="107" s="1"/>
  <c r="E61" i="107" a="1"/>
  <c r="E61" i="107" s="1"/>
  <c r="D61" i="107" a="1"/>
  <c r="D61" i="107" s="1"/>
  <c r="K60" i="107" a="1"/>
  <c r="K60" i="107" s="1"/>
  <c r="J60" i="107" a="1"/>
  <c r="J60" i="107" s="1"/>
  <c r="I60" i="107" a="1"/>
  <c r="I60" i="107" s="1"/>
  <c r="H60" i="107" a="1"/>
  <c r="H60" i="107" s="1"/>
  <c r="G60" i="107" a="1"/>
  <c r="G60" i="107" s="1"/>
  <c r="F60" i="107" a="1"/>
  <c r="F60" i="107" s="1"/>
  <c r="E60" i="107" a="1"/>
  <c r="E60" i="107" s="1"/>
  <c r="D60" i="107" a="1"/>
  <c r="D60" i="107" s="1"/>
  <c r="K59" i="107" a="1"/>
  <c r="K59" i="107" s="1"/>
  <c r="J59" i="107" a="1"/>
  <c r="J59" i="107" s="1"/>
  <c r="I59" i="107" a="1"/>
  <c r="I59" i="107" s="1"/>
  <c r="H59" i="107" a="1"/>
  <c r="H59" i="107" s="1"/>
  <c r="G59" i="107" a="1"/>
  <c r="G59" i="107" s="1"/>
  <c r="F59" i="107" a="1"/>
  <c r="F59" i="107" s="1"/>
  <c r="E59" i="107" a="1"/>
  <c r="E59" i="107" s="1"/>
  <c r="D59" i="107" a="1"/>
  <c r="D59" i="107" s="1"/>
  <c r="K58" i="107" a="1"/>
  <c r="K58" i="107" s="1"/>
  <c r="J58" i="107" a="1"/>
  <c r="J58" i="107" s="1"/>
  <c r="I58" i="107" a="1"/>
  <c r="I58" i="107" s="1"/>
  <c r="H58" i="107" a="1"/>
  <c r="H58" i="107" s="1"/>
  <c r="G58" i="107" a="1"/>
  <c r="G58" i="107" s="1"/>
  <c r="F58" i="107" a="1"/>
  <c r="F58" i="107" s="1"/>
  <c r="E58" i="107" a="1"/>
  <c r="E58" i="107" s="1"/>
  <c r="D58" i="107" a="1"/>
  <c r="D58" i="107" s="1"/>
  <c r="E32" i="106" s="1"/>
  <c r="K57" i="107" a="1"/>
  <c r="K57" i="107" s="1"/>
  <c r="J57" i="107" a="1"/>
  <c r="J57" i="107" s="1"/>
  <c r="I57" i="107" a="1"/>
  <c r="I57" i="107" s="1"/>
  <c r="H57" i="107" a="1"/>
  <c r="H57" i="107" s="1"/>
  <c r="G57" i="107" a="1"/>
  <c r="G57" i="107" s="1"/>
  <c r="F57" i="107" a="1"/>
  <c r="F57" i="107" s="1"/>
  <c r="E57" i="107" a="1"/>
  <c r="E57" i="107" s="1"/>
  <c r="D57" i="107" a="1"/>
  <c r="D57" i="107" s="1"/>
  <c r="K56" i="107" a="1"/>
  <c r="K56" i="107" s="1"/>
  <c r="J56" i="107" a="1"/>
  <c r="J56" i="107" s="1"/>
  <c r="I56" i="107" a="1"/>
  <c r="I56" i="107" s="1"/>
  <c r="H56" i="107" a="1"/>
  <c r="H56" i="107" s="1"/>
  <c r="G56" i="107" a="1"/>
  <c r="G56" i="107" s="1"/>
  <c r="F56" i="107" a="1"/>
  <c r="F56" i="107" s="1"/>
  <c r="E56" i="107" a="1"/>
  <c r="E56" i="107" s="1"/>
  <c r="D56" i="107" a="1"/>
  <c r="D56" i="107" s="1"/>
  <c r="K55" i="107" a="1"/>
  <c r="K55" i="107" s="1"/>
  <c r="J55" i="107" a="1"/>
  <c r="J55" i="107" s="1"/>
  <c r="I55" i="107" a="1"/>
  <c r="I55" i="107" s="1"/>
  <c r="H55" i="107" a="1"/>
  <c r="H55" i="107" s="1"/>
  <c r="G55" i="107" a="1"/>
  <c r="G55" i="107" s="1"/>
  <c r="F55" i="107" a="1"/>
  <c r="F55" i="107" s="1"/>
  <c r="E55" i="107" a="1"/>
  <c r="E55" i="107" s="1"/>
  <c r="D55" i="107" a="1"/>
  <c r="D55" i="107" s="1"/>
  <c r="K54" i="107" a="1"/>
  <c r="K54" i="107" s="1"/>
  <c r="J54" i="107" a="1"/>
  <c r="J54" i="107" s="1"/>
  <c r="I54" i="107" a="1"/>
  <c r="I54" i="107" s="1"/>
  <c r="H54" i="107" a="1"/>
  <c r="H54" i="107" s="1"/>
  <c r="G54" i="107" a="1"/>
  <c r="G54" i="107" s="1"/>
  <c r="F54" i="107" a="1"/>
  <c r="F54" i="107" s="1"/>
  <c r="E54" i="107" a="1"/>
  <c r="E54" i="107" s="1"/>
  <c r="D54" i="107" a="1"/>
  <c r="D54" i="107" s="1"/>
  <c r="D52" i="107" a="1"/>
  <c r="D52" i="107" s="1"/>
  <c r="D51" i="107" a="1"/>
  <c r="D51" i="107" s="1"/>
  <c r="D50" i="107" a="1"/>
  <c r="D50" i="107" s="1"/>
  <c r="D49" i="107" a="1"/>
  <c r="D49" i="107" s="1"/>
  <c r="J43" i="107" a="1"/>
  <c r="J43" i="107" s="1"/>
  <c r="I43" i="107" a="1"/>
  <c r="I43" i="107" s="1"/>
  <c r="H43" i="107" a="1"/>
  <c r="H43" i="107" s="1"/>
  <c r="G43" i="107" a="1"/>
  <c r="G43" i="107" s="1"/>
  <c r="F43" i="107" a="1"/>
  <c r="F43" i="107" s="1"/>
  <c r="E43" i="107" a="1"/>
  <c r="E43" i="107" s="1"/>
  <c r="D43" i="107" a="1"/>
  <c r="D43" i="107" s="1"/>
  <c r="J42" i="107" a="1"/>
  <c r="J42" i="107" s="1"/>
  <c r="I42" i="107" a="1"/>
  <c r="I42" i="107" s="1"/>
  <c r="H42" i="107" a="1"/>
  <c r="H42" i="107" s="1"/>
  <c r="G42" i="107" a="1"/>
  <c r="G42" i="107" s="1"/>
  <c r="F42" i="107" a="1"/>
  <c r="F42" i="107" s="1"/>
  <c r="E42" i="107" a="1"/>
  <c r="E42" i="107" s="1"/>
  <c r="D42" i="107" a="1"/>
  <c r="D42" i="107" s="1"/>
  <c r="J41" i="107" a="1"/>
  <c r="J41" i="107" s="1"/>
  <c r="I41" i="107" a="1"/>
  <c r="I41" i="107" s="1"/>
  <c r="H41" i="107" a="1"/>
  <c r="H41" i="107" s="1"/>
  <c r="G41" i="107" a="1"/>
  <c r="G41" i="107" s="1"/>
  <c r="F41" i="107" a="1"/>
  <c r="F41" i="107" s="1"/>
  <c r="E41" i="107" a="1"/>
  <c r="E41" i="107" s="1"/>
  <c r="D41" i="107" a="1"/>
  <c r="D41" i="107" s="1"/>
  <c r="J40" i="107" a="1"/>
  <c r="J40" i="107" s="1"/>
  <c r="I40" i="107" a="1"/>
  <c r="I40" i="107" s="1"/>
  <c r="H40" i="107" a="1"/>
  <c r="H40" i="107" s="1"/>
  <c r="G40" i="107" a="1"/>
  <c r="G40" i="107" s="1"/>
  <c r="F40" i="107" a="1"/>
  <c r="F40" i="107" s="1"/>
  <c r="E40" i="107" a="1"/>
  <c r="E40" i="107" s="1"/>
  <c r="D40" i="107" a="1"/>
  <c r="D40" i="107" s="1"/>
  <c r="D38" i="107" a="1"/>
  <c r="D38" i="107" s="1"/>
  <c r="D37" i="107" a="1"/>
  <c r="D37" i="107" s="1"/>
  <c r="L34" i="107" a="1"/>
  <c r="L34" i="107" s="1"/>
  <c r="K34" i="107" a="1"/>
  <c r="K34" i="107" s="1"/>
  <c r="J34" i="107" a="1"/>
  <c r="J34" i="107" s="1"/>
  <c r="I34" i="107" a="1"/>
  <c r="I34" i="107" s="1"/>
  <c r="H34" i="107" a="1"/>
  <c r="H34" i="107" s="1"/>
  <c r="G34" i="107" a="1"/>
  <c r="G34" i="107" s="1"/>
  <c r="F34" i="107" a="1"/>
  <c r="F34" i="107" s="1"/>
  <c r="E34" i="107" a="1"/>
  <c r="E34" i="107" s="1"/>
  <c r="D34" i="107" a="1"/>
  <c r="D34" i="107" s="1"/>
  <c r="L33" i="107" a="1"/>
  <c r="L33" i="107" s="1"/>
  <c r="K33" i="107" a="1"/>
  <c r="K33" i="107" s="1"/>
  <c r="J33" i="107" a="1"/>
  <c r="J33" i="107" s="1"/>
  <c r="I33" i="107" a="1"/>
  <c r="I33" i="107" s="1"/>
  <c r="H33" i="107" a="1"/>
  <c r="H33" i="107" s="1"/>
  <c r="G33" i="107" a="1"/>
  <c r="G33" i="107" s="1"/>
  <c r="F33" i="107" a="1"/>
  <c r="F33" i="107" s="1"/>
  <c r="E33" i="107" a="1"/>
  <c r="E33" i="107" s="1"/>
  <c r="E39" i="105" s="1"/>
  <c r="D33" i="107" a="1"/>
  <c r="D33" i="107" s="1"/>
  <c r="L32" i="107" a="1"/>
  <c r="L32" i="107" s="1"/>
  <c r="K32" i="107" a="1"/>
  <c r="K32" i="107" s="1"/>
  <c r="J32" i="107" a="1"/>
  <c r="J32" i="107" s="1"/>
  <c r="I32" i="107" a="1"/>
  <c r="I32" i="107" s="1"/>
  <c r="H32" i="107" a="1"/>
  <c r="H32" i="107" s="1"/>
  <c r="G32" i="107" a="1"/>
  <c r="G32" i="107" s="1"/>
  <c r="F32" i="107" a="1"/>
  <c r="F32" i="107" s="1"/>
  <c r="E32" i="107" a="1"/>
  <c r="E32" i="107" s="1"/>
  <c r="D32" i="107" a="1"/>
  <c r="D32" i="107" s="1"/>
  <c r="L31" i="107" a="1"/>
  <c r="L31" i="107" s="1"/>
  <c r="K31" i="107" a="1"/>
  <c r="K31" i="107" s="1"/>
  <c r="J31" i="107" a="1"/>
  <c r="J31" i="107" s="1"/>
  <c r="I31" i="107" a="1"/>
  <c r="I31" i="107" s="1"/>
  <c r="H31" i="107" a="1"/>
  <c r="H31" i="107" s="1"/>
  <c r="G31" i="107" a="1"/>
  <c r="G31" i="107" s="1"/>
  <c r="F31" i="107" a="1"/>
  <c r="F31" i="107" s="1"/>
  <c r="E31" i="107" a="1"/>
  <c r="E31" i="107" s="1"/>
  <c r="D31" i="107" a="1"/>
  <c r="D31" i="107" s="1"/>
  <c r="L30" i="107" a="1"/>
  <c r="L30" i="107" s="1"/>
  <c r="K30" i="107" a="1"/>
  <c r="K30" i="107" s="1"/>
  <c r="J30" i="107" a="1"/>
  <c r="J30" i="107" s="1"/>
  <c r="I30" i="107" a="1"/>
  <c r="I30" i="107" s="1"/>
  <c r="H30" i="107" a="1"/>
  <c r="H30" i="107" s="1"/>
  <c r="G30" i="107" a="1"/>
  <c r="G30" i="107" s="1"/>
  <c r="F30" i="107" a="1"/>
  <c r="F30" i="107" s="1"/>
  <c r="E30" i="107" a="1"/>
  <c r="E30" i="107" s="1"/>
  <c r="E36" i="105" s="1"/>
  <c r="D30" i="107" a="1"/>
  <c r="D30" i="107" s="1"/>
  <c r="L29" i="107" a="1"/>
  <c r="L29" i="107" s="1"/>
  <c r="K29" i="107" a="1"/>
  <c r="K29" i="107" s="1"/>
  <c r="J29" i="107" a="1"/>
  <c r="J29" i="107" s="1"/>
  <c r="I29" i="107" a="1"/>
  <c r="I29" i="107" s="1"/>
  <c r="H29" i="107" a="1"/>
  <c r="H29" i="107" s="1"/>
  <c r="G29" i="107" a="1"/>
  <c r="G29" i="107" s="1"/>
  <c r="F29" i="107" a="1"/>
  <c r="F29" i="107" s="1"/>
  <c r="E29" i="107" a="1"/>
  <c r="E29" i="107" s="1"/>
  <c r="E35" i="105" s="1"/>
  <c r="D29" i="107" a="1"/>
  <c r="D29" i="107" s="1"/>
  <c r="L28" i="107" a="1"/>
  <c r="L28" i="107" s="1"/>
  <c r="K28" i="107" a="1"/>
  <c r="K28" i="107" s="1"/>
  <c r="J28" i="107" a="1"/>
  <c r="J28" i="107" s="1"/>
  <c r="I28" i="107" a="1"/>
  <c r="I28" i="107" s="1"/>
  <c r="H28" i="107" a="1"/>
  <c r="H28" i="107" s="1"/>
  <c r="G28" i="107" a="1"/>
  <c r="G28" i="107" s="1"/>
  <c r="F28" i="107" a="1"/>
  <c r="F28" i="107" s="1"/>
  <c r="E28" i="107" a="1"/>
  <c r="E28" i="107" s="1"/>
  <c r="E34" i="105" s="1"/>
  <c r="D28" i="107" a="1"/>
  <c r="D28" i="107" s="1"/>
  <c r="L27" i="107" a="1"/>
  <c r="L27" i="107" s="1"/>
  <c r="K27" i="107" a="1"/>
  <c r="K27" i="107" s="1"/>
  <c r="J27" i="107" a="1"/>
  <c r="J27" i="107" s="1"/>
  <c r="I27" i="107" a="1"/>
  <c r="I27" i="107" s="1"/>
  <c r="H27" i="107" a="1"/>
  <c r="H27" i="107" s="1"/>
  <c r="G27" i="107" a="1"/>
  <c r="G27" i="107" s="1"/>
  <c r="F27" i="107" a="1"/>
  <c r="F27" i="107" s="1"/>
  <c r="E27" i="107" a="1"/>
  <c r="E27" i="107" s="1"/>
  <c r="D27" i="107" a="1"/>
  <c r="D27" i="107" s="1"/>
  <c r="L26" i="107" a="1"/>
  <c r="L26" i="107" s="1"/>
  <c r="K26" i="107" a="1"/>
  <c r="K26" i="107" s="1"/>
  <c r="J26" i="107" a="1"/>
  <c r="J26" i="107" s="1"/>
  <c r="I26" i="107" a="1"/>
  <c r="I26" i="107" s="1"/>
  <c r="H26" i="107" a="1"/>
  <c r="H26" i="107" s="1"/>
  <c r="G26" i="107" a="1"/>
  <c r="G26" i="107" s="1"/>
  <c r="F26" i="107" a="1"/>
  <c r="F26" i="107" s="1"/>
  <c r="E26" i="107" a="1"/>
  <c r="E26" i="107" s="1"/>
  <c r="D26" i="107" a="1"/>
  <c r="D26" i="107" s="1"/>
  <c r="L25" i="107" a="1"/>
  <c r="L25" i="107" s="1"/>
  <c r="K25" i="107" a="1"/>
  <c r="K25" i="107" s="1"/>
  <c r="J25" i="107" a="1"/>
  <c r="J25" i="107" s="1"/>
  <c r="I25" i="107" a="1"/>
  <c r="I25" i="107" s="1"/>
  <c r="H25" i="107" a="1"/>
  <c r="H25" i="107" s="1"/>
  <c r="G25" i="107" a="1"/>
  <c r="G25" i="107" s="1"/>
  <c r="F25" i="107" a="1"/>
  <c r="F25" i="107" s="1"/>
  <c r="E25" i="107" a="1"/>
  <c r="E25" i="107" s="1"/>
  <c r="D25" i="107" a="1"/>
  <c r="D25" i="107" s="1"/>
  <c r="L24" i="107" a="1"/>
  <c r="L24" i="107" s="1"/>
  <c r="K24" i="107" a="1"/>
  <c r="K24" i="107" s="1"/>
  <c r="J24" i="107" a="1"/>
  <c r="J24" i="107" s="1"/>
  <c r="I24" i="107" a="1"/>
  <c r="I24" i="107" s="1"/>
  <c r="H24" i="107" a="1"/>
  <c r="H24" i="107" s="1"/>
  <c r="G24" i="107" a="1"/>
  <c r="G24" i="107" s="1"/>
  <c r="F24" i="107" a="1"/>
  <c r="F24" i="107" s="1"/>
  <c r="E24" i="107" a="1"/>
  <c r="E24" i="107" s="1"/>
  <c r="D24" i="107" a="1"/>
  <c r="D24" i="107" s="1"/>
  <c r="L23" i="107" a="1"/>
  <c r="L23" i="107" s="1"/>
  <c r="K23" i="107" a="1"/>
  <c r="K23" i="107" s="1"/>
  <c r="J23" i="107" a="1"/>
  <c r="J23" i="107" s="1"/>
  <c r="I23" i="107" a="1"/>
  <c r="I23" i="107" s="1"/>
  <c r="H23" i="107" a="1"/>
  <c r="H23" i="107" s="1"/>
  <c r="G23" i="107" a="1"/>
  <c r="G23" i="107" s="1"/>
  <c r="F23" i="107" a="1"/>
  <c r="F23" i="107" s="1"/>
  <c r="E23" i="107" a="1"/>
  <c r="E23" i="107" s="1"/>
  <c r="D23" i="107" a="1"/>
  <c r="D23" i="107" s="1"/>
  <c r="L22" i="107" a="1"/>
  <c r="L22" i="107" s="1"/>
  <c r="K22" i="107" a="1"/>
  <c r="K22" i="107" s="1"/>
  <c r="J22" i="107" a="1"/>
  <c r="J22" i="107" s="1"/>
  <c r="I22" i="107" a="1"/>
  <c r="I22" i="107" s="1"/>
  <c r="H22" i="107" a="1"/>
  <c r="H22" i="107" s="1"/>
  <c r="G22" i="107" a="1"/>
  <c r="G22" i="107" s="1"/>
  <c r="F22" i="107" a="1"/>
  <c r="F22" i="107" s="1"/>
  <c r="E22" i="107" a="1"/>
  <c r="E22" i="107" s="1"/>
  <c r="D22" i="107" a="1"/>
  <c r="D22" i="107" s="1"/>
  <c r="L21" i="107" a="1"/>
  <c r="L21" i="107" s="1"/>
  <c r="K21" i="107" a="1"/>
  <c r="K21" i="107" s="1"/>
  <c r="J21" i="107" a="1"/>
  <c r="J21" i="107" s="1"/>
  <c r="I21" i="107" a="1"/>
  <c r="I21" i="107" s="1"/>
  <c r="H21" i="107" a="1"/>
  <c r="H21" i="107" s="1"/>
  <c r="G21" i="107" a="1"/>
  <c r="G21" i="107" s="1"/>
  <c r="F21" i="107" a="1"/>
  <c r="F21" i="107" s="1"/>
  <c r="E21" i="107" a="1"/>
  <c r="E21" i="107" s="1"/>
  <c r="D21" i="107" a="1"/>
  <c r="D21" i="107" s="1"/>
  <c r="L20" i="107" a="1"/>
  <c r="L20" i="107" s="1"/>
  <c r="K20" i="107" a="1"/>
  <c r="K20" i="107" s="1"/>
  <c r="J20" i="107" a="1"/>
  <c r="J20" i="107" s="1"/>
  <c r="I20" i="107" a="1"/>
  <c r="I20" i="107" s="1"/>
  <c r="H20" i="107" a="1"/>
  <c r="H20" i="107" s="1"/>
  <c r="G20" i="107" a="1"/>
  <c r="G20" i="107" s="1"/>
  <c r="F20" i="107" a="1"/>
  <c r="F20" i="107" s="1"/>
  <c r="E20" i="107" a="1"/>
  <c r="E20" i="107" s="1"/>
  <c r="D20" i="107" a="1"/>
  <c r="D20" i="107" s="1"/>
  <c r="L19" i="107" a="1"/>
  <c r="L19" i="107" s="1"/>
  <c r="K19" i="107" a="1"/>
  <c r="K19" i="107" s="1"/>
  <c r="J19" i="107" a="1"/>
  <c r="J19" i="107" s="1"/>
  <c r="I19" i="107" a="1"/>
  <c r="I19" i="107" s="1"/>
  <c r="H19" i="107" a="1"/>
  <c r="H19" i="107" s="1"/>
  <c r="G19" i="107" a="1"/>
  <c r="G19" i="107" s="1"/>
  <c r="F19" i="107" a="1"/>
  <c r="F19" i="107" s="1"/>
  <c r="E19" i="107" a="1"/>
  <c r="E19" i="107" s="1"/>
  <c r="D19" i="107" a="1"/>
  <c r="D19" i="107" s="1"/>
  <c r="L18" i="107" a="1"/>
  <c r="L18" i="107" s="1"/>
  <c r="K18" i="107" a="1"/>
  <c r="K18" i="107" s="1"/>
  <c r="J18" i="107" a="1"/>
  <c r="J18" i="107" s="1"/>
  <c r="I18" i="107" a="1"/>
  <c r="I18" i="107" s="1"/>
  <c r="H18" i="107" a="1"/>
  <c r="H18" i="107" s="1"/>
  <c r="G18" i="107" a="1"/>
  <c r="G18" i="107" s="1"/>
  <c r="F18" i="107" a="1"/>
  <c r="F18" i="107" s="1"/>
  <c r="E18" i="107" a="1"/>
  <c r="E18" i="107" s="1"/>
  <c r="D18" i="107" a="1"/>
  <c r="D18" i="107" s="1"/>
  <c r="L17" i="107" a="1"/>
  <c r="L17" i="107" s="1"/>
  <c r="K17" i="107" a="1"/>
  <c r="K17" i="107" s="1"/>
  <c r="J17" i="107" a="1"/>
  <c r="J17" i="107" s="1"/>
  <c r="I17" i="107" a="1"/>
  <c r="I17" i="107" s="1"/>
  <c r="H17" i="107" a="1"/>
  <c r="H17" i="107" s="1"/>
  <c r="G17" i="107" a="1"/>
  <c r="G17" i="107" s="1"/>
  <c r="F17" i="107" a="1"/>
  <c r="F17" i="107" s="1"/>
  <c r="E17" i="107" a="1"/>
  <c r="E17" i="107" s="1"/>
  <c r="E32" i="105" s="1"/>
  <c r="D17" i="107" a="1"/>
  <c r="D17" i="107" s="1"/>
  <c r="L16" i="107" a="1"/>
  <c r="L16" i="107" s="1"/>
  <c r="K16" i="107" a="1"/>
  <c r="K16" i="107" s="1"/>
  <c r="J16" i="107" a="1"/>
  <c r="J16" i="107" s="1"/>
  <c r="I16" i="107" a="1"/>
  <c r="I16" i="107" s="1"/>
  <c r="H16" i="107" a="1"/>
  <c r="H16" i="107" s="1"/>
  <c r="G16" i="107" a="1"/>
  <c r="G16" i="107" s="1"/>
  <c r="F16" i="107" a="1"/>
  <c r="F16" i="107" s="1"/>
  <c r="E16" i="107" a="1"/>
  <c r="E16" i="107" s="1"/>
  <c r="E31" i="105" s="1"/>
  <c r="D16" i="107" a="1"/>
  <c r="D16" i="107" s="1"/>
  <c r="L15" i="107" a="1"/>
  <c r="L15" i="107" s="1"/>
  <c r="K15" i="107" a="1"/>
  <c r="K15" i="107" s="1"/>
  <c r="J15" i="107" a="1"/>
  <c r="J15" i="107" s="1"/>
  <c r="I15" i="107" a="1"/>
  <c r="I15" i="107" s="1"/>
  <c r="H15" i="107" a="1"/>
  <c r="H15" i="107" s="1"/>
  <c r="G15" i="107" a="1"/>
  <c r="G15" i="107" s="1"/>
  <c r="F15" i="107" a="1"/>
  <c r="F15" i="107" s="1"/>
  <c r="E15" i="107" a="1"/>
  <c r="E15" i="107" s="1"/>
  <c r="E30" i="105" s="1"/>
  <c r="D15" i="107" a="1"/>
  <c r="D15" i="107" s="1"/>
  <c r="L14" i="107" a="1"/>
  <c r="L14" i="107" s="1"/>
  <c r="K14" i="107" a="1"/>
  <c r="K14" i="107" s="1"/>
  <c r="J14" i="107" a="1"/>
  <c r="J14" i="107" s="1"/>
  <c r="I14" i="107" a="1"/>
  <c r="I14" i="107" s="1"/>
  <c r="H14" i="107" a="1"/>
  <c r="H14" i="107" s="1"/>
  <c r="G14" i="107" a="1"/>
  <c r="G14" i="107" s="1"/>
  <c r="F14" i="107" a="1"/>
  <c r="F14" i="107" s="1"/>
  <c r="E14" i="107" a="1"/>
  <c r="E14" i="107" s="1"/>
  <c r="E29" i="105" s="1"/>
  <c r="D14" i="107" a="1"/>
  <c r="D14" i="107" s="1"/>
  <c r="L13" i="107" a="1"/>
  <c r="L13" i="107" s="1"/>
  <c r="K13" i="107" a="1"/>
  <c r="K13" i="107" s="1"/>
  <c r="J13" i="107" a="1"/>
  <c r="J13" i="107" s="1"/>
  <c r="I13" i="107" a="1"/>
  <c r="I13" i="107" s="1"/>
  <c r="H13" i="107" a="1"/>
  <c r="H13" i="107" s="1"/>
  <c r="G13" i="107" a="1"/>
  <c r="G13" i="107" s="1"/>
  <c r="F13" i="107" a="1"/>
  <c r="F13" i="107" s="1"/>
  <c r="E13" i="107" a="1"/>
  <c r="E13" i="107" s="1"/>
  <c r="E28" i="105" s="1"/>
  <c r="D13" i="107" a="1"/>
  <c r="D13" i="107" s="1"/>
  <c r="L12" i="107" a="1"/>
  <c r="L12" i="107" s="1"/>
  <c r="K12" i="107" a="1"/>
  <c r="K12" i="107" s="1"/>
  <c r="J12" i="107" a="1"/>
  <c r="J12" i="107" s="1"/>
  <c r="I12" i="107" a="1"/>
  <c r="I12" i="107" s="1"/>
  <c r="H12" i="107" a="1"/>
  <c r="H12" i="107" s="1"/>
  <c r="G12" i="107" a="1"/>
  <c r="G12" i="107" s="1"/>
  <c r="F12" i="107" a="1"/>
  <c r="F12" i="107" s="1"/>
  <c r="E12" i="107" a="1"/>
  <c r="E12" i="107" s="1"/>
  <c r="E27" i="105" s="1"/>
  <c r="D12" i="107" a="1"/>
  <c r="D12" i="107" s="1"/>
  <c r="L11" i="107" a="1"/>
  <c r="L11" i="107" s="1"/>
  <c r="K11" i="107" a="1"/>
  <c r="K11" i="107" s="1"/>
  <c r="J11" i="107" a="1"/>
  <c r="J11" i="107" s="1"/>
  <c r="I11" i="107" a="1"/>
  <c r="I11" i="107" s="1"/>
  <c r="H11" i="107" a="1"/>
  <c r="H11" i="107" s="1"/>
  <c r="G11" i="107" a="1"/>
  <c r="G11" i="107" s="1"/>
  <c r="F11" i="107" a="1"/>
  <c r="F11" i="107" s="1"/>
  <c r="E11" i="107" a="1"/>
  <c r="E11" i="107" s="1"/>
  <c r="D11" i="107" a="1"/>
  <c r="D11" i="107" s="1"/>
  <c r="L10" i="107" a="1"/>
  <c r="L10" i="107" s="1"/>
  <c r="K10" i="107" a="1"/>
  <c r="K10" i="107" s="1"/>
  <c r="J10" i="107" a="1"/>
  <c r="J10" i="107" s="1"/>
  <c r="I10" i="107" a="1"/>
  <c r="I10" i="107" s="1"/>
  <c r="H10" i="107" a="1"/>
  <c r="H10" i="107" s="1"/>
  <c r="G10" i="107" a="1"/>
  <c r="G10" i="107" s="1"/>
  <c r="F10" i="107" a="1"/>
  <c r="F10" i="107" s="1"/>
  <c r="E10" i="107" a="1"/>
  <c r="E10" i="107" s="1"/>
  <c r="D10" i="107" a="1"/>
  <c r="D10" i="107" s="1"/>
  <c r="D8" i="107" a="1"/>
  <c r="D8" i="107" s="1"/>
  <c r="D7" i="107" a="1"/>
  <c r="D7" i="107" s="1"/>
  <c r="D6" i="107" a="1"/>
  <c r="D6" i="107" s="1"/>
  <c r="D5" i="107" a="1"/>
  <c r="D5" i="107" s="1"/>
  <c r="D34" i="106"/>
  <c r="D36" i="106"/>
  <c r="D27" i="106"/>
  <c r="D29" i="106"/>
  <c r="P18" i="106"/>
  <c r="P17" i="106"/>
  <c r="P16" i="106" a="1"/>
  <c r="P16" i="106" s="1"/>
  <c r="I16" i="106" a="1"/>
  <c r="I16" i="106" s="1"/>
  <c r="P15" i="106" a="1"/>
  <c r="P15" i="106" s="1"/>
  <c r="I15" i="106" a="1"/>
  <c r="I15" i="106" s="1"/>
  <c r="P14" i="106" a="1"/>
  <c r="P14" i="106" s="1"/>
  <c r="N14" i="106" a="1"/>
  <c r="N14" i="106" s="1"/>
  <c r="K14" i="106" a="1"/>
  <c r="K14" i="106" s="1"/>
  <c r="I14" i="106" a="1"/>
  <c r="I14" i="106" s="1"/>
  <c r="G14" i="106" a="1"/>
  <c r="G14" i="106" s="1"/>
  <c r="D14" i="106" a="1"/>
  <c r="D14" i="106" s="1"/>
  <c r="L12" i="106" a="1"/>
  <c r="L12" i="106" s="1"/>
  <c r="E12" i="106" a="1"/>
  <c r="E12" i="106" s="1"/>
  <c r="L11" i="106" a="1"/>
  <c r="L11" i="106" s="1"/>
  <c r="E11" i="106" a="1"/>
  <c r="E11" i="106" s="1"/>
  <c r="K7" i="106" a="1"/>
  <c r="K7" i="106" s="1"/>
  <c r="K6" i="106" a="1"/>
  <c r="K6" i="106" s="1"/>
  <c r="D6" i="106" a="1"/>
  <c r="D6" i="106" s="1"/>
  <c r="K5" i="106" a="1"/>
  <c r="K5" i="106" s="1"/>
  <c r="D5" i="106" a="1"/>
  <c r="D5" i="106" s="1"/>
  <c r="D38" i="105"/>
  <c r="D60" i="105"/>
  <c r="D36" i="105"/>
  <c r="D35" i="105"/>
  <c r="D27" i="105"/>
  <c r="P16" i="105" a="1"/>
  <c r="P16" i="105" s="1"/>
  <c r="I16" i="105" a="1"/>
  <c r="I16" i="105" s="1"/>
  <c r="P15" i="105" a="1"/>
  <c r="P15" i="105" s="1"/>
  <c r="I15" i="105" a="1"/>
  <c r="I15" i="105" s="1"/>
  <c r="P14" i="105" a="1"/>
  <c r="P14" i="105" s="1"/>
  <c r="N14" i="105" a="1"/>
  <c r="N14" i="105" s="1"/>
  <c r="K14" i="105" a="1"/>
  <c r="K14" i="105" s="1"/>
  <c r="I14" i="105" a="1"/>
  <c r="I14" i="105" s="1"/>
  <c r="G14" i="105" a="1"/>
  <c r="G14" i="105" s="1"/>
  <c r="D14" i="105" a="1"/>
  <c r="D14" i="105" s="1"/>
  <c r="L12" i="105" a="1"/>
  <c r="L12" i="105" s="1"/>
  <c r="E12" i="105" a="1"/>
  <c r="E12" i="105" s="1"/>
  <c r="L11" i="105" a="1"/>
  <c r="L11" i="105" s="1"/>
  <c r="E11" i="105" a="1"/>
  <c r="E11" i="105" s="1"/>
  <c r="K6" i="105" a="1"/>
  <c r="K6" i="105" s="1"/>
  <c r="D6" i="105" a="1"/>
  <c r="D6" i="105" s="1"/>
  <c r="K5" i="105" a="1"/>
  <c r="K5" i="105" s="1"/>
  <c r="D5" i="105" a="1"/>
  <c r="D5" i="105" s="1"/>
  <c r="H21" i="104"/>
  <c r="H20" i="104"/>
  <c r="H19" i="104"/>
  <c r="H18" i="104"/>
  <c r="H17" i="104"/>
  <c r="H25" i="103" a="1"/>
  <c r="H25" i="103" s="1"/>
  <c r="G25" i="103" a="1"/>
  <c r="G25" i="103" s="1"/>
  <c r="I567" i="124" s="1" a="1"/>
  <c r="I567" i="124" s="1"/>
  <c r="F25" i="103" a="1"/>
  <c r="F25" i="103" s="1"/>
  <c r="E25" i="103" a="1"/>
  <c r="E25" i="103" s="1"/>
  <c r="J36" i="102" s="1" a="1"/>
  <c r="J36" i="102" s="1"/>
  <c r="D25" i="103" a="1"/>
  <c r="D25" i="103" s="1"/>
  <c r="D22" i="103" a="1"/>
  <c r="D22" i="103" s="1"/>
  <c r="D21" i="103" a="1"/>
  <c r="D21" i="103" s="1"/>
  <c r="F19" i="103" a="1"/>
  <c r="F19" i="103" s="1"/>
  <c r="E19" i="103" a="1"/>
  <c r="E19" i="103" s="1"/>
  <c r="D19" i="103" a="1"/>
  <c r="D19" i="103" s="1"/>
  <c r="F18" i="103" a="1"/>
  <c r="F18" i="103" s="1"/>
  <c r="E18" i="103" a="1"/>
  <c r="E18" i="103" s="1"/>
  <c r="D18" i="103" a="1"/>
  <c r="D18" i="103" s="1"/>
  <c r="F17" i="103" a="1"/>
  <c r="F17" i="103" s="1"/>
  <c r="E17" i="103" a="1"/>
  <c r="E17" i="103" s="1"/>
  <c r="D17" i="103" a="1"/>
  <c r="D17" i="103" s="1"/>
  <c r="F16" i="103" a="1"/>
  <c r="F16" i="103" s="1"/>
  <c r="E16" i="103" a="1"/>
  <c r="E16" i="103" s="1"/>
  <c r="D16" i="103" a="1"/>
  <c r="D16" i="103" s="1"/>
  <c r="F15" i="103" a="1"/>
  <c r="F15" i="103" s="1"/>
  <c r="E15" i="103" a="1"/>
  <c r="E15" i="103" s="1"/>
  <c r="D15" i="103" a="1"/>
  <c r="D15" i="103" s="1"/>
  <c r="F14" i="103" a="1"/>
  <c r="F14" i="103" s="1"/>
  <c r="E14" i="103" a="1"/>
  <c r="E14" i="103" s="1"/>
  <c r="D14" i="103" a="1"/>
  <c r="D14" i="103" s="1"/>
  <c r="F13" i="103" a="1"/>
  <c r="F13" i="103" s="1"/>
  <c r="E13" i="103" a="1"/>
  <c r="E13" i="103" s="1"/>
  <c r="D13" i="103" a="1"/>
  <c r="D13" i="103" s="1"/>
  <c r="F12" i="103" a="1"/>
  <c r="F12" i="103" s="1"/>
  <c r="E12" i="103" a="1"/>
  <c r="E12" i="103" s="1"/>
  <c r="D12" i="103" a="1"/>
  <c r="D12" i="103" s="1"/>
  <c r="F11" i="103" a="1"/>
  <c r="F11" i="103" s="1"/>
  <c r="E11" i="103" a="1"/>
  <c r="E11" i="103" s="1"/>
  <c r="D11" i="103" a="1"/>
  <c r="D11" i="103" s="1"/>
  <c r="F10" i="103" a="1"/>
  <c r="F10" i="103" s="1"/>
  <c r="E10" i="103" a="1"/>
  <c r="E10" i="103" s="1"/>
  <c r="D10" i="103" a="1"/>
  <c r="D10" i="103" s="1"/>
  <c r="D7" i="103" a="1"/>
  <c r="D7" i="103" s="1"/>
  <c r="D6" i="103" a="1"/>
  <c r="D6" i="103" s="1"/>
  <c r="D5" i="103" a="1"/>
  <c r="D5" i="103" s="1"/>
  <c r="J37" i="102"/>
  <c r="J33" i="102" s="1"/>
  <c r="J32" i="102"/>
  <c r="J31" i="102"/>
  <c r="H31" i="102" a="1"/>
  <c r="H31" i="102" s="1"/>
  <c r="D31" i="102" a="1"/>
  <c r="D31" i="102" s="1"/>
  <c r="E29" i="102" a="1"/>
  <c r="E29" i="102" s="1"/>
  <c r="F39" i="102" s="1"/>
  <c r="E28" i="102" a="1"/>
  <c r="E28" i="102" s="1"/>
  <c r="D24" i="102" a="1"/>
  <c r="D24" i="102" s="1"/>
  <c r="D23" i="102" a="1"/>
  <c r="D23" i="102" s="1"/>
  <c r="D22" i="102" a="1"/>
  <c r="D22" i="102" s="1"/>
  <c r="I16" i="102"/>
  <c r="I14" i="102"/>
  <c r="G14" i="102" a="1"/>
  <c r="G14" i="102" s="1"/>
  <c r="D14" i="102" a="1"/>
  <c r="D14" i="102" s="1"/>
  <c r="E12" i="102" a="1"/>
  <c r="E12" i="102" s="1"/>
  <c r="F18" i="102" s="1"/>
  <c r="E11" i="102" a="1"/>
  <c r="E11" i="102" s="1"/>
  <c r="D7" i="102" a="1"/>
  <c r="D7" i="102" s="1"/>
  <c r="D6" i="102" a="1"/>
  <c r="D6" i="102" s="1"/>
  <c r="D5" i="102" a="1"/>
  <c r="D5" i="102" s="1"/>
  <c r="H48" i="101"/>
  <c r="E48" i="101"/>
  <c r="H47" i="101"/>
  <c r="E47" i="101"/>
  <c r="H46" i="101"/>
  <c r="E46" i="101"/>
  <c r="H39" i="101"/>
  <c r="H38" i="101"/>
  <c r="H37" i="101"/>
  <c r="E29" i="101"/>
  <c r="E16" i="101"/>
  <c r="E22" i="101" s="1"/>
  <c r="E6" i="101"/>
  <c r="AH223" i="100" a="1"/>
  <c r="AH223" i="100" s="1"/>
  <c r="AG223" i="100" a="1"/>
  <c r="AG223" i="100" s="1"/>
  <c r="AF223" i="100" a="1"/>
  <c r="AF223" i="100" s="1"/>
  <c r="AE223" i="100" a="1"/>
  <c r="AE223" i="100" s="1"/>
  <c r="AD223" i="100" a="1"/>
  <c r="AD223" i="100" s="1"/>
  <c r="AC223" i="100" a="1"/>
  <c r="AC223" i="100" s="1"/>
  <c r="AB223" i="100" a="1"/>
  <c r="AB223" i="100" s="1"/>
  <c r="AA223" i="100" a="1"/>
  <c r="AA223" i="100" s="1"/>
  <c r="Z223" i="100" a="1"/>
  <c r="Z223" i="100" s="1"/>
  <c r="Y223" i="100" a="1"/>
  <c r="Y223" i="100" s="1"/>
  <c r="X223" i="100" a="1"/>
  <c r="X223" i="100" s="1"/>
  <c r="W223" i="100" a="1"/>
  <c r="W223" i="100" s="1"/>
  <c r="V223" i="100" a="1"/>
  <c r="V223" i="100" s="1"/>
  <c r="U223" i="100" a="1"/>
  <c r="U223" i="100" s="1"/>
  <c r="T223" i="100" a="1"/>
  <c r="T223" i="100" s="1"/>
  <c r="S223" i="100" a="1"/>
  <c r="S223" i="100" s="1"/>
  <c r="R223" i="100" a="1"/>
  <c r="R223" i="100" s="1"/>
  <c r="Q223" i="100" a="1"/>
  <c r="Q223" i="100" s="1"/>
  <c r="P223" i="100" a="1"/>
  <c r="P223" i="100" s="1"/>
  <c r="O223" i="100" a="1"/>
  <c r="O223" i="100" s="1"/>
  <c r="N223" i="100" a="1"/>
  <c r="N223" i="100" s="1"/>
  <c r="M223" i="100" a="1"/>
  <c r="M223" i="100" s="1"/>
  <c r="L223" i="100" a="1"/>
  <c r="L223" i="100" s="1"/>
  <c r="K223" i="100" a="1"/>
  <c r="K223" i="100" s="1"/>
  <c r="J223" i="100" a="1"/>
  <c r="J223" i="100" s="1"/>
  <c r="I223" i="100" a="1"/>
  <c r="I223" i="100" s="1"/>
  <c r="H223" i="100" a="1"/>
  <c r="H223" i="100" s="1"/>
  <c r="G223" i="100" a="1"/>
  <c r="G223" i="100" s="1"/>
  <c r="F223" i="100" a="1"/>
  <c r="F223" i="100" s="1"/>
  <c r="E223" i="100" a="1"/>
  <c r="E223" i="100" s="1"/>
  <c r="D223" i="100" a="1"/>
  <c r="D223" i="100" s="1"/>
  <c r="AH222" i="100" a="1"/>
  <c r="AH222" i="100" s="1"/>
  <c r="AG222" i="100" a="1"/>
  <c r="AG222" i="100" s="1"/>
  <c r="AF222" i="100" a="1"/>
  <c r="AF222" i="100" s="1"/>
  <c r="AE222" i="100" a="1"/>
  <c r="AE222" i="100" s="1"/>
  <c r="AD222" i="100" a="1"/>
  <c r="AD222" i="100" s="1"/>
  <c r="AC222" i="100" a="1"/>
  <c r="AC222" i="100" s="1"/>
  <c r="AB222" i="100" a="1"/>
  <c r="AB222" i="100" s="1"/>
  <c r="AA222" i="100" a="1"/>
  <c r="AA222" i="100" s="1"/>
  <c r="Z222" i="100" a="1"/>
  <c r="Z222" i="100" s="1"/>
  <c r="Y222" i="100" a="1"/>
  <c r="Y222" i="100" s="1"/>
  <c r="X222" i="100" a="1"/>
  <c r="X222" i="100" s="1"/>
  <c r="W222" i="100" a="1"/>
  <c r="W222" i="100" s="1"/>
  <c r="V222" i="100" a="1"/>
  <c r="V222" i="100" s="1"/>
  <c r="U222" i="100" a="1"/>
  <c r="U222" i="100" s="1"/>
  <c r="T222" i="100" a="1"/>
  <c r="T222" i="100" s="1"/>
  <c r="S222" i="100" a="1"/>
  <c r="S222" i="100" s="1"/>
  <c r="R222" i="100" a="1"/>
  <c r="R222" i="100" s="1"/>
  <c r="Q222" i="100" a="1"/>
  <c r="Q222" i="100" s="1"/>
  <c r="P222" i="100" a="1"/>
  <c r="P222" i="100" s="1"/>
  <c r="O222" i="100" a="1"/>
  <c r="O222" i="100" s="1"/>
  <c r="N222" i="100" a="1"/>
  <c r="N222" i="100" s="1"/>
  <c r="M222" i="100" a="1"/>
  <c r="M222" i="100" s="1"/>
  <c r="L222" i="100" a="1"/>
  <c r="L222" i="100" s="1"/>
  <c r="K222" i="100" a="1"/>
  <c r="K222" i="100" s="1"/>
  <c r="J222" i="100" a="1"/>
  <c r="J222" i="100" s="1"/>
  <c r="I222" i="100" a="1"/>
  <c r="I222" i="100" s="1"/>
  <c r="H222" i="100" a="1"/>
  <c r="H222" i="100" s="1"/>
  <c r="G222" i="100" a="1"/>
  <c r="G222" i="100" s="1"/>
  <c r="F222" i="100" a="1"/>
  <c r="F222" i="100" s="1"/>
  <c r="E222" i="100" a="1"/>
  <c r="E222" i="100" s="1"/>
  <c r="D222" i="100" a="1"/>
  <c r="D222" i="100" s="1"/>
  <c r="AH221" i="100" a="1"/>
  <c r="AH221" i="100" s="1"/>
  <c r="AG221" i="100" a="1"/>
  <c r="AG221" i="100" s="1"/>
  <c r="AF221" i="100" a="1"/>
  <c r="AF221" i="100" s="1"/>
  <c r="AE221" i="100" a="1"/>
  <c r="AE221" i="100" s="1"/>
  <c r="AD221" i="100" a="1"/>
  <c r="AD221" i="100" s="1"/>
  <c r="AC221" i="100" a="1"/>
  <c r="AC221" i="100" s="1"/>
  <c r="AB221" i="100" a="1"/>
  <c r="AB221" i="100" s="1"/>
  <c r="AA221" i="100" a="1"/>
  <c r="AA221" i="100" s="1"/>
  <c r="Z221" i="100" a="1"/>
  <c r="Z221" i="100" s="1"/>
  <c r="Y221" i="100" a="1"/>
  <c r="Y221" i="100" s="1"/>
  <c r="X221" i="100" a="1"/>
  <c r="X221" i="100" s="1"/>
  <c r="W221" i="100" a="1"/>
  <c r="W221" i="100" s="1"/>
  <c r="V221" i="100" a="1"/>
  <c r="V221" i="100" s="1"/>
  <c r="U221" i="100" a="1"/>
  <c r="U221" i="100" s="1"/>
  <c r="T221" i="100" a="1"/>
  <c r="T221" i="100" s="1"/>
  <c r="S221" i="100" a="1"/>
  <c r="S221" i="100" s="1"/>
  <c r="R221" i="100" a="1"/>
  <c r="R221" i="100" s="1"/>
  <c r="Q221" i="100" a="1"/>
  <c r="Q221" i="100" s="1"/>
  <c r="P221" i="100" a="1"/>
  <c r="P221" i="100" s="1"/>
  <c r="O221" i="100" a="1"/>
  <c r="O221" i="100" s="1"/>
  <c r="N221" i="100" a="1"/>
  <c r="N221" i="100" s="1"/>
  <c r="M221" i="100" a="1"/>
  <c r="M221" i="100" s="1"/>
  <c r="L221" i="100" a="1"/>
  <c r="L221" i="100" s="1"/>
  <c r="K221" i="100" a="1"/>
  <c r="K221" i="100" s="1"/>
  <c r="J221" i="100" a="1"/>
  <c r="J221" i="100" s="1"/>
  <c r="I221" i="100" a="1"/>
  <c r="I221" i="100" s="1"/>
  <c r="H221" i="100" a="1"/>
  <c r="H221" i="100" s="1"/>
  <c r="G221" i="100" a="1"/>
  <c r="G221" i="100" s="1"/>
  <c r="F221" i="100" a="1"/>
  <c r="F221" i="100" s="1"/>
  <c r="E221" i="100" a="1"/>
  <c r="E221" i="100" s="1"/>
  <c r="D221" i="100" a="1"/>
  <c r="D221" i="100" s="1"/>
  <c r="AH220" i="100" a="1"/>
  <c r="AH220" i="100" s="1"/>
  <c r="AG220" i="100" a="1"/>
  <c r="AG220" i="100" s="1"/>
  <c r="AF220" i="100" a="1"/>
  <c r="AF220" i="100" s="1"/>
  <c r="AE220" i="100" a="1"/>
  <c r="AE220" i="100" s="1"/>
  <c r="AD220" i="100" a="1"/>
  <c r="AD220" i="100" s="1"/>
  <c r="AC220" i="100" a="1"/>
  <c r="AC220" i="100" s="1"/>
  <c r="AB220" i="100" a="1"/>
  <c r="AB220" i="100" s="1"/>
  <c r="AA220" i="100" a="1"/>
  <c r="AA220" i="100" s="1"/>
  <c r="Z220" i="100" a="1"/>
  <c r="Z220" i="100" s="1"/>
  <c r="Y220" i="100" a="1"/>
  <c r="Y220" i="100" s="1"/>
  <c r="X220" i="100" a="1"/>
  <c r="X220" i="100" s="1"/>
  <c r="W220" i="100" a="1"/>
  <c r="W220" i="100" s="1"/>
  <c r="V220" i="100" a="1"/>
  <c r="V220" i="100" s="1"/>
  <c r="U220" i="100" a="1"/>
  <c r="U220" i="100" s="1"/>
  <c r="T220" i="100" a="1"/>
  <c r="T220" i="100" s="1"/>
  <c r="S220" i="100" a="1"/>
  <c r="S220" i="100" s="1"/>
  <c r="R220" i="100" a="1"/>
  <c r="R220" i="100" s="1"/>
  <c r="Q220" i="100" a="1"/>
  <c r="Q220" i="100" s="1"/>
  <c r="P220" i="100" a="1"/>
  <c r="P220" i="100" s="1"/>
  <c r="O220" i="100" a="1"/>
  <c r="O220" i="100" s="1"/>
  <c r="N220" i="100" a="1"/>
  <c r="N220" i="100" s="1"/>
  <c r="M220" i="100" a="1"/>
  <c r="M220" i="100" s="1"/>
  <c r="L220" i="100" a="1"/>
  <c r="L220" i="100" s="1"/>
  <c r="K220" i="100" a="1"/>
  <c r="K220" i="100" s="1"/>
  <c r="J220" i="100" a="1"/>
  <c r="J220" i="100" s="1"/>
  <c r="I220" i="100" a="1"/>
  <c r="I220" i="100" s="1"/>
  <c r="H220" i="100" a="1"/>
  <c r="H220" i="100" s="1"/>
  <c r="G220" i="100" a="1"/>
  <c r="G220" i="100" s="1"/>
  <c r="F220" i="100" a="1"/>
  <c r="F220" i="100" s="1"/>
  <c r="E220" i="100" a="1"/>
  <c r="E220" i="100" s="1"/>
  <c r="D220" i="100" a="1"/>
  <c r="D220" i="100" s="1"/>
  <c r="AH219" i="100" a="1"/>
  <c r="AH219" i="100" s="1"/>
  <c r="AG219" i="100" a="1"/>
  <c r="AG219" i="100" s="1"/>
  <c r="AF219" i="100" a="1"/>
  <c r="AF219" i="100" s="1"/>
  <c r="AE219" i="100" a="1"/>
  <c r="AE219" i="100" s="1"/>
  <c r="AD219" i="100" a="1"/>
  <c r="AD219" i="100" s="1"/>
  <c r="AC219" i="100" a="1"/>
  <c r="AC219" i="100" s="1"/>
  <c r="AB219" i="100" a="1"/>
  <c r="AB219" i="100" s="1"/>
  <c r="AA219" i="100" a="1"/>
  <c r="AA219" i="100" s="1"/>
  <c r="Z219" i="100" a="1"/>
  <c r="Z219" i="100" s="1"/>
  <c r="Y219" i="100" a="1"/>
  <c r="Y219" i="100" s="1"/>
  <c r="X219" i="100" a="1"/>
  <c r="X219" i="100" s="1"/>
  <c r="W219" i="100" a="1"/>
  <c r="W219" i="100" s="1"/>
  <c r="V219" i="100" a="1"/>
  <c r="V219" i="100" s="1"/>
  <c r="U219" i="100" a="1"/>
  <c r="U219" i="100" s="1"/>
  <c r="T219" i="100" a="1"/>
  <c r="T219" i="100" s="1"/>
  <c r="S219" i="100" a="1"/>
  <c r="S219" i="100" s="1"/>
  <c r="R219" i="100" a="1"/>
  <c r="R219" i="100" s="1"/>
  <c r="Q219" i="100" a="1"/>
  <c r="Q219" i="100" s="1"/>
  <c r="P219" i="100" a="1"/>
  <c r="P219" i="100" s="1"/>
  <c r="O219" i="100" a="1"/>
  <c r="O219" i="100" s="1"/>
  <c r="N219" i="100" a="1"/>
  <c r="N219" i="100" s="1"/>
  <c r="M219" i="100" a="1"/>
  <c r="M219" i="100" s="1"/>
  <c r="L219" i="100" a="1"/>
  <c r="L219" i="100" s="1"/>
  <c r="K219" i="100" a="1"/>
  <c r="K219" i="100" s="1"/>
  <c r="J219" i="100" a="1"/>
  <c r="J219" i="100" s="1"/>
  <c r="I219" i="100" a="1"/>
  <c r="I219" i="100" s="1"/>
  <c r="H219" i="100" a="1"/>
  <c r="H219" i="100" s="1"/>
  <c r="G219" i="100" a="1"/>
  <c r="G219" i="100" s="1"/>
  <c r="F219" i="100" a="1"/>
  <c r="F219" i="100" s="1"/>
  <c r="E219" i="100" a="1"/>
  <c r="E219" i="100" s="1"/>
  <c r="D219" i="100" a="1"/>
  <c r="D219" i="100" s="1"/>
  <c r="AH218" i="100" a="1"/>
  <c r="AH218" i="100" s="1"/>
  <c r="AG218" i="100" a="1"/>
  <c r="AG218" i="100" s="1"/>
  <c r="AF218" i="100" a="1"/>
  <c r="AF218" i="100" s="1"/>
  <c r="AE218" i="100" a="1"/>
  <c r="AE218" i="100" s="1"/>
  <c r="AD218" i="100" a="1"/>
  <c r="AD218" i="100" s="1"/>
  <c r="AC218" i="100" a="1"/>
  <c r="AC218" i="100" s="1"/>
  <c r="AB218" i="100" a="1"/>
  <c r="AB218" i="100" s="1"/>
  <c r="AA218" i="100" a="1"/>
  <c r="AA218" i="100" s="1"/>
  <c r="Z218" i="100" a="1"/>
  <c r="Z218" i="100" s="1"/>
  <c r="Y218" i="100" a="1"/>
  <c r="Y218" i="100" s="1"/>
  <c r="X218" i="100" a="1"/>
  <c r="X218" i="100" s="1"/>
  <c r="W218" i="100" a="1"/>
  <c r="W218" i="100" s="1"/>
  <c r="V218" i="100" a="1"/>
  <c r="V218" i="100" s="1"/>
  <c r="U218" i="100" a="1"/>
  <c r="U218" i="100" s="1"/>
  <c r="T218" i="100" a="1"/>
  <c r="T218" i="100" s="1"/>
  <c r="S218" i="100" a="1"/>
  <c r="S218" i="100" s="1"/>
  <c r="R218" i="100" a="1"/>
  <c r="R218" i="100" s="1"/>
  <c r="Q218" i="100" a="1"/>
  <c r="Q218" i="100" s="1"/>
  <c r="P218" i="100" a="1"/>
  <c r="P218" i="100" s="1"/>
  <c r="O218" i="100" a="1"/>
  <c r="O218" i="100" s="1"/>
  <c r="N218" i="100" a="1"/>
  <c r="N218" i="100" s="1"/>
  <c r="M218" i="100" a="1"/>
  <c r="M218" i="100" s="1"/>
  <c r="L218" i="100" a="1"/>
  <c r="L218" i="100" s="1"/>
  <c r="K218" i="100" a="1"/>
  <c r="K218" i="100" s="1"/>
  <c r="J218" i="100" a="1"/>
  <c r="J218" i="100" s="1"/>
  <c r="I218" i="100" a="1"/>
  <c r="I218" i="100" s="1"/>
  <c r="H218" i="100" a="1"/>
  <c r="H218" i="100" s="1"/>
  <c r="G218" i="100" a="1"/>
  <c r="G218" i="100" s="1"/>
  <c r="F218" i="100" a="1"/>
  <c r="F218" i="100" s="1"/>
  <c r="E218" i="100" a="1"/>
  <c r="E218" i="100" s="1"/>
  <c r="D218" i="100" a="1"/>
  <c r="D218" i="100" s="1"/>
  <c r="AH217" i="100" a="1"/>
  <c r="AH217" i="100" s="1"/>
  <c r="AG217" i="100" a="1"/>
  <c r="AG217" i="100" s="1"/>
  <c r="AF217" i="100" a="1"/>
  <c r="AF217" i="100" s="1"/>
  <c r="AE217" i="100" a="1"/>
  <c r="AE217" i="100" s="1"/>
  <c r="AD217" i="100" a="1"/>
  <c r="AD217" i="100" s="1"/>
  <c r="AC217" i="100" a="1"/>
  <c r="AC217" i="100" s="1"/>
  <c r="AB217" i="100" a="1"/>
  <c r="AB217" i="100" s="1"/>
  <c r="AA217" i="100" a="1"/>
  <c r="AA217" i="100" s="1"/>
  <c r="Z217" i="100" a="1"/>
  <c r="Z217" i="100" s="1"/>
  <c r="Y217" i="100" a="1"/>
  <c r="Y217" i="100" s="1"/>
  <c r="X217" i="100" a="1"/>
  <c r="X217" i="100" s="1"/>
  <c r="W217" i="100" a="1"/>
  <c r="W217" i="100" s="1"/>
  <c r="V217" i="100" a="1"/>
  <c r="V217" i="100" s="1"/>
  <c r="U217" i="100" a="1"/>
  <c r="U217" i="100" s="1"/>
  <c r="T217" i="100" a="1"/>
  <c r="T217" i="100" s="1"/>
  <c r="S217" i="100" a="1"/>
  <c r="S217" i="100" s="1"/>
  <c r="R217" i="100" a="1"/>
  <c r="R217" i="100" s="1"/>
  <c r="Q217" i="100" a="1"/>
  <c r="Q217" i="100" s="1"/>
  <c r="P217" i="100" a="1"/>
  <c r="P217" i="100" s="1"/>
  <c r="O217" i="100" a="1"/>
  <c r="O217" i="100" s="1"/>
  <c r="N217" i="100" a="1"/>
  <c r="N217" i="100" s="1"/>
  <c r="M217" i="100" a="1"/>
  <c r="M217" i="100" s="1"/>
  <c r="L217" i="100" a="1"/>
  <c r="L217" i="100" s="1"/>
  <c r="K217" i="100" a="1"/>
  <c r="K217" i="100" s="1"/>
  <c r="J217" i="100" a="1"/>
  <c r="J217" i="100" s="1"/>
  <c r="I217" i="100" a="1"/>
  <c r="I217" i="100" s="1"/>
  <c r="H217" i="100" a="1"/>
  <c r="H217" i="100" s="1"/>
  <c r="G217" i="100" a="1"/>
  <c r="G217" i="100" s="1"/>
  <c r="F217" i="100" a="1"/>
  <c r="F217" i="100" s="1"/>
  <c r="E217" i="100" a="1"/>
  <c r="E217" i="100" s="1"/>
  <c r="D217" i="100" a="1"/>
  <c r="D217" i="100" s="1"/>
  <c r="AH216" i="100" a="1"/>
  <c r="AH216" i="100" s="1"/>
  <c r="AG216" i="100" a="1"/>
  <c r="AG216" i="100" s="1"/>
  <c r="AF216" i="100" a="1"/>
  <c r="AF216" i="100" s="1"/>
  <c r="AE216" i="100" a="1"/>
  <c r="AE216" i="100" s="1"/>
  <c r="AD216" i="100" a="1"/>
  <c r="AD216" i="100" s="1"/>
  <c r="AC216" i="100" a="1"/>
  <c r="AC216" i="100" s="1"/>
  <c r="AB216" i="100" a="1"/>
  <c r="AB216" i="100" s="1"/>
  <c r="AA216" i="100" a="1"/>
  <c r="AA216" i="100" s="1"/>
  <c r="Z216" i="100" a="1"/>
  <c r="Z216" i="100" s="1"/>
  <c r="Y216" i="100" a="1"/>
  <c r="Y216" i="100" s="1"/>
  <c r="X216" i="100" a="1"/>
  <c r="X216" i="100" s="1"/>
  <c r="W216" i="100" a="1"/>
  <c r="W216" i="100" s="1"/>
  <c r="V216" i="100" a="1"/>
  <c r="V216" i="100" s="1"/>
  <c r="U216" i="100" a="1"/>
  <c r="U216" i="100" s="1"/>
  <c r="T216" i="100" a="1"/>
  <c r="T216" i="100" s="1"/>
  <c r="S216" i="100" a="1"/>
  <c r="S216" i="100" s="1"/>
  <c r="R216" i="100" a="1"/>
  <c r="R216" i="100" s="1"/>
  <c r="Q216" i="100" a="1"/>
  <c r="Q216" i="100" s="1"/>
  <c r="P216" i="100" a="1"/>
  <c r="P216" i="100" s="1"/>
  <c r="O216" i="100" a="1"/>
  <c r="O216" i="100" s="1"/>
  <c r="N216" i="100" a="1"/>
  <c r="N216" i="100" s="1"/>
  <c r="M216" i="100" a="1"/>
  <c r="M216" i="100" s="1"/>
  <c r="L216" i="100" a="1"/>
  <c r="L216" i="100" s="1"/>
  <c r="K216" i="100" a="1"/>
  <c r="K216" i="100" s="1"/>
  <c r="J216" i="100" a="1"/>
  <c r="J216" i="100" s="1"/>
  <c r="I216" i="100" a="1"/>
  <c r="I216" i="100" s="1"/>
  <c r="H216" i="100" a="1"/>
  <c r="H216" i="100" s="1"/>
  <c r="G216" i="100" a="1"/>
  <c r="G216" i="100" s="1"/>
  <c r="F216" i="100" a="1"/>
  <c r="F216" i="100" s="1"/>
  <c r="E216" i="100" a="1"/>
  <c r="E216" i="100" s="1"/>
  <c r="D216" i="100" a="1"/>
  <c r="D216" i="100" s="1"/>
  <c r="AH215" i="100" a="1"/>
  <c r="AH215" i="100" s="1"/>
  <c r="AG215" i="100" a="1"/>
  <c r="AG215" i="100" s="1"/>
  <c r="AF215" i="100" a="1"/>
  <c r="AF215" i="100" s="1"/>
  <c r="AE215" i="100" a="1"/>
  <c r="AE215" i="100" s="1"/>
  <c r="AD215" i="100" a="1"/>
  <c r="AD215" i="100" s="1"/>
  <c r="AC215" i="100" a="1"/>
  <c r="AC215" i="100" s="1"/>
  <c r="AB215" i="100" a="1"/>
  <c r="AB215" i="100" s="1"/>
  <c r="AA215" i="100" a="1"/>
  <c r="AA215" i="100" s="1"/>
  <c r="Z215" i="100" a="1"/>
  <c r="Z215" i="100" s="1"/>
  <c r="Y215" i="100" a="1"/>
  <c r="Y215" i="100" s="1"/>
  <c r="X215" i="100" a="1"/>
  <c r="X215" i="100" s="1"/>
  <c r="W215" i="100" a="1"/>
  <c r="W215" i="100" s="1"/>
  <c r="V215" i="100" a="1"/>
  <c r="V215" i="100" s="1"/>
  <c r="U215" i="100" a="1"/>
  <c r="U215" i="100" s="1"/>
  <c r="T215" i="100" a="1"/>
  <c r="T215" i="100" s="1"/>
  <c r="S215" i="100" a="1"/>
  <c r="S215" i="100" s="1"/>
  <c r="R215" i="100" a="1"/>
  <c r="R215" i="100" s="1"/>
  <c r="Q215" i="100" a="1"/>
  <c r="Q215" i="100" s="1"/>
  <c r="P215" i="100" a="1"/>
  <c r="P215" i="100" s="1"/>
  <c r="O215" i="100" a="1"/>
  <c r="O215" i="100" s="1"/>
  <c r="N215" i="100" a="1"/>
  <c r="N215" i="100" s="1"/>
  <c r="M215" i="100" a="1"/>
  <c r="M215" i="100" s="1"/>
  <c r="L215" i="100" a="1"/>
  <c r="L215" i="100" s="1"/>
  <c r="K215" i="100" a="1"/>
  <c r="K215" i="100" s="1"/>
  <c r="J215" i="100" a="1"/>
  <c r="J215" i="100" s="1"/>
  <c r="I215" i="100" a="1"/>
  <c r="I215" i="100" s="1"/>
  <c r="H215" i="100" a="1"/>
  <c r="H215" i="100" s="1"/>
  <c r="G215" i="100" a="1"/>
  <c r="G215" i="100" s="1"/>
  <c r="F215" i="100" a="1"/>
  <c r="F215" i="100" s="1"/>
  <c r="E215" i="100" a="1"/>
  <c r="E215" i="100" s="1"/>
  <c r="D215" i="100" a="1"/>
  <c r="D215" i="100" s="1"/>
  <c r="AH214" i="100" a="1"/>
  <c r="AH214" i="100" s="1"/>
  <c r="AG214" i="100" a="1"/>
  <c r="AG214" i="100" s="1"/>
  <c r="AF214" i="100" a="1"/>
  <c r="AF214" i="100" s="1"/>
  <c r="AE214" i="100" a="1"/>
  <c r="AE214" i="100" s="1"/>
  <c r="AD214" i="100" a="1"/>
  <c r="AD214" i="100" s="1"/>
  <c r="AC214" i="100" a="1"/>
  <c r="AC214" i="100" s="1"/>
  <c r="AB214" i="100" a="1"/>
  <c r="AB214" i="100" s="1"/>
  <c r="AA214" i="100" a="1"/>
  <c r="AA214" i="100" s="1"/>
  <c r="Z214" i="100" a="1"/>
  <c r="Z214" i="100" s="1"/>
  <c r="Y214" i="100" a="1"/>
  <c r="Y214" i="100" s="1"/>
  <c r="X214" i="100" a="1"/>
  <c r="X214" i="100" s="1"/>
  <c r="W214" i="100" a="1"/>
  <c r="W214" i="100" s="1"/>
  <c r="V214" i="100" a="1"/>
  <c r="V214" i="100" s="1"/>
  <c r="U214" i="100" a="1"/>
  <c r="U214" i="100" s="1"/>
  <c r="T214" i="100" a="1"/>
  <c r="T214" i="100" s="1"/>
  <c r="S214" i="100" a="1"/>
  <c r="S214" i="100" s="1"/>
  <c r="R214" i="100" a="1"/>
  <c r="R214" i="100" s="1"/>
  <c r="Q214" i="100" a="1"/>
  <c r="Q214" i="100" s="1"/>
  <c r="P214" i="100" a="1"/>
  <c r="P214" i="100" s="1"/>
  <c r="O214" i="100" a="1"/>
  <c r="O214" i="100" s="1"/>
  <c r="N214" i="100" a="1"/>
  <c r="N214" i="100" s="1"/>
  <c r="M214" i="100" a="1"/>
  <c r="M214" i="100" s="1"/>
  <c r="L214" i="100" a="1"/>
  <c r="L214" i="100" s="1"/>
  <c r="K214" i="100" a="1"/>
  <c r="K214" i="100" s="1"/>
  <c r="J214" i="100" a="1"/>
  <c r="J214" i="100" s="1"/>
  <c r="I214" i="100" a="1"/>
  <c r="I214" i="100" s="1"/>
  <c r="H214" i="100" a="1"/>
  <c r="H214" i="100" s="1"/>
  <c r="G214" i="100" a="1"/>
  <c r="G214" i="100" s="1"/>
  <c r="F214" i="100" a="1"/>
  <c r="F214" i="100" s="1"/>
  <c r="E214" i="100" a="1"/>
  <c r="E214" i="100" s="1"/>
  <c r="D214" i="100" a="1"/>
  <c r="D214" i="100" s="1"/>
  <c r="AH213" i="100" a="1"/>
  <c r="AH213" i="100" s="1"/>
  <c r="AG213" i="100" a="1"/>
  <c r="AG213" i="100" s="1"/>
  <c r="AF213" i="100" a="1"/>
  <c r="AF213" i="100" s="1"/>
  <c r="AE213" i="100" a="1"/>
  <c r="AE213" i="100" s="1"/>
  <c r="AD213" i="100" a="1"/>
  <c r="AD213" i="100" s="1"/>
  <c r="AC213" i="100" a="1"/>
  <c r="AC213" i="100" s="1"/>
  <c r="AB213" i="100" a="1"/>
  <c r="AB213" i="100" s="1"/>
  <c r="AA213" i="100" a="1"/>
  <c r="AA213" i="100" s="1"/>
  <c r="Z213" i="100" a="1"/>
  <c r="Z213" i="100" s="1"/>
  <c r="Y213" i="100" a="1"/>
  <c r="Y213" i="100" s="1"/>
  <c r="X213" i="100" a="1"/>
  <c r="X213" i="100" s="1"/>
  <c r="W213" i="100" a="1"/>
  <c r="W213" i="100" s="1"/>
  <c r="V213" i="100" a="1"/>
  <c r="V213" i="100" s="1"/>
  <c r="U213" i="100" a="1"/>
  <c r="U213" i="100" s="1"/>
  <c r="T213" i="100" a="1"/>
  <c r="T213" i="100" s="1"/>
  <c r="S213" i="100" a="1"/>
  <c r="S213" i="100" s="1"/>
  <c r="R213" i="100" a="1"/>
  <c r="R213" i="100" s="1"/>
  <c r="Q213" i="100" a="1"/>
  <c r="Q213" i="100" s="1"/>
  <c r="P213" i="100" a="1"/>
  <c r="P213" i="100" s="1"/>
  <c r="O213" i="100" a="1"/>
  <c r="O213" i="100" s="1"/>
  <c r="N213" i="100" a="1"/>
  <c r="N213" i="100" s="1"/>
  <c r="M213" i="100" a="1"/>
  <c r="M213" i="100" s="1"/>
  <c r="L213" i="100" a="1"/>
  <c r="L213" i="100" s="1"/>
  <c r="K213" i="100" a="1"/>
  <c r="K213" i="100" s="1"/>
  <c r="J213" i="100" a="1"/>
  <c r="J213" i="100" s="1"/>
  <c r="I213" i="100" a="1"/>
  <c r="I213" i="100" s="1"/>
  <c r="H213" i="100" a="1"/>
  <c r="H213" i="100" s="1"/>
  <c r="G213" i="100" a="1"/>
  <c r="G213" i="100" s="1"/>
  <c r="F213" i="100" a="1"/>
  <c r="F213" i="100" s="1"/>
  <c r="E213" i="100" a="1"/>
  <c r="E213" i="100" s="1"/>
  <c r="D213" i="100" a="1"/>
  <c r="D213" i="100" s="1"/>
  <c r="AH212" i="100" a="1"/>
  <c r="AH212" i="100" s="1"/>
  <c r="AG212" i="100" a="1"/>
  <c r="AG212" i="100" s="1"/>
  <c r="AF212" i="100" a="1"/>
  <c r="AF212" i="100" s="1"/>
  <c r="AE212" i="100" a="1"/>
  <c r="AE212" i="100" s="1"/>
  <c r="AD212" i="100" a="1"/>
  <c r="AD212" i="100" s="1"/>
  <c r="AC212" i="100" a="1"/>
  <c r="AC212" i="100" s="1"/>
  <c r="AB212" i="100" a="1"/>
  <c r="AB212" i="100" s="1"/>
  <c r="AA212" i="100" a="1"/>
  <c r="AA212" i="100" s="1"/>
  <c r="Z212" i="100" a="1"/>
  <c r="Z212" i="100" s="1"/>
  <c r="Y212" i="100" a="1"/>
  <c r="Y212" i="100" s="1"/>
  <c r="X212" i="100" a="1"/>
  <c r="X212" i="100" s="1"/>
  <c r="W212" i="100" a="1"/>
  <c r="W212" i="100" s="1"/>
  <c r="V212" i="100" a="1"/>
  <c r="V212" i="100" s="1"/>
  <c r="U212" i="100" a="1"/>
  <c r="U212" i="100" s="1"/>
  <c r="T212" i="100" a="1"/>
  <c r="T212" i="100" s="1"/>
  <c r="S212" i="100" a="1"/>
  <c r="S212" i="100" s="1"/>
  <c r="R212" i="100" a="1"/>
  <c r="R212" i="100" s="1"/>
  <c r="Q212" i="100" a="1"/>
  <c r="Q212" i="100" s="1"/>
  <c r="P212" i="100" a="1"/>
  <c r="P212" i="100" s="1"/>
  <c r="O212" i="100" a="1"/>
  <c r="O212" i="100" s="1"/>
  <c r="N212" i="100" a="1"/>
  <c r="N212" i="100" s="1"/>
  <c r="M212" i="100" a="1"/>
  <c r="M212" i="100" s="1"/>
  <c r="L212" i="100" a="1"/>
  <c r="L212" i="100" s="1"/>
  <c r="K212" i="100" a="1"/>
  <c r="K212" i="100" s="1"/>
  <c r="J212" i="100" a="1"/>
  <c r="J212" i="100" s="1"/>
  <c r="I212" i="100" a="1"/>
  <c r="I212" i="100" s="1"/>
  <c r="H212" i="100" a="1"/>
  <c r="H212" i="100" s="1"/>
  <c r="G212" i="100" a="1"/>
  <c r="G212" i="100" s="1"/>
  <c r="F212" i="100" a="1"/>
  <c r="F212" i="100" s="1"/>
  <c r="E212" i="100" a="1"/>
  <c r="E212" i="100" s="1"/>
  <c r="D212" i="100" a="1"/>
  <c r="D212" i="100" s="1"/>
  <c r="AH211" i="100" a="1"/>
  <c r="AH211" i="100" s="1"/>
  <c r="AG211" i="100" a="1"/>
  <c r="AG211" i="100" s="1"/>
  <c r="AF211" i="100" a="1"/>
  <c r="AF211" i="100" s="1"/>
  <c r="AE211" i="100" a="1"/>
  <c r="AE211" i="100" s="1"/>
  <c r="AD211" i="100" a="1"/>
  <c r="AD211" i="100" s="1"/>
  <c r="AC211" i="100" a="1"/>
  <c r="AC211" i="100" s="1"/>
  <c r="AB211" i="100" a="1"/>
  <c r="AB211" i="100" s="1"/>
  <c r="AA211" i="100" a="1"/>
  <c r="AA211" i="100" s="1"/>
  <c r="Z211" i="100" a="1"/>
  <c r="Z211" i="100" s="1"/>
  <c r="Y211" i="100" a="1"/>
  <c r="Y211" i="100" s="1"/>
  <c r="X211" i="100" a="1"/>
  <c r="X211" i="100" s="1"/>
  <c r="W211" i="100" a="1"/>
  <c r="W211" i="100" s="1"/>
  <c r="V211" i="100" a="1"/>
  <c r="V211" i="100" s="1"/>
  <c r="U211" i="100" a="1"/>
  <c r="U211" i="100" s="1"/>
  <c r="T211" i="100" a="1"/>
  <c r="T211" i="100" s="1"/>
  <c r="S211" i="100" a="1"/>
  <c r="S211" i="100" s="1"/>
  <c r="R211" i="100" a="1"/>
  <c r="R211" i="100" s="1"/>
  <c r="Q211" i="100" a="1"/>
  <c r="Q211" i="100" s="1"/>
  <c r="P211" i="100" a="1"/>
  <c r="P211" i="100" s="1"/>
  <c r="O211" i="100" a="1"/>
  <c r="O211" i="100" s="1"/>
  <c r="N211" i="100" a="1"/>
  <c r="N211" i="100" s="1"/>
  <c r="M211" i="100" a="1"/>
  <c r="M211" i="100" s="1"/>
  <c r="L211" i="100" a="1"/>
  <c r="L211" i="100" s="1"/>
  <c r="K211" i="100" a="1"/>
  <c r="K211" i="100" s="1"/>
  <c r="J211" i="100" a="1"/>
  <c r="J211" i="100" s="1"/>
  <c r="I211" i="100" a="1"/>
  <c r="I211" i="100" s="1"/>
  <c r="H211" i="100" a="1"/>
  <c r="H211" i="100" s="1"/>
  <c r="G211" i="100" a="1"/>
  <c r="G211" i="100" s="1"/>
  <c r="F211" i="100" a="1"/>
  <c r="F211" i="100" s="1"/>
  <c r="E211" i="100" a="1"/>
  <c r="E211" i="100" s="1"/>
  <c r="D211" i="100" a="1"/>
  <c r="D211" i="100" s="1"/>
  <c r="AH210" i="100" a="1"/>
  <c r="AH210" i="100" s="1"/>
  <c r="AG210" i="100" a="1"/>
  <c r="AG210" i="100" s="1"/>
  <c r="AF210" i="100" a="1"/>
  <c r="AF210" i="100" s="1"/>
  <c r="AE210" i="100" a="1"/>
  <c r="AE210" i="100" s="1"/>
  <c r="AD210" i="100" a="1"/>
  <c r="AD210" i="100" s="1"/>
  <c r="AC210" i="100" a="1"/>
  <c r="AC210" i="100" s="1"/>
  <c r="AB210" i="100" a="1"/>
  <c r="AB210" i="100" s="1"/>
  <c r="AA210" i="100" a="1"/>
  <c r="AA210" i="100" s="1"/>
  <c r="Z210" i="100" a="1"/>
  <c r="Z210" i="100" s="1"/>
  <c r="Y210" i="100" a="1"/>
  <c r="Y210" i="100" s="1"/>
  <c r="X210" i="100" a="1"/>
  <c r="X210" i="100" s="1"/>
  <c r="W210" i="100" a="1"/>
  <c r="W210" i="100" s="1"/>
  <c r="V210" i="100" a="1"/>
  <c r="V210" i="100" s="1"/>
  <c r="U210" i="100" a="1"/>
  <c r="U210" i="100" s="1"/>
  <c r="T210" i="100" a="1"/>
  <c r="T210" i="100" s="1"/>
  <c r="S210" i="100" a="1"/>
  <c r="S210" i="100" s="1"/>
  <c r="R210" i="100" a="1"/>
  <c r="R210" i="100" s="1"/>
  <c r="Q210" i="100" a="1"/>
  <c r="Q210" i="100" s="1"/>
  <c r="P210" i="100" a="1"/>
  <c r="P210" i="100" s="1"/>
  <c r="O210" i="100" a="1"/>
  <c r="O210" i="100" s="1"/>
  <c r="N210" i="100" a="1"/>
  <c r="N210" i="100" s="1"/>
  <c r="M210" i="100" a="1"/>
  <c r="M210" i="100" s="1"/>
  <c r="L210" i="100" a="1"/>
  <c r="L210" i="100" s="1"/>
  <c r="K210" i="100" a="1"/>
  <c r="K210" i="100" s="1"/>
  <c r="J210" i="100" a="1"/>
  <c r="J210" i="100" s="1"/>
  <c r="I210" i="100" a="1"/>
  <c r="I210" i="100" s="1"/>
  <c r="H210" i="100" a="1"/>
  <c r="H210" i="100" s="1"/>
  <c r="G210" i="100" a="1"/>
  <c r="G210" i="100" s="1"/>
  <c r="F210" i="100" a="1"/>
  <c r="F210" i="100" s="1"/>
  <c r="E210" i="100" a="1"/>
  <c r="E210" i="100" s="1"/>
  <c r="D210" i="100" a="1"/>
  <c r="D210" i="100" s="1"/>
  <c r="AH209" i="100" a="1"/>
  <c r="AH209" i="100" s="1"/>
  <c r="AG209" i="100" a="1"/>
  <c r="AG209" i="100" s="1"/>
  <c r="AF209" i="100" a="1"/>
  <c r="AF209" i="100" s="1"/>
  <c r="AE209" i="100" a="1"/>
  <c r="AE209" i="100" s="1"/>
  <c r="AD209" i="100" a="1"/>
  <c r="AD209" i="100" s="1"/>
  <c r="AC209" i="100" a="1"/>
  <c r="AC209" i="100" s="1"/>
  <c r="AB209" i="100" a="1"/>
  <c r="AB209" i="100" s="1"/>
  <c r="AA209" i="100" a="1"/>
  <c r="AA209" i="100" s="1"/>
  <c r="Z209" i="100" a="1"/>
  <c r="Z209" i="100" s="1"/>
  <c r="Y209" i="100" a="1"/>
  <c r="Y209" i="100" s="1"/>
  <c r="X209" i="100" a="1"/>
  <c r="X209" i="100" s="1"/>
  <c r="W209" i="100" a="1"/>
  <c r="W209" i="100" s="1"/>
  <c r="V209" i="100" a="1"/>
  <c r="V209" i="100" s="1"/>
  <c r="U209" i="100" a="1"/>
  <c r="U209" i="100" s="1"/>
  <c r="T209" i="100" a="1"/>
  <c r="T209" i="100" s="1"/>
  <c r="S209" i="100" a="1"/>
  <c r="S209" i="100" s="1"/>
  <c r="R209" i="100" a="1"/>
  <c r="R209" i="100" s="1"/>
  <c r="Q209" i="100" a="1"/>
  <c r="Q209" i="100" s="1"/>
  <c r="P209" i="100" a="1"/>
  <c r="P209" i="100" s="1"/>
  <c r="O209" i="100" a="1"/>
  <c r="O209" i="100" s="1"/>
  <c r="N209" i="100" a="1"/>
  <c r="N209" i="100" s="1"/>
  <c r="M209" i="100" a="1"/>
  <c r="M209" i="100" s="1"/>
  <c r="L209" i="100" a="1"/>
  <c r="L209" i="100" s="1"/>
  <c r="K209" i="100" a="1"/>
  <c r="K209" i="100" s="1"/>
  <c r="J209" i="100" a="1"/>
  <c r="J209" i="100" s="1"/>
  <c r="I209" i="100" a="1"/>
  <c r="I209" i="100" s="1"/>
  <c r="H209" i="100" a="1"/>
  <c r="H209" i="100" s="1"/>
  <c r="G209" i="100" a="1"/>
  <c r="G209" i="100" s="1"/>
  <c r="F209" i="100" a="1"/>
  <c r="F209" i="100" s="1"/>
  <c r="E209" i="100" a="1"/>
  <c r="E209" i="100" s="1"/>
  <c r="D209" i="100" a="1"/>
  <c r="D209" i="100" s="1"/>
  <c r="AH208" i="100" a="1"/>
  <c r="AH208" i="100" s="1"/>
  <c r="AG208" i="100" a="1"/>
  <c r="AG208" i="100" s="1"/>
  <c r="AF208" i="100" a="1"/>
  <c r="AF208" i="100" s="1"/>
  <c r="AE208" i="100" a="1"/>
  <c r="AE208" i="100" s="1"/>
  <c r="AD208" i="100" a="1"/>
  <c r="AD208" i="100" s="1"/>
  <c r="AC208" i="100" a="1"/>
  <c r="AC208" i="100" s="1"/>
  <c r="AB208" i="100" a="1"/>
  <c r="AB208" i="100" s="1"/>
  <c r="AA208" i="100" a="1"/>
  <c r="AA208" i="100" s="1"/>
  <c r="Z208" i="100" a="1"/>
  <c r="Z208" i="100" s="1"/>
  <c r="Y208" i="100" a="1"/>
  <c r="Y208" i="100" s="1"/>
  <c r="X208" i="100" a="1"/>
  <c r="X208" i="100" s="1"/>
  <c r="W208" i="100" a="1"/>
  <c r="W208" i="100" s="1"/>
  <c r="V208" i="100" a="1"/>
  <c r="V208" i="100" s="1"/>
  <c r="U208" i="100" a="1"/>
  <c r="U208" i="100" s="1"/>
  <c r="T208" i="100" a="1"/>
  <c r="T208" i="100" s="1"/>
  <c r="S208" i="100" a="1"/>
  <c r="S208" i="100" s="1"/>
  <c r="R208" i="100" a="1"/>
  <c r="R208" i="100" s="1"/>
  <c r="Q208" i="100" a="1"/>
  <c r="Q208" i="100" s="1"/>
  <c r="P208" i="100" a="1"/>
  <c r="P208" i="100" s="1"/>
  <c r="O208" i="100" a="1"/>
  <c r="O208" i="100" s="1"/>
  <c r="N208" i="100" a="1"/>
  <c r="N208" i="100" s="1"/>
  <c r="M208" i="100" a="1"/>
  <c r="M208" i="100" s="1"/>
  <c r="L208" i="100" a="1"/>
  <c r="L208" i="100" s="1"/>
  <c r="K208" i="100" a="1"/>
  <c r="K208" i="100" s="1"/>
  <c r="J208" i="100" a="1"/>
  <c r="J208" i="100" s="1"/>
  <c r="I208" i="100" a="1"/>
  <c r="I208" i="100" s="1"/>
  <c r="H208" i="100" a="1"/>
  <c r="H208" i="100" s="1"/>
  <c r="G208" i="100" a="1"/>
  <c r="G208" i="100" s="1"/>
  <c r="F208" i="100" a="1"/>
  <c r="F208" i="100" s="1"/>
  <c r="E208" i="100" a="1"/>
  <c r="E208" i="100" s="1"/>
  <c r="D208" i="100" a="1"/>
  <c r="D208" i="100" s="1"/>
  <c r="AH207" i="100" a="1"/>
  <c r="AH207" i="100" s="1"/>
  <c r="AG207" i="100" a="1"/>
  <c r="AG207" i="100" s="1"/>
  <c r="AF207" i="100" a="1"/>
  <c r="AF207" i="100" s="1"/>
  <c r="AE207" i="100" a="1"/>
  <c r="AE207" i="100" s="1"/>
  <c r="AD207" i="100" a="1"/>
  <c r="AD207" i="100" s="1"/>
  <c r="AC207" i="100" a="1"/>
  <c r="AC207" i="100" s="1"/>
  <c r="AB207" i="100" a="1"/>
  <c r="AB207" i="100" s="1"/>
  <c r="AA207" i="100" a="1"/>
  <c r="AA207" i="100" s="1"/>
  <c r="Z207" i="100" a="1"/>
  <c r="Z207" i="100" s="1"/>
  <c r="Y207" i="100" a="1"/>
  <c r="Y207" i="100" s="1"/>
  <c r="X207" i="100" a="1"/>
  <c r="X207" i="100" s="1"/>
  <c r="W207" i="100" a="1"/>
  <c r="W207" i="100" s="1"/>
  <c r="V207" i="100" a="1"/>
  <c r="V207" i="100" s="1"/>
  <c r="U207" i="100" a="1"/>
  <c r="U207" i="100" s="1"/>
  <c r="T207" i="100" a="1"/>
  <c r="T207" i="100" s="1"/>
  <c r="S207" i="100" a="1"/>
  <c r="S207" i="100" s="1"/>
  <c r="R207" i="100" a="1"/>
  <c r="R207" i="100" s="1"/>
  <c r="Q207" i="100" a="1"/>
  <c r="Q207" i="100" s="1"/>
  <c r="P207" i="100" a="1"/>
  <c r="P207" i="100" s="1"/>
  <c r="O207" i="100" a="1"/>
  <c r="O207" i="100" s="1"/>
  <c r="N207" i="100" a="1"/>
  <c r="N207" i="100" s="1"/>
  <c r="M207" i="100" a="1"/>
  <c r="M207" i="100" s="1"/>
  <c r="L207" i="100" a="1"/>
  <c r="L207" i="100" s="1"/>
  <c r="K207" i="100" a="1"/>
  <c r="K207" i="100" s="1"/>
  <c r="J207" i="100" a="1"/>
  <c r="J207" i="100" s="1"/>
  <c r="I207" i="100" a="1"/>
  <c r="I207" i="100" s="1"/>
  <c r="H207" i="100" a="1"/>
  <c r="H207" i="100" s="1"/>
  <c r="G207" i="100" a="1"/>
  <c r="G207" i="100" s="1"/>
  <c r="F207" i="100" a="1"/>
  <c r="F207" i="100" s="1"/>
  <c r="E207" i="100" a="1"/>
  <c r="E207" i="100" s="1"/>
  <c r="D207" i="100" a="1"/>
  <c r="D207" i="100" s="1"/>
  <c r="AH206" i="100" a="1"/>
  <c r="AH206" i="100" s="1"/>
  <c r="AG206" i="100" a="1"/>
  <c r="AG206" i="100" s="1"/>
  <c r="AF206" i="100" a="1"/>
  <c r="AF206" i="100" s="1"/>
  <c r="AE206" i="100" a="1"/>
  <c r="AE206" i="100" s="1"/>
  <c r="AD206" i="100" a="1"/>
  <c r="AD206" i="100" s="1"/>
  <c r="AC206" i="100" a="1"/>
  <c r="AC206" i="100" s="1"/>
  <c r="AB206" i="100" a="1"/>
  <c r="AB206" i="100" s="1"/>
  <c r="AA206" i="100" a="1"/>
  <c r="AA206" i="100" s="1"/>
  <c r="Z206" i="100" a="1"/>
  <c r="Z206" i="100" s="1"/>
  <c r="Y206" i="100" a="1"/>
  <c r="Y206" i="100" s="1"/>
  <c r="X206" i="100" a="1"/>
  <c r="X206" i="100" s="1"/>
  <c r="W206" i="100" a="1"/>
  <c r="W206" i="100" s="1"/>
  <c r="V206" i="100" a="1"/>
  <c r="V206" i="100" s="1"/>
  <c r="U206" i="100" a="1"/>
  <c r="U206" i="100" s="1"/>
  <c r="T206" i="100" a="1"/>
  <c r="T206" i="100" s="1"/>
  <c r="S206" i="100" a="1"/>
  <c r="S206" i="100" s="1"/>
  <c r="R206" i="100" a="1"/>
  <c r="R206" i="100" s="1"/>
  <c r="Q206" i="100" a="1"/>
  <c r="Q206" i="100" s="1"/>
  <c r="P206" i="100" a="1"/>
  <c r="P206" i="100" s="1"/>
  <c r="O206" i="100" a="1"/>
  <c r="O206" i="100" s="1"/>
  <c r="N206" i="100" a="1"/>
  <c r="N206" i="100" s="1"/>
  <c r="M206" i="100" a="1"/>
  <c r="M206" i="100" s="1"/>
  <c r="L206" i="100" a="1"/>
  <c r="L206" i="100" s="1"/>
  <c r="K206" i="100" a="1"/>
  <c r="K206" i="100" s="1"/>
  <c r="J206" i="100" a="1"/>
  <c r="J206" i="100" s="1"/>
  <c r="I206" i="100" a="1"/>
  <c r="I206" i="100" s="1"/>
  <c r="H206" i="100" a="1"/>
  <c r="H206" i="100" s="1"/>
  <c r="G206" i="100" a="1"/>
  <c r="G206" i="100" s="1"/>
  <c r="F206" i="100" a="1"/>
  <c r="F206" i="100" s="1"/>
  <c r="E206" i="100" a="1"/>
  <c r="E206" i="100" s="1"/>
  <c r="D206" i="100" a="1"/>
  <c r="D206" i="100" s="1"/>
  <c r="AH205" i="100" a="1"/>
  <c r="AH205" i="100" s="1"/>
  <c r="AG205" i="100" a="1"/>
  <c r="AG205" i="100" s="1"/>
  <c r="AF205" i="100" a="1"/>
  <c r="AF205" i="100" s="1"/>
  <c r="AE205" i="100" a="1"/>
  <c r="AE205" i="100" s="1"/>
  <c r="AD205" i="100" a="1"/>
  <c r="AD205" i="100" s="1"/>
  <c r="AC205" i="100" a="1"/>
  <c r="AC205" i="100" s="1"/>
  <c r="AB205" i="100" a="1"/>
  <c r="AB205" i="100" s="1"/>
  <c r="AA205" i="100" a="1"/>
  <c r="AA205" i="100" s="1"/>
  <c r="Z205" i="100" a="1"/>
  <c r="Z205" i="100" s="1"/>
  <c r="Y205" i="100" a="1"/>
  <c r="Y205" i="100" s="1"/>
  <c r="X205" i="100" a="1"/>
  <c r="X205" i="100" s="1"/>
  <c r="W205" i="100" a="1"/>
  <c r="W205" i="100" s="1"/>
  <c r="V205" i="100" a="1"/>
  <c r="V205" i="100" s="1"/>
  <c r="U205" i="100" a="1"/>
  <c r="U205" i="100" s="1"/>
  <c r="T205" i="100" a="1"/>
  <c r="T205" i="100" s="1"/>
  <c r="S205" i="100" a="1"/>
  <c r="S205" i="100" s="1"/>
  <c r="R205" i="100" a="1"/>
  <c r="R205" i="100" s="1"/>
  <c r="Q205" i="100" a="1"/>
  <c r="Q205" i="100" s="1"/>
  <c r="P205" i="100" a="1"/>
  <c r="P205" i="100" s="1"/>
  <c r="O205" i="100" a="1"/>
  <c r="O205" i="100" s="1"/>
  <c r="N205" i="100" a="1"/>
  <c r="N205" i="100" s="1"/>
  <c r="M205" i="100" a="1"/>
  <c r="M205" i="100" s="1"/>
  <c r="L205" i="100" a="1"/>
  <c r="L205" i="100" s="1"/>
  <c r="K205" i="100" a="1"/>
  <c r="K205" i="100" s="1"/>
  <c r="J205" i="100" a="1"/>
  <c r="J205" i="100" s="1"/>
  <c r="I205" i="100" a="1"/>
  <c r="I205" i="100" s="1"/>
  <c r="H205" i="100" a="1"/>
  <c r="H205" i="100" s="1"/>
  <c r="G205" i="100" a="1"/>
  <c r="G205" i="100" s="1"/>
  <c r="F205" i="100" a="1"/>
  <c r="F205" i="100" s="1"/>
  <c r="E205" i="100" a="1"/>
  <c r="E205" i="100" s="1"/>
  <c r="D205" i="100" a="1"/>
  <c r="D205" i="100" s="1"/>
  <c r="AH204" i="100" a="1"/>
  <c r="AH204" i="100" s="1"/>
  <c r="AG204" i="100" a="1"/>
  <c r="AG204" i="100" s="1"/>
  <c r="AF204" i="100" a="1"/>
  <c r="AF204" i="100" s="1"/>
  <c r="AE204" i="100" a="1"/>
  <c r="AE204" i="100" s="1"/>
  <c r="AD204" i="100" a="1"/>
  <c r="AD204" i="100" s="1"/>
  <c r="AC204" i="100" a="1"/>
  <c r="AC204" i="100" s="1"/>
  <c r="AB204" i="100" a="1"/>
  <c r="AB204" i="100" s="1"/>
  <c r="AA204" i="100" a="1"/>
  <c r="AA204" i="100" s="1"/>
  <c r="Z204" i="100" a="1"/>
  <c r="Z204" i="100" s="1"/>
  <c r="Y204" i="100" a="1"/>
  <c r="Y204" i="100" s="1"/>
  <c r="X204" i="100" a="1"/>
  <c r="X204" i="100" s="1"/>
  <c r="W204" i="100" a="1"/>
  <c r="W204" i="100" s="1"/>
  <c r="V204" i="100" a="1"/>
  <c r="V204" i="100" s="1"/>
  <c r="U204" i="100" a="1"/>
  <c r="U204" i="100" s="1"/>
  <c r="T204" i="100" a="1"/>
  <c r="T204" i="100" s="1"/>
  <c r="S204" i="100" a="1"/>
  <c r="S204" i="100" s="1"/>
  <c r="R204" i="100" a="1"/>
  <c r="R204" i="100" s="1"/>
  <c r="Q204" i="100" a="1"/>
  <c r="Q204" i="100" s="1"/>
  <c r="P204" i="100" a="1"/>
  <c r="P204" i="100" s="1"/>
  <c r="O204" i="100" a="1"/>
  <c r="O204" i="100" s="1"/>
  <c r="N204" i="100" a="1"/>
  <c r="N204" i="100" s="1"/>
  <c r="M204" i="100" a="1"/>
  <c r="M204" i="100" s="1"/>
  <c r="L204" i="100" a="1"/>
  <c r="L204" i="100" s="1"/>
  <c r="K204" i="100" a="1"/>
  <c r="K204" i="100" s="1"/>
  <c r="J204" i="100" a="1"/>
  <c r="J204" i="100" s="1"/>
  <c r="I204" i="100" a="1"/>
  <c r="I204" i="100" s="1"/>
  <c r="H204" i="100" a="1"/>
  <c r="H204" i="100" s="1"/>
  <c r="G204" i="100" a="1"/>
  <c r="G204" i="100" s="1"/>
  <c r="F204" i="100" a="1"/>
  <c r="F204" i="100" s="1"/>
  <c r="E204" i="100" a="1"/>
  <c r="E204" i="100" s="1"/>
  <c r="D204" i="100" a="1"/>
  <c r="D204" i="100" s="1"/>
  <c r="AH203" i="100" a="1"/>
  <c r="AH203" i="100" s="1"/>
  <c r="AG203" i="100" a="1"/>
  <c r="AG203" i="100" s="1"/>
  <c r="AF203" i="100" a="1"/>
  <c r="AF203" i="100" s="1"/>
  <c r="AE203" i="100" a="1"/>
  <c r="AE203" i="100" s="1"/>
  <c r="AD203" i="100" a="1"/>
  <c r="AD203" i="100" s="1"/>
  <c r="AC203" i="100" a="1"/>
  <c r="AC203" i="100" s="1"/>
  <c r="AB203" i="100" a="1"/>
  <c r="AB203" i="100" s="1"/>
  <c r="AA203" i="100" a="1"/>
  <c r="AA203" i="100" s="1"/>
  <c r="Z203" i="100" a="1"/>
  <c r="Z203" i="100" s="1"/>
  <c r="Y203" i="100" a="1"/>
  <c r="Y203" i="100" s="1"/>
  <c r="X203" i="100" a="1"/>
  <c r="X203" i="100" s="1"/>
  <c r="W203" i="100" a="1"/>
  <c r="W203" i="100" s="1"/>
  <c r="V203" i="100" a="1"/>
  <c r="V203" i="100" s="1"/>
  <c r="U203" i="100" a="1"/>
  <c r="U203" i="100" s="1"/>
  <c r="T203" i="100" a="1"/>
  <c r="T203" i="100" s="1"/>
  <c r="S203" i="100" a="1"/>
  <c r="S203" i="100" s="1"/>
  <c r="R203" i="100" a="1"/>
  <c r="R203" i="100" s="1"/>
  <c r="Q203" i="100" a="1"/>
  <c r="Q203" i="100" s="1"/>
  <c r="P203" i="100" a="1"/>
  <c r="P203" i="100" s="1"/>
  <c r="O203" i="100" a="1"/>
  <c r="O203" i="100" s="1"/>
  <c r="N203" i="100" a="1"/>
  <c r="N203" i="100" s="1"/>
  <c r="M203" i="100" a="1"/>
  <c r="M203" i="100" s="1"/>
  <c r="L203" i="100" a="1"/>
  <c r="L203" i="100" s="1"/>
  <c r="K203" i="100" a="1"/>
  <c r="K203" i="100" s="1"/>
  <c r="J203" i="100" a="1"/>
  <c r="J203" i="100" s="1"/>
  <c r="I203" i="100" a="1"/>
  <c r="I203" i="100" s="1"/>
  <c r="H203" i="100" a="1"/>
  <c r="H203" i="100" s="1"/>
  <c r="G203" i="100" a="1"/>
  <c r="G203" i="100" s="1"/>
  <c r="F203" i="100" a="1"/>
  <c r="F203" i="100" s="1"/>
  <c r="E203" i="100" a="1"/>
  <c r="E203" i="100" s="1"/>
  <c r="D203" i="100" a="1"/>
  <c r="D203" i="100" s="1"/>
  <c r="AH202" i="100" a="1"/>
  <c r="AH202" i="100" s="1"/>
  <c r="AG202" i="100" a="1"/>
  <c r="AG202" i="100" s="1"/>
  <c r="AF202" i="100" a="1"/>
  <c r="AF202" i="100" s="1"/>
  <c r="AE202" i="100" a="1"/>
  <c r="AE202" i="100" s="1"/>
  <c r="AD202" i="100" a="1"/>
  <c r="AD202" i="100" s="1"/>
  <c r="AC202" i="100" a="1"/>
  <c r="AC202" i="100" s="1"/>
  <c r="AB202" i="100" a="1"/>
  <c r="AB202" i="100" s="1"/>
  <c r="AA202" i="100" a="1"/>
  <c r="AA202" i="100" s="1"/>
  <c r="Z202" i="100" a="1"/>
  <c r="Z202" i="100" s="1"/>
  <c r="Y202" i="100" a="1"/>
  <c r="Y202" i="100" s="1"/>
  <c r="X202" i="100" a="1"/>
  <c r="X202" i="100" s="1"/>
  <c r="W202" i="100" a="1"/>
  <c r="W202" i="100" s="1"/>
  <c r="V202" i="100" a="1"/>
  <c r="V202" i="100" s="1"/>
  <c r="U202" i="100" a="1"/>
  <c r="U202" i="100" s="1"/>
  <c r="T202" i="100" a="1"/>
  <c r="T202" i="100" s="1"/>
  <c r="S202" i="100" a="1"/>
  <c r="S202" i="100" s="1"/>
  <c r="R202" i="100" a="1"/>
  <c r="R202" i="100" s="1"/>
  <c r="Q202" i="100" a="1"/>
  <c r="Q202" i="100" s="1"/>
  <c r="P202" i="100" a="1"/>
  <c r="P202" i="100" s="1"/>
  <c r="O202" i="100" a="1"/>
  <c r="O202" i="100" s="1"/>
  <c r="N202" i="100" a="1"/>
  <c r="N202" i="100" s="1"/>
  <c r="M202" i="100" a="1"/>
  <c r="M202" i="100" s="1"/>
  <c r="L202" i="100" a="1"/>
  <c r="L202" i="100" s="1"/>
  <c r="K202" i="100" a="1"/>
  <c r="K202" i="100" s="1"/>
  <c r="J202" i="100" a="1"/>
  <c r="J202" i="100" s="1"/>
  <c r="I202" i="100" a="1"/>
  <c r="I202" i="100" s="1"/>
  <c r="H202" i="100" a="1"/>
  <c r="H202" i="100" s="1"/>
  <c r="G202" i="100" a="1"/>
  <c r="G202" i="100" s="1"/>
  <c r="F202" i="100" a="1"/>
  <c r="F202" i="100" s="1"/>
  <c r="E202" i="100" a="1"/>
  <c r="E202" i="100" s="1"/>
  <c r="D202" i="100" a="1"/>
  <c r="D202" i="100" s="1"/>
  <c r="AH201" i="100" a="1"/>
  <c r="AH201" i="100" s="1"/>
  <c r="AG201" i="100" a="1"/>
  <c r="AG201" i="100" s="1"/>
  <c r="AF201" i="100" a="1"/>
  <c r="AF201" i="100" s="1"/>
  <c r="AE201" i="100" a="1"/>
  <c r="AE201" i="100" s="1"/>
  <c r="AD201" i="100" a="1"/>
  <c r="AD201" i="100" s="1"/>
  <c r="AC201" i="100" a="1"/>
  <c r="AC201" i="100" s="1"/>
  <c r="AB201" i="100" a="1"/>
  <c r="AB201" i="100" s="1"/>
  <c r="AA201" i="100" a="1"/>
  <c r="AA201" i="100" s="1"/>
  <c r="Z201" i="100" a="1"/>
  <c r="Z201" i="100" s="1"/>
  <c r="Y201" i="100" a="1"/>
  <c r="Y201" i="100" s="1"/>
  <c r="X201" i="100" a="1"/>
  <c r="X201" i="100" s="1"/>
  <c r="W201" i="100" a="1"/>
  <c r="W201" i="100" s="1"/>
  <c r="V201" i="100" a="1"/>
  <c r="V201" i="100" s="1"/>
  <c r="U201" i="100" a="1"/>
  <c r="U201" i="100" s="1"/>
  <c r="T201" i="100" a="1"/>
  <c r="T201" i="100" s="1"/>
  <c r="S201" i="100" a="1"/>
  <c r="S201" i="100" s="1"/>
  <c r="R201" i="100" a="1"/>
  <c r="R201" i="100" s="1"/>
  <c r="Q201" i="100" a="1"/>
  <c r="Q201" i="100" s="1"/>
  <c r="P201" i="100" a="1"/>
  <c r="P201" i="100" s="1"/>
  <c r="O201" i="100" a="1"/>
  <c r="O201" i="100" s="1"/>
  <c r="N201" i="100" a="1"/>
  <c r="N201" i="100" s="1"/>
  <c r="M201" i="100" a="1"/>
  <c r="M201" i="100" s="1"/>
  <c r="L201" i="100" a="1"/>
  <c r="L201" i="100" s="1"/>
  <c r="K201" i="100" a="1"/>
  <c r="K201" i="100" s="1"/>
  <c r="J201" i="100" a="1"/>
  <c r="J201" i="100" s="1"/>
  <c r="I201" i="100" a="1"/>
  <c r="I201" i="100" s="1"/>
  <c r="H201" i="100" a="1"/>
  <c r="H201" i="100" s="1"/>
  <c r="G201" i="100" a="1"/>
  <c r="G201" i="100" s="1"/>
  <c r="F201" i="100" a="1"/>
  <c r="F201" i="100" s="1"/>
  <c r="E201" i="100" a="1"/>
  <c r="E201" i="100" s="1"/>
  <c r="D201" i="100" a="1"/>
  <c r="D201" i="100" s="1"/>
  <c r="AH200" i="100" a="1"/>
  <c r="AH200" i="100" s="1"/>
  <c r="AG200" i="100" a="1"/>
  <c r="AG200" i="100" s="1"/>
  <c r="AF200" i="100" a="1"/>
  <c r="AF200" i="100" s="1"/>
  <c r="AE200" i="100" a="1"/>
  <c r="AE200" i="100" s="1"/>
  <c r="AD200" i="100" a="1"/>
  <c r="AD200" i="100" s="1"/>
  <c r="AC200" i="100" a="1"/>
  <c r="AC200" i="100" s="1"/>
  <c r="AB200" i="100" a="1"/>
  <c r="AB200" i="100" s="1"/>
  <c r="AA200" i="100" a="1"/>
  <c r="AA200" i="100" s="1"/>
  <c r="Z200" i="100" a="1"/>
  <c r="Z200" i="100" s="1"/>
  <c r="Y200" i="100" a="1"/>
  <c r="Y200" i="100" s="1"/>
  <c r="X200" i="100" a="1"/>
  <c r="X200" i="100" s="1"/>
  <c r="W200" i="100" a="1"/>
  <c r="W200" i="100" s="1"/>
  <c r="V200" i="100" a="1"/>
  <c r="V200" i="100" s="1"/>
  <c r="U200" i="100" a="1"/>
  <c r="U200" i="100" s="1"/>
  <c r="T200" i="100" a="1"/>
  <c r="T200" i="100" s="1"/>
  <c r="S200" i="100" a="1"/>
  <c r="S200" i="100" s="1"/>
  <c r="R200" i="100" a="1"/>
  <c r="R200" i="100" s="1"/>
  <c r="Q200" i="100" a="1"/>
  <c r="Q200" i="100" s="1"/>
  <c r="P200" i="100" a="1"/>
  <c r="P200" i="100" s="1"/>
  <c r="O200" i="100" a="1"/>
  <c r="O200" i="100" s="1"/>
  <c r="N200" i="100" a="1"/>
  <c r="N200" i="100" s="1"/>
  <c r="M200" i="100" a="1"/>
  <c r="M200" i="100" s="1"/>
  <c r="L200" i="100" a="1"/>
  <c r="L200" i="100" s="1"/>
  <c r="K200" i="100" a="1"/>
  <c r="K200" i="100" s="1"/>
  <c r="J200" i="100" a="1"/>
  <c r="J200" i="100" s="1"/>
  <c r="I200" i="100" a="1"/>
  <c r="I200" i="100" s="1"/>
  <c r="H200" i="100" a="1"/>
  <c r="H200" i="100" s="1"/>
  <c r="G200" i="100" a="1"/>
  <c r="G200" i="100" s="1"/>
  <c r="F200" i="100" a="1"/>
  <c r="F200" i="100" s="1"/>
  <c r="E200" i="100" a="1"/>
  <c r="E200" i="100" s="1"/>
  <c r="D200" i="100" a="1"/>
  <c r="D200" i="100" s="1"/>
  <c r="AH199" i="100" a="1"/>
  <c r="AH199" i="100" s="1"/>
  <c r="AG199" i="100" a="1"/>
  <c r="AG199" i="100" s="1"/>
  <c r="AF199" i="100" a="1"/>
  <c r="AF199" i="100" s="1"/>
  <c r="AE199" i="100" a="1"/>
  <c r="AE199" i="100" s="1"/>
  <c r="AD199" i="100" a="1"/>
  <c r="AD199" i="100" s="1"/>
  <c r="AC199" i="100" a="1"/>
  <c r="AC199" i="100" s="1"/>
  <c r="AB199" i="100" a="1"/>
  <c r="AB199" i="100" s="1"/>
  <c r="AA199" i="100" a="1"/>
  <c r="AA199" i="100" s="1"/>
  <c r="Z199" i="100" a="1"/>
  <c r="Z199" i="100" s="1"/>
  <c r="Y199" i="100" a="1"/>
  <c r="Y199" i="100" s="1"/>
  <c r="X199" i="100" a="1"/>
  <c r="X199" i="100" s="1"/>
  <c r="W199" i="100" a="1"/>
  <c r="W199" i="100" s="1"/>
  <c r="V199" i="100" a="1"/>
  <c r="V199" i="100" s="1"/>
  <c r="U199" i="100" a="1"/>
  <c r="U199" i="100" s="1"/>
  <c r="T199" i="100" a="1"/>
  <c r="T199" i="100" s="1"/>
  <c r="S199" i="100" a="1"/>
  <c r="S199" i="100" s="1"/>
  <c r="R199" i="100" a="1"/>
  <c r="R199" i="100" s="1"/>
  <c r="Q199" i="100" a="1"/>
  <c r="Q199" i="100" s="1"/>
  <c r="P199" i="100" a="1"/>
  <c r="P199" i="100" s="1"/>
  <c r="O199" i="100" a="1"/>
  <c r="O199" i="100" s="1"/>
  <c r="N199" i="100" a="1"/>
  <c r="N199" i="100" s="1"/>
  <c r="M199" i="100" a="1"/>
  <c r="M199" i="100" s="1"/>
  <c r="L199" i="100" a="1"/>
  <c r="L199" i="100" s="1"/>
  <c r="K199" i="100" a="1"/>
  <c r="K199" i="100" s="1"/>
  <c r="J199" i="100" a="1"/>
  <c r="J199" i="100" s="1"/>
  <c r="I199" i="100" a="1"/>
  <c r="I199" i="100" s="1"/>
  <c r="H199" i="100" a="1"/>
  <c r="H199" i="100" s="1"/>
  <c r="G199" i="100" a="1"/>
  <c r="G199" i="100" s="1"/>
  <c r="F199" i="100" a="1"/>
  <c r="F199" i="100" s="1"/>
  <c r="E199" i="100" a="1"/>
  <c r="E199" i="100" s="1"/>
  <c r="D199" i="100" a="1"/>
  <c r="D199" i="100" s="1"/>
  <c r="AH198" i="100" a="1"/>
  <c r="AH198" i="100" s="1"/>
  <c r="AG198" i="100" a="1"/>
  <c r="AG198" i="100" s="1"/>
  <c r="AF198" i="100" a="1"/>
  <c r="AF198" i="100" s="1"/>
  <c r="AE198" i="100" a="1"/>
  <c r="AE198" i="100" s="1"/>
  <c r="AD198" i="100" a="1"/>
  <c r="AD198" i="100" s="1"/>
  <c r="AC198" i="100" a="1"/>
  <c r="AC198" i="100" s="1"/>
  <c r="AB198" i="100" a="1"/>
  <c r="AB198" i="100" s="1"/>
  <c r="AA198" i="100" a="1"/>
  <c r="AA198" i="100" s="1"/>
  <c r="Z198" i="100" a="1"/>
  <c r="Z198" i="100" s="1"/>
  <c r="Y198" i="100" a="1"/>
  <c r="Y198" i="100" s="1"/>
  <c r="X198" i="100" a="1"/>
  <c r="X198" i="100" s="1"/>
  <c r="W198" i="100" a="1"/>
  <c r="W198" i="100" s="1"/>
  <c r="V198" i="100" a="1"/>
  <c r="V198" i="100" s="1"/>
  <c r="U198" i="100" a="1"/>
  <c r="U198" i="100" s="1"/>
  <c r="T198" i="100" a="1"/>
  <c r="T198" i="100" s="1"/>
  <c r="S198" i="100" a="1"/>
  <c r="S198" i="100" s="1"/>
  <c r="R198" i="100" a="1"/>
  <c r="R198" i="100" s="1"/>
  <c r="Q198" i="100" a="1"/>
  <c r="Q198" i="100" s="1"/>
  <c r="P198" i="100" a="1"/>
  <c r="P198" i="100" s="1"/>
  <c r="O198" i="100" a="1"/>
  <c r="O198" i="100" s="1"/>
  <c r="N198" i="100" a="1"/>
  <c r="N198" i="100" s="1"/>
  <c r="M198" i="100" a="1"/>
  <c r="M198" i="100" s="1"/>
  <c r="L198" i="100" a="1"/>
  <c r="L198" i="100" s="1"/>
  <c r="K198" i="100" a="1"/>
  <c r="K198" i="100" s="1"/>
  <c r="J198" i="100" a="1"/>
  <c r="J198" i="100" s="1"/>
  <c r="I198" i="100" a="1"/>
  <c r="I198" i="100" s="1"/>
  <c r="H198" i="100" a="1"/>
  <c r="H198" i="100" s="1"/>
  <c r="G198" i="100" a="1"/>
  <c r="G198" i="100" s="1"/>
  <c r="F198" i="100" a="1"/>
  <c r="F198" i="100" s="1"/>
  <c r="E198" i="100" a="1"/>
  <c r="E198" i="100" s="1"/>
  <c r="D198" i="100" a="1"/>
  <c r="D198" i="100" s="1"/>
  <c r="AH197" i="100" a="1"/>
  <c r="AH197" i="100" s="1"/>
  <c r="AG197" i="100" a="1"/>
  <c r="AG197" i="100" s="1"/>
  <c r="AF197" i="100" a="1"/>
  <c r="AF197" i="100" s="1"/>
  <c r="AE197" i="100" a="1"/>
  <c r="AE197" i="100" s="1"/>
  <c r="AD197" i="100" a="1"/>
  <c r="AD197" i="100" s="1"/>
  <c r="AC197" i="100" a="1"/>
  <c r="AC197" i="100" s="1"/>
  <c r="AB197" i="100" a="1"/>
  <c r="AB197" i="100" s="1"/>
  <c r="AA197" i="100" a="1"/>
  <c r="AA197" i="100" s="1"/>
  <c r="Z197" i="100" a="1"/>
  <c r="Z197" i="100" s="1"/>
  <c r="Y197" i="100" a="1"/>
  <c r="Y197" i="100" s="1"/>
  <c r="X197" i="100" a="1"/>
  <c r="X197" i="100" s="1"/>
  <c r="W197" i="100" a="1"/>
  <c r="W197" i="100" s="1"/>
  <c r="V197" i="100" a="1"/>
  <c r="V197" i="100" s="1"/>
  <c r="U197" i="100" a="1"/>
  <c r="U197" i="100" s="1"/>
  <c r="T197" i="100" a="1"/>
  <c r="T197" i="100" s="1"/>
  <c r="S197" i="100" a="1"/>
  <c r="S197" i="100" s="1"/>
  <c r="R197" i="100" a="1"/>
  <c r="R197" i="100" s="1"/>
  <c r="Q197" i="100" a="1"/>
  <c r="Q197" i="100" s="1"/>
  <c r="P197" i="100" a="1"/>
  <c r="P197" i="100" s="1"/>
  <c r="O197" i="100" a="1"/>
  <c r="O197" i="100" s="1"/>
  <c r="N197" i="100" a="1"/>
  <c r="N197" i="100" s="1"/>
  <c r="M197" i="100" a="1"/>
  <c r="M197" i="100" s="1"/>
  <c r="L197" i="100" a="1"/>
  <c r="L197" i="100" s="1"/>
  <c r="K197" i="100" a="1"/>
  <c r="K197" i="100" s="1"/>
  <c r="J197" i="100" a="1"/>
  <c r="J197" i="100" s="1"/>
  <c r="I197" i="100" a="1"/>
  <c r="I197" i="100" s="1"/>
  <c r="H197" i="100" a="1"/>
  <c r="H197" i="100" s="1"/>
  <c r="G197" i="100" a="1"/>
  <c r="G197" i="100" s="1"/>
  <c r="F197" i="100" a="1"/>
  <c r="F197" i="100" s="1"/>
  <c r="E197" i="100" a="1"/>
  <c r="E197" i="100" s="1"/>
  <c r="D197" i="100" a="1"/>
  <c r="D197" i="100" s="1"/>
  <c r="AH196" i="100" a="1"/>
  <c r="AH196" i="100" s="1"/>
  <c r="AG196" i="100" a="1"/>
  <c r="AG196" i="100" s="1"/>
  <c r="AF196" i="100" a="1"/>
  <c r="AF196" i="100" s="1"/>
  <c r="AE196" i="100" a="1"/>
  <c r="AE196" i="100" s="1"/>
  <c r="AD196" i="100" a="1"/>
  <c r="AD196" i="100" s="1"/>
  <c r="AC196" i="100" a="1"/>
  <c r="AC196" i="100" s="1"/>
  <c r="AB196" i="100" a="1"/>
  <c r="AB196" i="100" s="1"/>
  <c r="AA196" i="100" a="1"/>
  <c r="AA196" i="100" s="1"/>
  <c r="Z196" i="100" a="1"/>
  <c r="Z196" i="100" s="1"/>
  <c r="Y196" i="100" a="1"/>
  <c r="Y196" i="100" s="1"/>
  <c r="X196" i="100" a="1"/>
  <c r="X196" i="100" s="1"/>
  <c r="W196" i="100" a="1"/>
  <c r="W196" i="100" s="1"/>
  <c r="V196" i="100" a="1"/>
  <c r="V196" i="100" s="1"/>
  <c r="U196" i="100" a="1"/>
  <c r="U196" i="100" s="1"/>
  <c r="T196" i="100" a="1"/>
  <c r="T196" i="100" s="1"/>
  <c r="S196" i="100" a="1"/>
  <c r="S196" i="100" s="1"/>
  <c r="R196" i="100" a="1"/>
  <c r="R196" i="100" s="1"/>
  <c r="Q196" i="100" a="1"/>
  <c r="Q196" i="100" s="1"/>
  <c r="P196" i="100" a="1"/>
  <c r="P196" i="100" s="1"/>
  <c r="O196" i="100" a="1"/>
  <c r="O196" i="100" s="1"/>
  <c r="N196" i="100" a="1"/>
  <c r="N196" i="100" s="1"/>
  <c r="M196" i="100" a="1"/>
  <c r="M196" i="100" s="1"/>
  <c r="L196" i="100" a="1"/>
  <c r="L196" i="100" s="1"/>
  <c r="K196" i="100" a="1"/>
  <c r="K196" i="100" s="1"/>
  <c r="J196" i="100" a="1"/>
  <c r="J196" i="100" s="1"/>
  <c r="I196" i="100" a="1"/>
  <c r="I196" i="100" s="1"/>
  <c r="H196" i="100" a="1"/>
  <c r="H196" i="100" s="1"/>
  <c r="G196" i="100" a="1"/>
  <c r="G196" i="100" s="1"/>
  <c r="F196" i="100" a="1"/>
  <c r="F196" i="100" s="1"/>
  <c r="E196" i="100" a="1"/>
  <c r="E196" i="100" s="1"/>
  <c r="D196" i="100" a="1"/>
  <c r="D196" i="100" s="1"/>
  <c r="AH195" i="100" a="1"/>
  <c r="AH195" i="100" s="1"/>
  <c r="AG195" i="100" a="1"/>
  <c r="AG195" i="100" s="1"/>
  <c r="AF195" i="100" a="1"/>
  <c r="AF195" i="100" s="1"/>
  <c r="AE195" i="100" a="1"/>
  <c r="AE195" i="100" s="1"/>
  <c r="AD195" i="100" a="1"/>
  <c r="AD195" i="100" s="1"/>
  <c r="AC195" i="100" a="1"/>
  <c r="AC195" i="100" s="1"/>
  <c r="AB195" i="100" a="1"/>
  <c r="AB195" i="100" s="1"/>
  <c r="AA195" i="100" a="1"/>
  <c r="AA195" i="100" s="1"/>
  <c r="Z195" i="100" a="1"/>
  <c r="Z195" i="100" s="1"/>
  <c r="Y195" i="100" a="1"/>
  <c r="Y195" i="100" s="1"/>
  <c r="X195" i="100" a="1"/>
  <c r="X195" i="100" s="1"/>
  <c r="W195" i="100" a="1"/>
  <c r="W195" i="100" s="1"/>
  <c r="V195" i="100" a="1"/>
  <c r="V195" i="100" s="1"/>
  <c r="U195" i="100" a="1"/>
  <c r="U195" i="100" s="1"/>
  <c r="T195" i="100" a="1"/>
  <c r="T195" i="100" s="1"/>
  <c r="S195" i="100" a="1"/>
  <c r="S195" i="100" s="1"/>
  <c r="R195" i="100" a="1"/>
  <c r="R195" i="100" s="1"/>
  <c r="Q195" i="100" a="1"/>
  <c r="Q195" i="100" s="1"/>
  <c r="P195" i="100" a="1"/>
  <c r="P195" i="100" s="1"/>
  <c r="O195" i="100" a="1"/>
  <c r="O195" i="100" s="1"/>
  <c r="N195" i="100" a="1"/>
  <c r="N195" i="100" s="1"/>
  <c r="M195" i="100" a="1"/>
  <c r="M195" i="100" s="1"/>
  <c r="L195" i="100" a="1"/>
  <c r="L195" i="100" s="1"/>
  <c r="K195" i="100" a="1"/>
  <c r="K195" i="100" s="1"/>
  <c r="J195" i="100" a="1"/>
  <c r="J195" i="100" s="1"/>
  <c r="I195" i="100" a="1"/>
  <c r="I195" i="100" s="1"/>
  <c r="H195" i="100" a="1"/>
  <c r="H195" i="100" s="1"/>
  <c r="G195" i="100" a="1"/>
  <c r="G195" i="100" s="1"/>
  <c r="F195" i="100" a="1"/>
  <c r="F195" i="100" s="1"/>
  <c r="E195" i="100" a="1"/>
  <c r="E195" i="100" s="1"/>
  <c r="D195" i="100" a="1"/>
  <c r="D195" i="100" s="1"/>
  <c r="AH194" i="100" a="1"/>
  <c r="AH194" i="100" s="1"/>
  <c r="AG194" i="100" a="1"/>
  <c r="AG194" i="100" s="1"/>
  <c r="AF194" i="100" a="1"/>
  <c r="AF194" i="100" s="1"/>
  <c r="AE194" i="100" a="1"/>
  <c r="AE194" i="100" s="1"/>
  <c r="AD194" i="100" a="1"/>
  <c r="AD194" i="100" s="1"/>
  <c r="AC194" i="100" a="1"/>
  <c r="AC194" i="100" s="1"/>
  <c r="AB194" i="100" a="1"/>
  <c r="AB194" i="100" s="1"/>
  <c r="AA194" i="100" a="1"/>
  <c r="AA194" i="100" s="1"/>
  <c r="Z194" i="100" a="1"/>
  <c r="Z194" i="100" s="1"/>
  <c r="Y194" i="100" a="1"/>
  <c r="Y194" i="100" s="1"/>
  <c r="X194" i="100" a="1"/>
  <c r="X194" i="100" s="1"/>
  <c r="W194" i="100" a="1"/>
  <c r="W194" i="100" s="1"/>
  <c r="V194" i="100" a="1"/>
  <c r="V194" i="100" s="1"/>
  <c r="U194" i="100" a="1"/>
  <c r="U194" i="100" s="1"/>
  <c r="T194" i="100" a="1"/>
  <c r="T194" i="100" s="1"/>
  <c r="S194" i="100" a="1"/>
  <c r="S194" i="100" s="1"/>
  <c r="R194" i="100" a="1"/>
  <c r="R194" i="100" s="1"/>
  <c r="Q194" i="100" a="1"/>
  <c r="Q194" i="100" s="1"/>
  <c r="P194" i="100" a="1"/>
  <c r="P194" i="100" s="1"/>
  <c r="O194" i="100" a="1"/>
  <c r="O194" i="100" s="1"/>
  <c r="N194" i="100" a="1"/>
  <c r="N194" i="100" s="1"/>
  <c r="M194" i="100" a="1"/>
  <c r="M194" i="100" s="1"/>
  <c r="L194" i="100" a="1"/>
  <c r="L194" i="100" s="1"/>
  <c r="K194" i="100" a="1"/>
  <c r="K194" i="100" s="1"/>
  <c r="J194" i="100" a="1"/>
  <c r="J194" i="100" s="1"/>
  <c r="I194" i="100" a="1"/>
  <c r="I194" i="100" s="1"/>
  <c r="H194" i="100" a="1"/>
  <c r="H194" i="100" s="1"/>
  <c r="G194" i="100" a="1"/>
  <c r="G194" i="100" s="1"/>
  <c r="F194" i="100" a="1"/>
  <c r="F194" i="100" s="1"/>
  <c r="E194" i="100" a="1"/>
  <c r="E194" i="100" s="1"/>
  <c r="D194" i="100" a="1"/>
  <c r="D194" i="100" s="1"/>
  <c r="AH193" i="100" a="1"/>
  <c r="AH193" i="100" s="1"/>
  <c r="AG193" i="100" a="1"/>
  <c r="AG193" i="100" s="1"/>
  <c r="AF193" i="100" a="1"/>
  <c r="AF193" i="100" s="1"/>
  <c r="AE193" i="100" a="1"/>
  <c r="AE193" i="100" s="1"/>
  <c r="AD193" i="100" a="1"/>
  <c r="AD193" i="100" s="1"/>
  <c r="AC193" i="100" a="1"/>
  <c r="AC193" i="100" s="1"/>
  <c r="AB193" i="100" a="1"/>
  <c r="AB193" i="100" s="1"/>
  <c r="AA193" i="100" a="1"/>
  <c r="AA193" i="100" s="1"/>
  <c r="Z193" i="100" a="1"/>
  <c r="Z193" i="100" s="1"/>
  <c r="Y193" i="100" a="1"/>
  <c r="Y193" i="100" s="1"/>
  <c r="X193" i="100" a="1"/>
  <c r="X193" i="100" s="1"/>
  <c r="W193" i="100" a="1"/>
  <c r="W193" i="100" s="1"/>
  <c r="V193" i="100" a="1"/>
  <c r="V193" i="100" s="1"/>
  <c r="U193" i="100" a="1"/>
  <c r="U193" i="100" s="1"/>
  <c r="T193" i="100" a="1"/>
  <c r="T193" i="100" s="1"/>
  <c r="S193" i="100" a="1"/>
  <c r="S193" i="100" s="1"/>
  <c r="R193" i="100" a="1"/>
  <c r="R193" i="100" s="1"/>
  <c r="Q193" i="100" a="1"/>
  <c r="Q193" i="100" s="1"/>
  <c r="P193" i="100" a="1"/>
  <c r="P193" i="100" s="1"/>
  <c r="O193" i="100" a="1"/>
  <c r="O193" i="100" s="1"/>
  <c r="N193" i="100" a="1"/>
  <c r="N193" i="100" s="1"/>
  <c r="M193" i="100" a="1"/>
  <c r="M193" i="100" s="1"/>
  <c r="L193" i="100" a="1"/>
  <c r="L193" i="100" s="1"/>
  <c r="K193" i="100" a="1"/>
  <c r="K193" i="100" s="1"/>
  <c r="J193" i="100" a="1"/>
  <c r="J193" i="100" s="1"/>
  <c r="I193" i="100" a="1"/>
  <c r="I193" i="100" s="1"/>
  <c r="H193" i="100" a="1"/>
  <c r="H193" i="100" s="1"/>
  <c r="G193" i="100" a="1"/>
  <c r="G193" i="100" s="1"/>
  <c r="F193" i="100" a="1"/>
  <c r="F193" i="100" s="1"/>
  <c r="E193" i="100" a="1"/>
  <c r="E193" i="100" s="1"/>
  <c r="D193" i="100" a="1"/>
  <c r="D193" i="100" s="1"/>
  <c r="AH192" i="100" a="1"/>
  <c r="AH192" i="100" s="1"/>
  <c r="AG192" i="100" a="1"/>
  <c r="AG192" i="100" s="1"/>
  <c r="AF192" i="100" a="1"/>
  <c r="AF192" i="100" s="1"/>
  <c r="AE192" i="100" a="1"/>
  <c r="AE192" i="100" s="1"/>
  <c r="AD192" i="100" a="1"/>
  <c r="AD192" i="100" s="1"/>
  <c r="AC192" i="100" a="1"/>
  <c r="AC192" i="100" s="1"/>
  <c r="AB192" i="100" a="1"/>
  <c r="AB192" i="100" s="1"/>
  <c r="AA192" i="100" a="1"/>
  <c r="AA192" i="100" s="1"/>
  <c r="Z192" i="100" a="1"/>
  <c r="Z192" i="100" s="1"/>
  <c r="Y192" i="100" a="1"/>
  <c r="Y192" i="100" s="1"/>
  <c r="X192" i="100" a="1"/>
  <c r="X192" i="100" s="1"/>
  <c r="W192" i="100" a="1"/>
  <c r="W192" i="100" s="1"/>
  <c r="V192" i="100" a="1"/>
  <c r="V192" i="100" s="1"/>
  <c r="U192" i="100" a="1"/>
  <c r="U192" i="100" s="1"/>
  <c r="T192" i="100" a="1"/>
  <c r="T192" i="100" s="1"/>
  <c r="S192" i="100" a="1"/>
  <c r="S192" i="100" s="1"/>
  <c r="R192" i="100" a="1"/>
  <c r="R192" i="100" s="1"/>
  <c r="Q192" i="100" a="1"/>
  <c r="Q192" i="100" s="1"/>
  <c r="P192" i="100" a="1"/>
  <c r="P192" i="100" s="1"/>
  <c r="O192" i="100" a="1"/>
  <c r="O192" i="100" s="1"/>
  <c r="N192" i="100" a="1"/>
  <c r="N192" i="100" s="1"/>
  <c r="M192" i="100" a="1"/>
  <c r="M192" i="100" s="1"/>
  <c r="L192" i="100" a="1"/>
  <c r="L192" i="100" s="1"/>
  <c r="K192" i="100" a="1"/>
  <c r="K192" i="100" s="1"/>
  <c r="J192" i="100" a="1"/>
  <c r="J192" i="100" s="1"/>
  <c r="I192" i="100" a="1"/>
  <c r="I192" i="100" s="1"/>
  <c r="H192" i="100" a="1"/>
  <c r="H192" i="100" s="1"/>
  <c r="G192" i="100" a="1"/>
  <c r="G192" i="100" s="1"/>
  <c r="F192" i="100" a="1"/>
  <c r="F192" i="100" s="1"/>
  <c r="E192" i="100" a="1"/>
  <c r="E192" i="100" s="1"/>
  <c r="D192" i="100" a="1"/>
  <c r="D192" i="100" s="1"/>
  <c r="AH191" i="100" a="1"/>
  <c r="AH191" i="100" s="1"/>
  <c r="AG191" i="100" a="1"/>
  <c r="AG191" i="100" s="1"/>
  <c r="AF191" i="100" a="1"/>
  <c r="AF191" i="100" s="1"/>
  <c r="AE191" i="100" a="1"/>
  <c r="AE191" i="100" s="1"/>
  <c r="AD191" i="100" a="1"/>
  <c r="AD191" i="100" s="1"/>
  <c r="AC191" i="100" a="1"/>
  <c r="AC191" i="100" s="1"/>
  <c r="AB191" i="100" a="1"/>
  <c r="AB191" i="100" s="1"/>
  <c r="AA191" i="100" a="1"/>
  <c r="AA191" i="100" s="1"/>
  <c r="Z191" i="100" a="1"/>
  <c r="Z191" i="100" s="1"/>
  <c r="Y191" i="100" a="1"/>
  <c r="Y191" i="100" s="1"/>
  <c r="X191" i="100" a="1"/>
  <c r="X191" i="100" s="1"/>
  <c r="W191" i="100" a="1"/>
  <c r="W191" i="100" s="1"/>
  <c r="V191" i="100" a="1"/>
  <c r="V191" i="100" s="1"/>
  <c r="U191" i="100" a="1"/>
  <c r="U191" i="100" s="1"/>
  <c r="T191" i="100" a="1"/>
  <c r="T191" i="100" s="1"/>
  <c r="S191" i="100" a="1"/>
  <c r="S191" i="100" s="1"/>
  <c r="R191" i="100" a="1"/>
  <c r="R191" i="100" s="1"/>
  <c r="Q191" i="100" a="1"/>
  <c r="Q191" i="100" s="1"/>
  <c r="P191" i="100" a="1"/>
  <c r="P191" i="100" s="1"/>
  <c r="O191" i="100" a="1"/>
  <c r="O191" i="100" s="1"/>
  <c r="N191" i="100" a="1"/>
  <c r="N191" i="100" s="1"/>
  <c r="M191" i="100" a="1"/>
  <c r="M191" i="100" s="1"/>
  <c r="L191" i="100" a="1"/>
  <c r="L191" i="100" s="1"/>
  <c r="K191" i="100" a="1"/>
  <c r="K191" i="100" s="1"/>
  <c r="J191" i="100" a="1"/>
  <c r="J191" i="100" s="1"/>
  <c r="I191" i="100" a="1"/>
  <c r="I191" i="100" s="1"/>
  <c r="H191" i="100" a="1"/>
  <c r="H191" i="100" s="1"/>
  <c r="G191" i="100" a="1"/>
  <c r="G191" i="100" s="1"/>
  <c r="F191" i="100" a="1"/>
  <c r="F191" i="100" s="1"/>
  <c r="E191" i="100" a="1"/>
  <c r="E191" i="100" s="1"/>
  <c r="D191" i="100" a="1"/>
  <c r="D191" i="100" s="1"/>
  <c r="AH190" i="100" a="1"/>
  <c r="AH190" i="100" s="1"/>
  <c r="AG190" i="100" a="1"/>
  <c r="AG190" i="100" s="1"/>
  <c r="AF190" i="100" a="1"/>
  <c r="AF190" i="100" s="1"/>
  <c r="AE190" i="100" a="1"/>
  <c r="AE190" i="100" s="1"/>
  <c r="AD190" i="100" a="1"/>
  <c r="AD190" i="100" s="1"/>
  <c r="AC190" i="100" a="1"/>
  <c r="AC190" i="100" s="1"/>
  <c r="AB190" i="100" a="1"/>
  <c r="AB190" i="100" s="1"/>
  <c r="AA190" i="100" a="1"/>
  <c r="AA190" i="100" s="1"/>
  <c r="Z190" i="100" a="1"/>
  <c r="Z190" i="100" s="1"/>
  <c r="Y190" i="100" a="1"/>
  <c r="Y190" i="100" s="1"/>
  <c r="X190" i="100" a="1"/>
  <c r="X190" i="100" s="1"/>
  <c r="W190" i="100" a="1"/>
  <c r="W190" i="100" s="1"/>
  <c r="V190" i="100" a="1"/>
  <c r="V190" i="100" s="1"/>
  <c r="U190" i="100" a="1"/>
  <c r="U190" i="100" s="1"/>
  <c r="T190" i="100" a="1"/>
  <c r="T190" i="100" s="1"/>
  <c r="S190" i="100" a="1"/>
  <c r="S190" i="100" s="1"/>
  <c r="R190" i="100" a="1"/>
  <c r="R190" i="100" s="1"/>
  <c r="Q190" i="100" a="1"/>
  <c r="Q190" i="100" s="1"/>
  <c r="P190" i="100" a="1"/>
  <c r="P190" i="100" s="1"/>
  <c r="O190" i="100" a="1"/>
  <c r="O190" i="100" s="1"/>
  <c r="N190" i="100" a="1"/>
  <c r="N190" i="100" s="1"/>
  <c r="M190" i="100" a="1"/>
  <c r="M190" i="100" s="1"/>
  <c r="L190" i="100" a="1"/>
  <c r="L190" i="100" s="1"/>
  <c r="K190" i="100" a="1"/>
  <c r="K190" i="100" s="1"/>
  <c r="J190" i="100" a="1"/>
  <c r="J190" i="100" s="1"/>
  <c r="I190" i="100" a="1"/>
  <c r="I190" i="100" s="1"/>
  <c r="H190" i="100" a="1"/>
  <c r="H190" i="100" s="1"/>
  <c r="G190" i="100" a="1"/>
  <c r="G190" i="100" s="1"/>
  <c r="F190" i="100" a="1"/>
  <c r="F190" i="100" s="1"/>
  <c r="E190" i="100" a="1"/>
  <c r="E190" i="100" s="1"/>
  <c r="D190" i="100" a="1"/>
  <c r="D190" i="100" s="1"/>
  <c r="AH189" i="100" a="1"/>
  <c r="AH189" i="100" s="1"/>
  <c r="AG189" i="100" a="1"/>
  <c r="AG189" i="100" s="1"/>
  <c r="AF189" i="100" a="1"/>
  <c r="AF189" i="100" s="1"/>
  <c r="AE189" i="100" a="1"/>
  <c r="AE189" i="100" s="1"/>
  <c r="AD189" i="100" a="1"/>
  <c r="AD189" i="100" s="1"/>
  <c r="AC189" i="100" a="1"/>
  <c r="AC189" i="100" s="1"/>
  <c r="AB189" i="100" a="1"/>
  <c r="AB189" i="100" s="1"/>
  <c r="AA189" i="100" a="1"/>
  <c r="AA189" i="100" s="1"/>
  <c r="Z189" i="100" a="1"/>
  <c r="Z189" i="100" s="1"/>
  <c r="Y189" i="100" a="1"/>
  <c r="Y189" i="100" s="1"/>
  <c r="X189" i="100" a="1"/>
  <c r="X189" i="100" s="1"/>
  <c r="W189" i="100" a="1"/>
  <c r="W189" i="100" s="1"/>
  <c r="V189" i="100" a="1"/>
  <c r="V189" i="100" s="1"/>
  <c r="U189" i="100" a="1"/>
  <c r="U189" i="100" s="1"/>
  <c r="T189" i="100" a="1"/>
  <c r="T189" i="100" s="1"/>
  <c r="S189" i="100" a="1"/>
  <c r="S189" i="100" s="1"/>
  <c r="R189" i="100" a="1"/>
  <c r="R189" i="100" s="1"/>
  <c r="Q189" i="100" a="1"/>
  <c r="Q189" i="100" s="1"/>
  <c r="P189" i="100" a="1"/>
  <c r="P189" i="100" s="1"/>
  <c r="O189" i="100" a="1"/>
  <c r="O189" i="100" s="1"/>
  <c r="N189" i="100" a="1"/>
  <c r="N189" i="100" s="1"/>
  <c r="M189" i="100" a="1"/>
  <c r="M189" i="100" s="1"/>
  <c r="L189" i="100" a="1"/>
  <c r="L189" i="100" s="1"/>
  <c r="K189" i="100" a="1"/>
  <c r="K189" i="100" s="1"/>
  <c r="J189" i="100" a="1"/>
  <c r="J189" i="100" s="1"/>
  <c r="I189" i="100" a="1"/>
  <c r="I189" i="100" s="1"/>
  <c r="H189" i="100" a="1"/>
  <c r="H189" i="100" s="1"/>
  <c r="G189" i="100" a="1"/>
  <c r="G189" i="100" s="1"/>
  <c r="F189" i="100" a="1"/>
  <c r="F189" i="100" s="1"/>
  <c r="E189" i="100" a="1"/>
  <c r="E189" i="100" s="1"/>
  <c r="D189" i="100" a="1"/>
  <c r="D189" i="100" s="1"/>
  <c r="AH188" i="100" a="1"/>
  <c r="AH188" i="100" s="1"/>
  <c r="AG188" i="100" a="1"/>
  <c r="AG188" i="100" s="1"/>
  <c r="AF188" i="100" a="1"/>
  <c r="AF188" i="100" s="1"/>
  <c r="AE188" i="100" a="1"/>
  <c r="AE188" i="100" s="1"/>
  <c r="AD188" i="100" a="1"/>
  <c r="AD188" i="100" s="1"/>
  <c r="AC188" i="100" a="1"/>
  <c r="AC188" i="100" s="1"/>
  <c r="AB188" i="100" a="1"/>
  <c r="AB188" i="100" s="1"/>
  <c r="AA188" i="100" a="1"/>
  <c r="AA188" i="100" s="1"/>
  <c r="Z188" i="100" a="1"/>
  <c r="Z188" i="100" s="1"/>
  <c r="Y188" i="100" a="1"/>
  <c r="Y188" i="100" s="1"/>
  <c r="X188" i="100" a="1"/>
  <c r="X188" i="100" s="1"/>
  <c r="W188" i="100" a="1"/>
  <c r="W188" i="100" s="1"/>
  <c r="V188" i="100" a="1"/>
  <c r="V188" i="100" s="1"/>
  <c r="U188" i="100" a="1"/>
  <c r="U188" i="100" s="1"/>
  <c r="T188" i="100" a="1"/>
  <c r="T188" i="100" s="1"/>
  <c r="S188" i="100" a="1"/>
  <c r="S188" i="100" s="1"/>
  <c r="R188" i="100" a="1"/>
  <c r="R188" i="100" s="1"/>
  <c r="Q188" i="100" a="1"/>
  <c r="Q188" i="100" s="1"/>
  <c r="P188" i="100" a="1"/>
  <c r="P188" i="100" s="1"/>
  <c r="O188" i="100" a="1"/>
  <c r="O188" i="100" s="1"/>
  <c r="N188" i="100" a="1"/>
  <c r="N188" i="100" s="1"/>
  <c r="M188" i="100" a="1"/>
  <c r="M188" i="100" s="1"/>
  <c r="L188" i="100" a="1"/>
  <c r="L188" i="100" s="1"/>
  <c r="K188" i="100" a="1"/>
  <c r="K188" i="100" s="1"/>
  <c r="J188" i="100" a="1"/>
  <c r="J188" i="100" s="1"/>
  <c r="I188" i="100" a="1"/>
  <c r="I188" i="100" s="1"/>
  <c r="H188" i="100" a="1"/>
  <c r="H188" i="100" s="1"/>
  <c r="G188" i="100" a="1"/>
  <c r="G188" i="100" s="1"/>
  <c r="F188" i="100" a="1"/>
  <c r="F188" i="100" s="1"/>
  <c r="E188" i="100" a="1"/>
  <c r="E188" i="100" s="1"/>
  <c r="D188" i="100" a="1"/>
  <c r="D188" i="100" s="1"/>
  <c r="AH187" i="100" a="1"/>
  <c r="AH187" i="100" s="1"/>
  <c r="AG187" i="100" a="1"/>
  <c r="AG187" i="100" s="1"/>
  <c r="AF187" i="100" a="1"/>
  <c r="AF187" i="100" s="1"/>
  <c r="AE187" i="100" a="1"/>
  <c r="AE187" i="100" s="1"/>
  <c r="AD187" i="100" a="1"/>
  <c r="AD187" i="100" s="1"/>
  <c r="AC187" i="100" a="1"/>
  <c r="AC187" i="100" s="1"/>
  <c r="AB187" i="100" a="1"/>
  <c r="AB187" i="100" s="1"/>
  <c r="AA187" i="100" a="1"/>
  <c r="AA187" i="100" s="1"/>
  <c r="Z187" i="100" a="1"/>
  <c r="Z187" i="100" s="1"/>
  <c r="Y187" i="100" a="1"/>
  <c r="Y187" i="100" s="1"/>
  <c r="X187" i="100" a="1"/>
  <c r="X187" i="100" s="1"/>
  <c r="W187" i="100" a="1"/>
  <c r="W187" i="100" s="1"/>
  <c r="V187" i="100" a="1"/>
  <c r="V187" i="100" s="1"/>
  <c r="U187" i="100" a="1"/>
  <c r="U187" i="100" s="1"/>
  <c r="T187" i="100" a="1"/>
  <c r="T187" i="100" s="1"/>
  <c r="S187" i="100" a="1"/>
  <c r="S187" i="100" s="1"/>
  <c r="R187" i="100" a="1"/>
  <c r="R187" i="100" s="1"/>
  <c r="Q187" i="100" a="1"/>
  <c r="Q187" i="100" s="1"/>
  <c r="P187" i="100" a="1"/>
  <c r="P187" i="100" s="1"/>
  <c r="O187" i="100" a="1"/>
  <c r="O187" i="100" s="1"/>
  <c r="N187" i="100" a="1"/>
  <c r="N187" i="100" s="1"/>
  <c r="M187" i="100" a="1"/>
  <c r="M187" i="100" s="1"/>
  <c r="L187" i="100" a="1"/>
  <c r="L187" i="100" s="1"/>
  <c r="K187" i="100" a="1"/>
  <c r="K187" i="100" s="1"/>
  <c r="J187" i="100" a="1"/>
  <c r="J187" i="100" s="1"/>
  <c r="I187" i="100" a="1"/>
  <c r="I187" i="100" s="1"/>
  <c r="H187" i="100" a="1"/>
  <c r="H187" i="100" s="1"/>
  <c r="G187" i="100" a="1"/>
  <c r="G187" i="100" s="1"/>
  <c r="F187" i="100" a="1"/>
  <c r="F187" i="100" s="1"/>
  <c r="E187" i="100" a="1"/>
  <c r="E187" i="100" s="1"/>
  <c r="D187" i="100" a="1"/>
  <c r="D187" i="100" s="1"/>
  <c r="AH186" i="100" a="1"/>
  <c r="AH186" i="100" s="1"/>
  <c r="AG186" i="100" a="1"/>
  <c r="AG186" i="100" s="1"/>
  <c r="AF186" i="100" a="1"/>
  <c r="AF186" i="100" s="1"/>
  <c r="AE186" i="100" a="1"/>
  <c r="AE186" i="100" s="1"/>
  <c r="AD186" i="100" a="1"/>
  <c r="AD186" i="100" s="1"/>
  <c r="AC186" i="100" a="1"/>
  <c r="AC186" i="100" s="1"/>
  <c r="AB186" i="100" a="1"/>
  <c r="AB186" i="100" s="1"/>
  <c r="AA186" i="100" a="1"/>
  <c r="AA186" i="100" s="1"/>
  <c r="Z186" i="100" a="1"/>
  <c r="Z186" i="100" s="1"/>
  <c r="Y186" i="100" a="1"/>
  <c r="Y186" i="100" s="1"/>
  <c r="X186" i="100" a="1"/>
  <c r="X186" i="100" s="1"/>
  <c r="W186" i="100" a="1"/>
  <c r="W186" i="100" s="1"/>
  <c r="V186" i="100" a="1"/>
  <c r="V186" i="100" s="1"/>
  <c r="U186" i="100" a="1"/>
  <c r="U186" i="100" s="1"/>
  <c r="T186" i="100" a="1"/>
  <c r="T186" i="100" s="1"/>
  <c r="S186" i="100" a="1"/>
  <c r="S186" i="100" s="1"/>
  <c r="R186" i="100" a="1"/>
  <c r="R186" i="100" s="1"/>
  <c r="Q186" i="100" a="1"/>
  <c r="Q186" i="100" s="1"/>
  <c r="P186" i="100" a="1"/>
  <c r="P186" i="100" s="1"/>
  <c r="O186" i="100" a="1"/>
  <c r="O186" i="100" s="1"/>
  <c r="N186" i="100" a="1"/>
  <c r="N186" i="100" s="1"/>
  <c r="M186" i="100" a="1"/>
  <c r="M186" i="100" s="1"/>
  <c r="L186" i="100" a="1"/>
  <c r="L186" i="100" s="1"/>
  <c r="K186" i="100" a="1"/>
  <c r="K186" i="100" s="1"/>
  <c r="J186" i="100" a="1"/>
  <c r="J186" i="100" s="1"/>
  <c r="I186" i="100" a="1"/>
  <c r="I186" i="100" s="1"/>
  <c r="H186" i="100" a="1"/>
  <c r="H186" i="100" s="1"/>
  <c r="G186" i="100" a="1"/>
  <c r="G186" i="100" s="1"/>
  <c r="F186" i="100" a="1"/>
  <c r="F186" i="100" s="1"/>
  <c r="E186" i="100" a="1"/>
  <c r="E186" i="100" s="1"/>
  <c r="D186" i="100" a="1"/>
  <c r="D186" i="100" s="1"/>
  <c r="AH185" i="100" a="1"/>
  <c r="AH185" i="100" s="1"/>
  <c r="AG185" i="100" a="1"/>
  <c r="AG185" i="100" s="1"/>
  <c r="AF185" i="100" a="1"/>
  <c r="AF185" i="100" s="1"/>
  <c r="AE185" i="100" a="1"/>
  <c r="AE185" i="100" s="1"/>
  <c r="AD185" i="100" a="1"/>
  <c r="AD185" i="100" s="1"/>
  <c r="AC185" i="100" a="1"/>
  <c r="AC185" i="100" s="1"/>
  <c r="AB185" i="100" a="1"/>
  <c r="AB185" i="100" s="1"/>
  <c r="AA185" i="100" a="1"/>
  <c r="AA185" i="100" s="1"/>
  <c r="Z185" i="100" a="1"/>
  <c r="Z185" i="100" s="1"/>
  <c r="Y185" i="100" a="1"/>
  <c r="Y185" i="100" s="1"/>
  <c r="X185" i="100" a="1"/>
  <c r="X185" i="100" s="1"/>
  <c r="W185" i="100" a="1"/>
  <c r="W185" i="100" s="1"/>
  <c r="V185" i="100" a="1"/>
  <c r="V185" i="100" s="1"/>
  <c r="U185" i="100" a="1"/>
  <c r="U185" i="100" s="1"/>
  <c r="T185" i="100" a="1"/>
  <c r="T185" i="100" s="1"/>
  <c r="S185" i="100" a="1"/>
  <c r="S185" i="100" s="1"/>
  <c r="R185" i="100" a="1"/>
  <c r="R185" i="100" s="1"/>
  <c r="Q185" i="100" a="1"/>
  <c r="Q185" i="100" s="1"/>
  <c r="P185" i="100" a="1"/>
  <c r="P185" i="100" s="1"/>
  <c r="O185" i="100" a="1"/>
  <c r="O185" i="100" s="1"/>
  <c r="N185" i="100" a="1"/>
  <c r="N185" i="100" s="1"/>
  <c r="M185" i="100" a="1"/>
  <c r="M185" i="100" s="1"/>
  <c r="L185" i="100" a="1"/>
  <c r="L185" i="100" s="1"/>
  <c r="K185" i="100" a="1"/>
  <c r="K185" i="100" s="1"/>
  <c r="J185" i="100" a="1"/>
  <c r="J185" i="100" s="1"/>
  <c r="I185" i="100" a="1"/>
  <c r="I185" i="100" s="1"/>
  <c r="H185" i="100" a="1"/>
  <c r="H185" i="100" s="1"/>
  <c r="G185" i="100" a="1"/>
  <c r="G185" i="100" s="1"/>
  <c r="F185" i="100" a="1"/>
  <c r="F185" i="100" s="1"/>
  <c r="E185" i="100" a="1"/>
  <c r="E185" i="100" s="1"/>
  <c r="D185" i="100" a="1"/>
  <c r="D185" i="100" s="1"/>
  <c r="AH184" i="100" a="1"/>
  <c r="AH184" i="100" s="1"/>
  <c r="AG184" i="100" a="1"/>
  <c r="AG184" i="100" s="1"/>
  <c r="AF184" i="100" a="1"/>
  <c r="AF184" i="100" s="1"/>
  <c r="AE184" i="100" a="1"/>
  <c r="AE184" i="100" s="1"/>
  <c r="AD184" i="100" a="1"/>
  <c r="AD184" i="100" s="1"/>
  <c r="AC184" i="100" a="1"/>
  <c r="AC184" i="100" s="1"/>
  <c r="AB184" i="100" a="1"/>
  <c r="AB184" i="100" s="1"/>
  <c r="AA184" i="100" a="1"/>
  <c r="AA184" i="100" s="1"/>
  <c r="Z184" i="100" a="1"/>
  <c r="Z184" i="100" s="1"/>
  <c r="Y184" i="100" a="1"/>
  <c r="Y184" i="100" s="1"/>
  <c r="X184" i="100" a="1"/>
  <c r="X184" i="100" s="1"/>
  <c r="W184" i="100" a="1"/>
  <c r="W184" i="100" s="1"/>
  <c r="V184" i="100" a="1"/>
  <c r="V184" i="100" s="1"/>
  <c r="U184" i="100" a="1"/>
  <c r="U184" i="100" s="1"/>
  <c r="T184" i="100" a="1"/>
  <c r="T184" i="100" s="1"/>
  <c r="S184" i="100" a="1"/>
  <c r="S184" i="100" s="1"/>
  <c r="R184" i="100" a="1"/>
  <c r="R184" i="100" s="1"/>
  <c r="Q184" i="100" a="1"/>
  <c r="Q184" i="100" s="1"/>
  <c r="P184" i="100" a="1"/>
  <c r="P184" i="100" s="1"/>
  <c r="O184" i="100" a="1"/>
  <c r="O184" i="100" s="1"/>
  <c r="N184" i="100" a="1"/>
  <c r="N184" i="100" s="1"/>
  <c r="M184" i="100" a="1"/>
  <c r="M184" i="100" s="1"/>
  <c r="L184" i="100" a="1"/>
  <c r="L184" i="100" s="1"/>
  <c r="K184" i="100" a="1"/>
  <c r="K184" i="100" s="1"/>
  <c r="J184" i="100" a="1"/>
  <c r="J184" i="100" s="1"/>
  <c r="I184" i="100" a="1"/>
  <c r="I184" i="100" s="1"/>
  <c r="H184" i="100" a="1"/>
  <c r="H184" i="100" s="1"/>
  <c r="G184" i="100" a="1"/>
  <c r="G184" i="100" s="1"/>
  <c r="F184" i="100" a="1"/>
  <c r="F184" i="100" s="1"/>
  <c r="E184" i="100" a="1"/>
  <c r="E184" i="100" s="1"/>
  <c r="D184" i="100" a="1"/>
  <c r="D184" i="100" s="1"/>
  <c r="AH183" i="100" a="1"/>
  <c r="AH183" i="100" s="1"/>
  <c r="AG183" i="100" a="1"/>
  <c r="AG183" i="100" s="1"/>
  <c r="AF183" i="100" a="1"/>
  <c r="AF183" i="100" s="1"/>
  <c r="AE183" i="100" a="1"/>
  <c r="AE183" i="100" s="1"/>
  <c r="AD183" i="100" a="1"/>
  <c r="AD183" i="100" s="1"/>
  <c r="AC183" i="100" a="1"/>
  <c r="AC183" i="100" s="1"/>
  <c r="AB183" i="100" a="1"/>
  <c r="AB183" i="100" s="1"/>
  <c r="AA183" i="100" a="1"/>
  <c r="AA183" i="100" s="1"/>
  <c r="Z183" i="100" a="1"/>
  <c r="Z183" i="100" s="1"/>
  <c r="Y183" i="100" a="1"/>
  <c r="Y183" i="100" s="1"/>
  <c r="X183" i="100" a="1"/>
  <c r="X183" i="100" s="1"/>
  <c r="W183" i="100" a="1"/>
  <c r="W183" i="100" s="1"/>
  <c r="V183" i="100" a="1"/>
  <c r="V183" i="100" s="1"/>
  <c r="U183" i="100" a="1"/>
  <c r="U183" i="100" s="1"/>
  <c r="T183" i="100" a="1"/>
  <c r="T183" i="100" s="1"/>
  <c r="S183" i="100" a="1"/>
  <c r="S183" i="100" s="1"/>
  <c r="R183" i="100" a="1"/>
  <c r="R183" i="100" s="1"/>
  <c r="Q183" i="100" a="1"/>
  <c r="Q183" i="100" s="1"/>
  <c r="P183" i="100" a="1"/>
  <c r="P183" i="100" s="1"/>
  <c r="O183" i="100" a="1"/>
  <c r="O183" i="100" s="1"/>
  <c r="N183" i="100" a="1"/>
  <c r="N183" i="100" s="1"/>
  <c r="M183" i="100" a="1"/>
  <c r="M183" i="100" s="1"/>
  <c r="L183" i="100" a="1"/>
  <c r="L183" i="100" s="1"/>
  <c r="K183" i="100" a="1"/>
  <c r="K183" i="100" s="1"/>
  <c r="J183" i="100" a="1"/>
  <c r="J183" i="100" s="1"/>
  <c r="I183" i="100" a="1"/>
  <c r="I183" i="100" s="1"/>
  <c r="H183" i="100" a="1"/>
  <c r="H183" i="100" s="1"/>
  <c r="G183" i="100" a="1"/>
  <c r="G183" i="100" s="1"/>
  <c r="F183" i="100" a="1"/>
  <c r="F183" i="100" s="1"/>
  <c r="E183" i="100" a="1"/>
  <c r="E183" i="100" s="1"/>
  <c r="D183" i="100" a="1"/>
  <c r="D183" i="100" s="1"/>
  <c r="AH182" i="100" a="1"/>
  <c r="AH182" i="100" s="1"/>
  <c r="AG182" i="100" a="1"/>
  <c r="AG182" i="100" s="1"/>
  <c r="AF182" i="100" a="1"/>
  <c r="AF182" i="100" s="1"/>
  <c r="AE182" i="100" a="1"/>
  <c r="AE182" i="100" s="1"/>
  <c r="AD182" i="100" a="1"/>
  <c r="AD182" i="100" s="1"/>
  <c r="AC182" i="100" a="1"/>
  <c r="AC182" i="100" s="1"/>
  <c r="AB182" i="100" a="1"/>
  <c r="AB182" i="100" s="1"/>
  <c r="AA182" i="100" a="1"/>
  <c r="AA182" i="100" s="1"/>
  <c r="Z182" i="100" a="1"/>
  <c r="Z182" i="100" s="1"/>
  <c r="Y182" i="100" a="1"/>
  <c r="Y182" i="100" s="1"/>
  <c r="X182" i="100" a="1"/>
  <c r="X182" i="100" s="1"/>
  <c r="W182" i="100" a="1"/>
  <c r="W182" i="100" s="1"/>
  <c r="V182" i="100" a="1"/>
  <c r="V182" i="100" s="1"/>
  <c r="U182" i="100" a="1"/>
  <c r="U182" i="100" s="1"/>
  <c r="T182" i="100" a="1"/>
  <c r="T182" i="100" s="1"/>
  <c r="S182" i="100" a="1"/>
  <c r="S182" i="100" s="1"/>
  <c r="R182" i="100" a="1"/>
  <c r="R182" i="100" s="1"/>
  <c r="Q182" i="100" a="1"/>
  <c r="Q182" i="100" s="1"/>
  <c r="P182" i="100" a="1"/>
  <c r="P182" i="100" s="1"/>
  <c r="O182" i="100" a="1"/>
  <c r="O182" i="100" s="1"/>
  <c r="N182" i="100" a="1"/>
  <c r="N182" i="100" s="1"/>
  <c r="M182" i="100" a="1"/>
  <c r="M182" i="100" s="1"/>
  <c r="L182" i="100" a="1"/>
  <c r="L182" i="100" s="1"/>
  <c r="K182" i="100" a="1"/>
  <c r="K182" i="100" s="1"/>
  <c r="J182" i="100" a="1"/>
  <c r="J182" i="100" s="1"/>
  <c r="I182" i="100" a="1"/>
  <c r="I182" i="100" s="1"/>
  <c r="H182" i="100" a="1"/>
  <c r="H182" i="100" s="1"/>
  <c r="G182" i="100" a="1"/>
  <c r="G182" i="100" s="1"/>
  <c r="F182" i="100" a="1"/>
  <c r="F182" i="100" s="1"/>
  <c r="E182" i="100" a="1"/>
  <c r="E182" i="100" s="1"/>
  <c r="D182" i="100" a="1"/>
  <c r="D182" i="100" s="1"/>
  <c r="AH181" i="100" a="1"/>
  <c r="AH181" i="100" s="1"/>
  <c r="AG181" i="100" a="1"/>
  <c r="AG181" i="100" s="1"/>
  <c r="AF181" i="100" a="1"/>
  <c r="AF181" i="100" s="1"/>
  <c r="AE181" i="100" a="1"/>
  <c r="AE181" i="100" s="1"/>
  <c r="AD181" i="100" a="1"/>
  <c r="AD181" i="100" s="1"/>
  <c r="AC181" i="100" a="1"/>
  <c r="AC181" i="100" s="1"/>
  <c r="AB181" i="100" a="1"/>
  <c r="AB181" i="100" s="1"/>
  <c r="AA181" i="100" a="1"/>
  <c r="AA181" i="100" s="1"/>
  <c r="Z181" i="100" a="1"/>
  <c r="Z181" i="100" s="1"/>
  <c r="Y181" i="100" a="1"/>
  <c r="Y181" i="100" s="1"/>
  <c r="X181" i="100" a="1"/>
  <c r="X181" i="100" s="1"/>
  <c r="W181" i="100" a="1"/>
  <c r="W181" i="100" s="1"/>
  <c r="V181" i="100" a="1"/>
  <c r="V181" i="100" s="1"/>
  <c r="U181" i="100" a="1"/>
  <c r="U181" i="100" s="1"/>
  <c r="T181" i="100" a="1"/>
  <c r="T181" i="100" s="1"/>
  <c r="S181" i="100" a="1"/>
  <c r="S181" i="100" s="1"/>
  <c r="R181" i="100" a="1"/>
  <c r="R181" i="100" s="1"/>
  <c r="Q181" i="100" a="1"/>
  <c r="Q181" i="100" s="1"/>
  <c r="P181" i="100" a="1"/>
  <c r="P181" i="100" s="1"/>
  <c r="O181" i="100" a="1"/>
  <c r="O181" i="100" s="1"/>
  <c r="N181" i="100" a="1"/>
  <c r="N181" i="100" s="1"/>
  <c r="M181" i="100" a="1"/>
  <c r="M181" i="100" s="1"/>
  <c r="L181" i="100" a="1"/>
  <c r="L181" i="100" s="1"/>
  <c r="K181" i="100" a="1"/>
  <c r="K181" i="100" s="1"/>
  <c r="J181" i="100" a="1"/>
  <c r="J181" i="100" s="1"/>
  <c r="I181" i="100" a="1"/>
  <c r="I181" i="100" s="1"/>
  <c r="H181" i="100" a="1"/>
  <c r="H181" i="100" s="1"/>
  <c r="G181" i="100" a="1"/>
  <c r="G181" i="100" s="1"/>
  <c r="F181" i="100" a="1"/>
  <c r="F181" i="100" s="1"/>
  <c r="E181" i="100" a="1"/>
  <c r="E181" i="100" s="1"/>
  <c r="D181" i="100" a="1"/>
  <c r="D181" i="100" s="1"/>
  <c r="AH180" i="100" a="1"/>
  <c r="AH180" i="100" s="1"/>
  <c r="AG180" i="100" a="1"/>
  <c r="AG180" i="100" s="1"/>
  <c r="AF180" i="100" a="1"/>
  <c r="AF180" i="100" s="1"/>
  <c r="AE180" i="100" a="1"/>
  <c r="AE180" i="100" s="1"/>
  <c r="AD180" i="100" a="1"/>
  <c r="AD180" i="100" s="1"/>
  <c r="AC180" i="100" a="1"/>
  <c r="AC180" i="100" s="1"/>
  <c r="AB180" i="100" a="1"/>
  <c r="AB180" i="100" s="1"/>
  <c r="AA180" i="100" a="1"/>
  <c r="AA180" i="100" s="1"/>
  <c r="Z180" i="100" a="1"/>
  <c r="Z180" i="100" s="1"/>
  <c r="Y180" i="100" a="1"/>
  <c r="Y180" i="100" s="1"/>
  <c r="X180" i="100" a="1"/>
  <c r="X180" i="100" s="1"/>
  <c r="W180" i="100" a="1"/>
  <c r="W180" i="100" s="1"/>
  <c r="V180" i="100" a="1"/>
  <c r="V180" i="100" s="1"/>
  <c r="U180" i="100" a="1"/>
  <c r="U180" i="100" s="1"/>
  <c r="T180" i="100" a="1"/>
  <c r="T180" i="100" s="1"/>
  <c r="S180" i="100" a="1"/>
  <c r="S180" i="100" s="1"/>
  <c r="R180" i="100" a="1"/>
  <c r="R180" i="100" s="1"/>
  <c r="Q180" i="100" a="1"/>
  <c r="Q180" i="100" s="1"/>
  <c r="P180" i="100" a="1"/>
  <c r="P180" i="100" s="1"/>
  <c r="O180" i="100" a="1"/>
  <c r="O180" i="100" s="1"/>
  <c r="N180" i="100" a="1"/>
  <c r="N180" i="100" s="1"/>
  <c r="M180" i="100" a="1"/>
  <c r="M180" i="100" s="1"/>
  <c r="L180" i="100" a="1"/>
  <c r="L180" i="100" s="1"/>
  <c r="K180" i="100" a="1"/>
  <c r="K180" i="100" s="1"/>
  <c r="J180" i="100" a="1"/>
  <c r="J180" i="100" s="1"/>
  <c r="I180" i="100" a="1"/>
  <c r="I180" i="100" s="1"/>
  <c r="H180" i="100" a="1"/>
  <c r="H180" i="100" s="1"/>
  <c r="G180" i="100" a="1"/>
  <c r="G180" i="100" s="1"/>
  <c r="F180" i="100" a="1"/>
  <c r="F180" i="100" s="1"/>
  <c r="E180" i="100" a="1"/>
  <c r="E180" i="100" s="1"/>
  <c r="D180" i="100" a="1"/>
  <c r="D180" i="100" s="1"/>
  <c r="AH179" i="100" a="1"/>
  <c r="AH179" i="100" s="1"/>
  <c r="AG179" i="100" a="1"/>
  <c r="AG179" i="100" s="1"/>
  <c r="AF179" i="100" a="1"/>
  <c r="AF179" i="100" s="1"/>
  <c r="AE179" i="100" a="1"/>
  <c r="AE179" i="100" s="1"/>
  <c r="AD179" i="100" a="1"/>
  <c r="AD179" i="100" s="1"/>
  <c r="AC179" i="100" a="1"/>
  <c r="AC179" i="100" s="1"/>
  <c r="AB179" i="100" a="1"/>
  <c r="AB179" i="100" s="1"/>
  <c r="AA179" i="100" a="1"/>
  <c r="AA179" i="100" s="1"/>
  <c r="Z179" i="100" a="1"/>
  <c r="Z179" i="100" s="1"/>
  <c r="Y179" i="100" a="1"/>
  <c r="Y179" i="100" s="1"/>
  <c r="X179" i="100" a="1"/>
  <c r="X179" i="100" s="1"/>
  <c r="W179" i="100" a="1"/>
  <c r="W179" i="100" s="1"/>
  <c r="V179" i="100" a="1"/>
  <c r="V179" i="100" s="1"/>
  <c r="U179" i="100" a="1"/>
  <c r="U179" i="100" s="1"/>
  <c r="T179" i="100" a="1"/>
  <c r="T179" i="100" s="1"/>
  <c r="S179" i="100" a="1"/>
  <c r="S179" i="100" s="1"/>
  <c r="R179" i="100" a="1"/>
  <c r="R179" i="100" s="1"/>
  <c r="Q179" i="100" a="1"/>
  <c r="Q179" i="100" s="1"/>
  <c r="P179" i="100" a="1"/>
  <c r="P179" i="100" s="1"/>
  <c r="O179" i="100" a="1"/>
  <c r="O179" i="100" s="1"/>
  <c r="N179" i="100" a="1"/>
  <c r="N179" i="100" s="1"/>
  <c r="M179" i="100" a="1"/>
  <c r="M179" i="100" s="1"/>
  <c r="L179" i="100" a="1"/>
  <c r="L179" i="100" s="1"/>
  <c r="K179" i="100" a="1"/>
  <c r="K179" i="100" s="1"/>
  <c r="J179" i="100" a="1"/>
  <c r="J179" i="100" s="1"/>
  <c r="I179" i="100" a="1"/>
  <c r="I179" i="100" s="1"/>
  <c r="H179" i="100" a="1"/>
  <c r="H179" i="100" s="1"/>
  <c r="G179" i="100" a="1"/>
  <c r="G179" i="100" s="1"/>
  <c r="F179" i="100" a="1"/>
  <c r="F179" i="100" s="1"/>
  <c r="E179" i="100" a="1"/>
  <c r="E179" i="100" s="1"/>
  <c r="D179" i="100" a="1"/>
  <c r="D179" i="100" s="1"/>
  <c r="AH178" i="100" a="1"/>
  <c r="AH178" i="100" s="1"/>
  <c r="AG178" i="100" a="1"/>
  <c r="AG178" i="100" s="1"/>
  <c r="AF178" i="100" a="1"/>
  <c r="AF178" i="100" s="1"/>
  <c r="AE178" i="100" a="1"/>
  <c r="AE178" i="100" s="1"/>
  <c r="AD178" i="100" a="1"/>
  <c r="AD178" i="100" s="1"/>
  <c r="AC178" i="100" a="1"/>
  <c r="AC178" i="100" s="1"/>
  <c r="AB178" i="100" a="1"/>
  <c r="AB178" i="100" s="1"/>
  <c r="AA178" i="100" a="1"/>
  <c r="AA178" i="100" s="1"/>
  <c r="Z178" i="100" a="1"/>
  <c r="Z178" i="100" s="1"/>
  <c r="Y178" i="100" a="1"/>
  <c r="Y178" i="100" s="1"/>
  <c r="X178" i="100" a="1"/>
  <c r="X178" i="100" s="1"/>
  <c r="W178" i="100" a="1"/>
  <c r="W178" i="100" s="1"/>
  <c r="V178" i="100" a="1"/>
  <c r="V178" i="100" s="1"/>
  <c r="U178" i="100" a="1"/>
  <c r="U178" i="100" s="1"/>
  <c r="T178" i="100" a="1"/>
  <c r="T178" i="100" s="1"/>
  <c r="S178" i="100" a="1"/>
  <c r="S178" i="100" s="1"/>
  <c r="R178" i="100" a="1"/>
  <c r="R178" i="100" s="1"/>
  <c r="Q178" i="100" a="1"/>
  <c r="Q178" i="100" s="1"/>
  <c r="P178" i="100" a="1"/>
  <c r="P178" i="100" s="1"/>
  <c r="O178" i="100" a="1"/>
  <c r="O178" i="100" s="1"/>
  <c r="N178" i="100" a="1"/>
  <c r="N178" i="100" s="1"/>
  <c r="M178" i="100" a="1"/>
  <c r="M178" i="100" s="1"/>
  <c r="L178" i="100" a="1"/>
  <c r="L178" i="100" s="1"/>
  <c r="K178" i="100" a="1"/>
  <c r="K178" i="100" s="1"/>
  <c r="J178" i="100" a="1"/>
  <c r="J178" i="100" s="1"/>
  <c r="I178" i="100" a="1"/>
  <c r="I178" i="100" s="1"/>
  <c r="H178" i="100" a="1"/>
  <c r="H178" i="100" s="1"/>
  <c r="G178" i="100" a="1"/>
  <c r="G178" i="100" s="1"/>
  <c r="F178" i="100" a="1"/>
  <c r="F178" i="100" s="1"/>
  <c r="E178" i="100" a="1"/>
  <c r="E178" i="100" s="1"/>
  <c r="D178" i="100" a="1"/>
  <c r="D178" i="100" s="1"/>
  <c r="AH177" i="100" a="1"/>
  <c r="AH177" i="100" s="1"/>
  <c r="AG177" i="100" a="1"/>
  <c r="AG177" i="100" s="1"/>
  <c r="AF177" i="100" a="1"/>
  <c r="AF177" i="100" s="1"/>
  <c r="AE177" i="100" a="1"/>
  <c r="AE177" i="100" s="1"/>
  <c r="AD177" i="100" a="1"/>
  <c r="AD177" i="100" s="1"/>
  <c r="AC177" i="100" a="1"/>
  <c r="AC177" i="100" s="1"/>
  <c r="AB177" i="100" a="1"/>
  <c r="AB177" i="100" s="1"/>
  <c r="AA177" i="100" a="1"/>
  <c r="AA177" i="100" s="1"/>
  <c r="Z177" i="100" a="1"/>
  <c r="Z177" i="100" s="1"/>
  <c r="Y177" i="100" a="1"/>
  <c r="Y177" i="100" s="1"/>
  <c r="X177" i="100" a="1"/>
  <c r="X177" i="100" s="1"/>
  <c r="W177" i="100" a="1"/>
  <c r="W177" i="100" s="1"/>
  <c r="V177" i="100" a="1"/>
  <c r="V177" i="100" s="1"/>
  <c r="U177" i="100" a="1"/>
  <c r="U177" i="100" s="1"/>
  <c r="T177" i="100" a="1"/>
  <c r="T177" i="100" s="1"/>
  <c r="S177" i="100" a="1"/>
  <c r="S177" i="100" s="1"/>
  <c r="R177" i="100" a="1"/>
  <c r="R177" i="100" s="1"/>
  <c r="Q177" i="100" a="1"/>
  <c r="Q177" i="100" s="1"/>
  <c r="P177" i="100" a="1"/>
  <c r="P177" i="100" s="1"/>
  <c r="O177" i="100" a="1"/>
  <c r="O177" i="100" s="1"/>
  <c r="N177" i="100" a="1"/>
  <c r="N177" i="100" s="1"/>
  <c r="M177" i="100" a="1"/>
  <c r="M177" i="100" s="1"/>
  <c r="L177" i="100" a="1"/>
  <c r="L177" i="100" s="1"/>
  <c r="K177" i="100" a="1"/>
  <c r="K177" i="100" s="1"/>
  <c r="J177" i="100" a="1"/>
  <c r="J177" i="100" s="1"/>
  <c r="I177" i="100" a="1"/>
  <c r="I177" i="100" s="1"/>
  <c r="H177" i="100" a="1"/>
  <c r="H177" i="100" s="1"/>
  <c r="G177" i="100" a="1"/>
  <c r="G177" i="100" s="1"/>
  <c r="F177" i="100" a="1"/>
  <c r="F177" i="100" s="1"/>
  <c r="E177" i="100" a="1"/>
  <c r="E177" i="100" s="1"/>
  <c r="D177" i="100" a="1"/>
  <c r="D177" i="100" s="1"/>
  <c r="AH176" i="100" a="1"/>
  <c r="AH176" i="100" s="1"/>
  <c r="AG176" i="100" a="1"/>
  <c r="AG176" i="100" s="1"/>
  <c r="AF176" i="100" a="1"/>
  <c r="AF176" i="100" s="1"/>
  <c r="AE176" i="100" a="1"/>
  <c r="AE176" i="100" s="1"/>
  <c r="AD176" i="100" a="1"/>
  <c r="AD176" i="100" s="1"/>
  <c r="AC176" i="100" a="1"/>
  <c r="AC176" i="100" s="1"/>
  <c r="AB176" i="100" a="1"/>
  <c r="AB176" i="100" s="1"/>
  <c r="AA176" i="100" a="1"/>
  <c r="AA176" i="100" s="1"/>
  <c r="Z176" i="100" a="1"/>
  <c r="Z176" i="100" s="1"/>
  <c r="Y176" i="100" a="1"/>
  <c r="Y176" i="100" s="1"/>
  <c r="X176" i="100" a="1"/>
  <c r="X176" i="100" s="1"/>
  <c r="W176" i="100" a="1"/>
  <c r="W176" i="100" s="1"/>
  <c r="V176" i="100" a="1"/>
  <c r="V176" i="100" s="1"/>
  <c r="U176" i="100" a="1"/>
  <c r="U176" i="100" s="1"/>
  <c r="T176" i="100" a="1"/>
  <c r="T176" i="100" s="1"/>
  <c r="S176" i="100" a="1"/>
  <c r="S176" i="100" s="1"/>
  <c r="R176" i="100" a="1"/>
  <c r="R176" i="100" s="1"/>
  <c r="Q176" i="100" a="1"/>
  <c r="Q176" i="100" s="1"/>
  <c r="P176" i="100" a="1"/>
  <c r="P176" i="100" s="1"/>
  <c r="O176" i="100" a="1"/>
  <c r="O176" i="100" s="1"/>
  <c r="N176" i="100" a="1"/>
  <c r="N176" i="100" s="1"/>
  <c r="M176" i="100" a="1"/>
  <c r="M176" i="100" s="1"/>
  <c r="L176" i="100" a="1"/>
  <c r="L176" i="100" s="1"/>
  <c r="K176" i="100" a="1"/>
  <c r="K176" i="100" s="1"/>
  <c r="J176" i="100" a="1"/>
  <c r="J176" i="100" s="1"/>
  <c r="I176" i="100" a="1"/>
  <c r="I176" i="100" s="1"/>
  <c r="H176" i="100" a="1"/>
  <c r="H176" i="100" s="1"/>
  <c r="G176" i="100" a="1"/>
  <c r="G176" i="100" s="1"/>
  <c r="F176" i="100" a="1"/>
  <c r="F176" i="100" s="1"/>
  <c r="E176" i="100" a="1"/>
  <c r="E176" i="100" s="1"/>
  <c r="D176" i="100" a="1"/>
  <c r="D176" i="100" s="1"/>
  <c r="AH175" i="100" a="1"/>
  <c r="AH175" i="100" s="1"/>
  <c r="AG175" i="100" a="1"/>
  <c r="AG175" i="100" s="1"/>
  <c r="AF175" i="100" a="1"/>
  <c r="AF175" i="100" s="1"/>
  <c r="AE175" i="100" a="1"/>
  <c r="AE175" i="100" s="1"/>
  <c r="AD175" i="100" a="1"/>
  <c r="AD175" i="100" s="1"/>
  <c r="AC175" i="100" a="1"/>
  <c r="AC175" i="100" s="1"/>
  <c r="AB175" i="100" a="1"/>
  <c r="AB175" i="100" s="1"/>
  <c r="AA175" i="100" a="1"/>
  <c r="AA175" i="100" s="1"/>
  <c r="Z175" i="100" a="1"/>
  <c r="Z175" i="100" s="1"/>
  <c r="Y175" i="100" a="1"/>
  <c r="Y175" i="100" s="1"/>
  <c r="X175" i="100" a="1"/>
  <c r="X175" i="100" s="1"/>
  <c r="W175" i="100" a="1"/>
  <c r="W175" i="100" s="1"/>
  <c r="V175" i="100" a="1"/>
  <c r="V175" i="100" s="1"/>
  <c r="U175" i="100" a="1"/>
  <c r="U175" i="100" s="1"/>
  <c r="T175" i="100" a="1"/>
  <c r="T175" i="100" s="1"/>
  <c r="S175" i="100" a="1"/>
  <c r="S175" i="100" s="1"/>
  <c r="R175" i="100" a="1"/>
  <c r="R175" i="100" s="1"/>
  <c r="Q175" i="100" a="1"/>
  <c r="Q175" i="100" s="1"/>
  <c r="P175" i="100" a="1"/>
  <c r="P175" i="100" s="1"/>
  <c r="O175" i="100" a="1"/>
  <c r="O175" i="100" s="1"/>
  <c r="N175" i="100" a="1"/>
  <c r="N175" i="100" s="1"/>
  <c r="M175" i="100" a="1"/>
  <c r="M175" i="100" s="1"/>
  <c r="L175" i="100" a="1"/>
  <c r="L175" i="100" s="1"/>
  <c r="K175" i="100" a="1"/>
  <c r="K175" i="100" s="1"/>
  <c r="J175" i="100" a="1"/>
  <c r="J175" i="100" s="1"/>
  <c r="I175" i="100" a="1"/>
  <c r="I175" i="100" s="1"/>
  <c r="H175" i="100" a="1"/>
  <c r="H175" i="100" s="1"/>
  <c r="G175" i="100" a="1"/>
  <c r="G175" i="100" s="1"/>
  <c r="F175" i="100" a="1"/>
  <c r="F175" i="100" s="1"/>
  <c r="E175" i="100" a="1"/>
  <c r="E175" i="100" s="1"/>
  <c r="D175" i="100" a="1"/>
  <c r="D175" i="100" s="1"/>
  <c r="AH174" i="100" a="1"/>
  <c r="AH174" i="100" s="1"/>
  <c r="AG174" i="100" a="1"/>
  <c r="AG174" i="100" s="1"/>
  <c r="AF174" i="100" a="1"/>
  <c r="AF174" i="100" s="1"/>
  <c r="AE174" i="100" a="1"/>
  <c r="AE174" i="100" s="1"/>
  <c r="AD174" i="100" a="1"/>
  <c r="AD174" i="100" s="1"/>
  <c r="AC174" i="100" a="1"/>
  <c r="AC174" i="100" s="1"/>
  <c r="AB174" i="100" a="1"/>
  <c r="AB174" i="100" s="1"/>
  <c r="AA174" i="100" a="1"/>
  <c r="AA174" i="100" s="1"/>
  <c r="Z174" i="100" a="1"/>
  <c r="Z174" i="100" s="1"/>
  <c r="Y174" i="100" a="1"/>
  <c r="Y174" i="100" s="1"/>
  <c r="X174" i="100" a="1"/>
  <c r="X174" i="100" s="1"/>
  <c r="W174" i="100" a="1"/>
  <c r="W174" i="100" s="1"/>
  <c r="V174" i="100" a="1"/>
  <c r="V174" i="100" s="1"/>
  <c r="U174" i="100" a="1"/>
  <c r="U174" i="100" s="1"/>
  <c r="T174" i="100" a="1"/>
  <c r="T174" i="100" s="1"/>
  <c r="S174" i="100" a="1"/>
  <c r="S174" i="100" s="1"/>
  <c r="R174" i="100" a="1"/>
  <c r="R174" i="100" s="1"/>
  <c r="Q174" i="100" a="1"/>
  <c r="Q174" i="100" s="1"/>
  <c r="P174" i="100" a="1"/>
  <c r="P174" i="100" s="1"/>
  <c r="O174" i="100" a="1"/>
  <c r="O174" i="100" s="1"/>
  <c r="N174" i="100" a="1"/>
  <c r="N174" i="100" s="1"/>
  <c r="M174" i="100" a="1"/>
  <c r="M174" i="100" s="1"/>
  <c r="L174" i="100" a="1"/>
  <c r="L174" i="100" s="1"/>
  <c r="K174" i="100" a="1"/>
  <c r="K174" i="100" s="1"/>
  <c r="J174" i="100" a="1"/>
  <c r="J174" i="100" s="1"/>
  <c r="I174" i="100" a="1"/>
  <c r="I174" i="100" s="1"/>
  <c r="H174" i="100" a="1"/>
  <c r="H174" i="100" s="1"/>
  <c r="G174" i="100" a="1"/>
  <c r="G174" i="100" s="1"/>
  <c r="F174" i="100" a="1"/>
  <c r="F174" i="100" s="1"/>
  <c r="E174" i="100" a="1"/>
  <c r="E174" i="100" s="1"/>
  <c r="D174" i="100" a="1"/>
  <c r="D174" i="100" s="1"/>
  <c r="AH173" i="100" a="1"/>
  <c r="AH173" i="100" s="1"/>
  <c r="AG173" i="100" a="1"/>
  <c r="AG173" i="100" s="1"/>
  <c r="AF173" i="100" a="1"/>
  <c r="AF173" i="100" s="1"/>
  <c r="AE173" i="100" a="1"/>
  <c r="AE173" i="100" s="1"/>
  <c r="AD173" i="100" a="1"/>
  <c r="AD173" i="100" s="1"/>
  <c r="AC173" i="100" a="1"/>
  <c r="AC173" i="100" s="1"/>
  <c r="AB173" i="100" a="1"/>
  <c r="AB173" i="100" s="1"/>
  <c r="AA173" i="100" a="1"/>
  <c r="AA173" i="100" s="1"/>
  <c r="Z173" i="100" a="1"/>
  <c r="Z173" i="100" s="1"/>
  <c r="Y173" i="100" a="1"/>
  <c r="Y173" i="100" s="1"/>
  <c r="X173" i="100" a="1"/>
  <c r="X173" i="100" s="1"/>
  <c r="W173" i="100" a="1"/>
  <c r="W173" i="100" s="1"/>
  <c r="V173" i="100" a="1"/>
  <c r="V173" i="100" s="1"/>
  <c r="U173" i="100" a="1"/>
  <c r="U173" i="100" s="1"/>
  <c r="T173" i="100" a="1"/>
  <c r="T173" i="100" s="1"/>
  <c r="S173" i="100" a="1"/>
  <c r="S173" i="100" s="1"/>
  <c r="R173" i="100" a="1"/>
  <c r="R173" i="100" s="1"/>
  <c r="Q173" i="100" a="1"/>
  <c r="Q173" i="100" s="1"/>
  <c r="P173" i="100" a="1"/>
  <c r="P173" i="100" s="1"/>
  <c r="O173" i="100" a="1"/>
  <c r="O173" i="100" s="1"/>
  <c r="N173" i="100" a="1"/>
  <c r="N173" i="100" s="1"/>
  <c r="M173" i="100" a="1"/>
  <c r="M173" i="100" s="1"/>
  <c r="L173" i="100" a="1"/>
  <c r="L173" i="100" s="1"/>
  <c r="K173" i="100" a="1"/>
  <c r="K173" i="100" s="1"/>
  <c r="J173" i="100" a="1"/>
  <c r="J173" i="100" s="1"/>
  <c r="I173" i="100" a="1"/>
  <c r="I173" i="100" s="1"/>
  <c r="H173" i="100" a="1"/>
  <c r="H173" i="100" s="1"/>
  <c r="G173" i="100" a="1"/>
  <c r="G173" i="100" s="1"/>
  <c r="F173" i="100" a="1"/>
  <c r="F173" i="100" s="1"/>
  <c r="E173" i="100" a="1"/>
  <c r="E173" i="100" s="1"/>
  <c r="D173" i="100" a="1"/>
  <c r="D173" i="100" s="1"/>
  <c r="AH172" i="100" a="1"/>
  <c r="AH172" i="100" s="1"/>
  <c r="AG172" i="100" a="1"/>
  <c r="AG172" i="100" s="1"/>
  <c r="AF172" i="100" a="1"/>
  <c r="AF172" i="100" s="1"/>
  <c r="AE172" i="100" a="1"/>
  <c r="AE172" i="100" s="1"/>
  <c r="AD172" i="100" a="1"/>
  <c r="AD172" i="100" s="1"/>
  <c r="AC172" i="100" a="1"/>
  <c r="AC172" i="100" s="1"/>
  <c r="AB172" i="100" a="1"/>
  <c r="AB172" i="100" s="1"/>
  <c r="AA172" i="100" a="1"/>
  <c r="AA172" i="100" s="1"/>
  <c r="Z172" i="100" a="1"/>
  <c r="Z172" i="100" s="1"/>
  <c r="Y172" i="100" a="1"/>
  <c r="Y172" i="100" s="1"/>
  <c r="X172" i="100" a="1"/>
  <c r="X172" i="100" s="1"/>
  <c r="W172" i="100" a="1"/>
  <c r="W172" i="100" s="1"/>
  <c r="V172" i="100" a="1"/>
  <c r="V172" i="100" s="1"/>
  <c r="U172" i="100" a="1"/>
  <c r="U172" i="100" s="1"/>
  <c r="T172" i="100" a="1"/>
  <c r="T172" i="100" s="1"/>
  <c r="S172" i="100" a="1"/>
  <c r="S172" i="100" s="1"/>
  <c r="R172" i="100" a="1"/>
  <c r="R172" i="100" s="1"/>
  <c r="Q172" i="100" a="1"/>
  <c r="Q172" i="100" s="1"/>
  <c r="P172" i="100" a="1"/>
  <c r="P172" i="100" s="1"/>
  <c r="O172" i="100" a="1"/>
  <c r="O172" i="100" s="1"/>
  <c r="N172" i="100" a="1"/>
  <c r="N172" i="100" s="1"/>
  <c r="M172" i="100" a="1"/>
  <c r="M172" i="100" s="1"/>
  <c r="L172" i="100" a="1"/>
  <c r="L172" i="100" s="1"/>
  <c r="K172" i="100" a="1"/>
  <c r="K172" i="100" s="1"/>
  <c r="J172" i="100" a="1"/>
  <c r="J172" i="100" s="1"/>
  <c r="I172" i="100" a="1"/>
  <c r="I172" i="100" s="1"/>
  <c r="H172" i="100" a="1"/>
  <c r="H172" i="100" s="1"/>
  <c r="G172" i="100" a="1"/>
  <c r="G172" i="100" s="1"/>
  <c r="F172" i="100" a="1"/>
  <c r="F172" i="100" s="1"/>
  <c r="E172" i="100" a="1"/>
  <c r="E172" i="100" s="1"/>
  <c r="D172" i="100" a="1"/>
  <c r="D172" i="100" s="1"/>
  <c r="AH171" i="100" a="1"/>
  <c r="AH171" i="100" s="1"/>
  <c r="AG171" i="100" a="1"/>
  <c r="AG171" i="100" s="1"/>
  <c r="AF171" i="100" a="1"/>
  <c r="AF171" i="100" s="1"/>
  <c r="AE171" i="100" a="1"/>
  <c r="AE171" i="100" s="1"/>
  <c r="AD171" i="100" a="1"/>
  <c r="AD171" i="100" s="1"/>
  <c r="AC171" i="100" a="1"/>
  <c r="AC171" i="100" s="1"/>
  <c r="AB171" i="100" a="1"/>
  <c r="AB171" i="100" s="1"/>
  <c r="AA171" i="100" a="1"/>
  <c r="AA171" i="100" s="1"/>
  <c r="Z171" i="100" a="1"/>
  <c r="Z171" i="100" s="1"/>
  <c r="Y171" i="100" a="1"/>
  <c r="Y171" i="100" s="1"/>
  <c r="X171" i="100" a="1"/>
  <c r="X171" i="100" s="1"/>
  <c r="W171" i="100" a="1"/>
  <c r="W171" i="100" s="1"/>
  <c r="V171" i="100" a="1"/>
  <c r="V171" i="100" s="1"/>
  <c r="U171" i="100" a="1"/>
  <c r="U171" i="100" s="1"/>
  <c r="T171" i="100" a="1"/>
  <c r="T171" i="100" s="1"/>
  <c r="S171" i="100" a="1"/>
  <c r="S171" i="100" s="1"/>
  <c r="R171" i="100" a="1"/>
  <c r="R171" i="100" s="1"/>
  <c r="Q171" i="100" a="1"/>
  <c r="Q171" i="100" s="1"/>
  <c r="P171" i="100" a="1"/>
  <c r="P171" i="100" s="1"/>
  <c r="O171" i="100" a="1"/>
  <c r="O171" i="100" s="1"/>
  <c r="N171" i="100" a="1"/>
  <c r="N171" i="100" s="1"/>
  <c r="M171" i="100" a="1"/>
  <c r="M171" i="100" s="1"/>
  <c r="L171" i="100" a="1"/>
  <c r="L171" i="100" s="1"/>
  <c r="K171" i="100" a="1"/>
  <c r="K171" i="100" s="1"/>
  <c r="J171" i="100" a="1"/>
  <c r="J171" i="100" s="1"/>
  <c r="I171" i="100" a="1"/>
  <c r="I171" i="100" s="1"/>
  <c r="H171" i="100" a="1"/>
  <c r="H171" i="100" s="1"/>
  <c r="G171" i="100" a="1"/>
  <c r="G171" i="100" s="1"/>
  <c r="F171" i="100" a="1"/>
  <c r="F171" i="100" s="1"/>
  <c r="E171" i="100" a="1"/>
  <c r="E171" i="100" s="1"/>
  <c r="D171" i="100" a="1"/>
  <c r="D171" i="100" s="1"/>
  <c r="AH170" i="100" a="1"/>
  <c r="AH170" i="100" s="1"/>
  <c r="AG170" i="100" a="1"/>
  <c r="AG170" i="100" s="1"/>
  <c r="AF170" i="100" a="1"/>
  <c r="AF170" i="100" s="1"/>
  <c r="AE170" i="100" a="1"/>
  <c r="AE170" i="100" s="1"/>
  <c r="AD170" i="100" a="1"/>
  <c r="AD170" i="100" s="1"/>
  <c r="AC170" i="100" a="1"/>
  <c r="AC170" i="100" s="1"/>
  <c r="AB170" i="100" a="1"/>
  <c r="AB170" i="100" s="1"/>
  <c r="AA170" i="100" a="1"/>
  <c r="AA170" i="100" s="1"/>
  <c r="Z170" i="100" a="1"/>
  <c r="Z170" i="100" s="1"/>
  <c r="Y170" i="100" a="1"/>
  <c r="Y170" i="100" s="1"/>
  <c r="X170" i="100" a="1"/>
  <c r="X170" i="100" s="1"/>
  <c r="W170" i="100" a="1"/>
  <c r="W170" i="100" s="1"/>
  <c r="V170" i="100" a="1"/>
  <c r="V170" i="100" s="1"/>
  <c r="U170" i="100" a="1"/>
  <c r="U170" i="100" s="1"/>
  <c r="T170" i="100" a="1"/>
  <c r="T170" i="100" s="1"/>
  <c r="S170" i="100" a="1"/>
  <c r="S170" i="100" s="1"/>
  <c r="R170" i="100" a="1"/>
  <c r="R170" i="100" s="1"/>
  <c r="Q170" i="100" a="1"/>
  <c r="Q170" i="100" s="1"/>
  <c r="P170" i="100" a="1"/>
  <c r="P170" i="100" s="1"/>
  <c r="O170" i="100" a="1"/>
  <c r="O170" i="100" s="1"/>
  <c r="N170" i="100" a="1"/>
  <c r="N170" i="100" s="1"/>
  <c r="M170" i="100" a="1"/>
  <c r="M170" i="100" s="1"/>
  <c r="L170" i="100" a="1"/>
  <c r="L170" i="100" s="1"/>
  <c r="K170" i="100" a="1"/>
  <c r="K170" i="100" s="1"/>
  <c r="J170" i="100" a="1"/>
  <c r="J170" i="100" s="1"/>
  <c r="I170" i="100" a="1"/>
  <c r="I170" i="100" s="1"/>
  <c r="H170" i="100" a="1"/>
  <c r="H170" i="100" s="1"/>
  <c r="G170" i="100" a="1"/>
  <c r="G170" i="100" s="1"/>
  <c r="F170" i="100" a="1"/>
  <c r="F170" i="100" s="1"/>
  <c r="E170" i="100" a="1"/>
  <c r="E170" i="100" s="1"/>
  <c r="D170" i="100" a="1"/>
  <c r="D170" i="100" s="1"/>
  <c r="AH169" i="100" a="1"/>
  <c r="AH169" i="100" s="1"/>
  <c r="AG169" i="100" a="1"/>
  <c r="AG169" i="100" s="1"/>
  <c r="AF169" i="100" a="1"/>
  <c r="AF169" i="100" s="1"/>
  <c r="AE169" i="100" a="1"/>
  <c r="AE169" i="100" s="1"/>
  <c r="AD169" i="100" a="1"/>
  <c r="AD169" i="100" s="1"/>
  <c r="AC169" i="100" a="1"/>
  <c r="AC169" i="100" s="1"/>
  <c r="AB169" i="100" a="1"/>
  <c r="AB169" i="100" s="1"/>
  <c r="AA169" i="100" a="1"/>
  <c r="AA169" i="100" s="1"/>
  <c r="Z169" i="100" a="1"/>
  <c r="Z169" i="100" s="1"/>
  <c r="Y169" i="100" a="1"/>
  <c r="Y169" i="100" s="1"/>
  <c r="X169" i="100" a="1"/>
  <c r="X169" i="100" s="1"/>
  <c r="W169" i="100" a="1"/>
  <c r="W169" i="100" s="1"/>
  <c r="V169" i="100" a="1"/>
  <c r="V169" i="100" s="1"/>
  <c r="U169" i="100" a="1"/>
  <c r="U169" i="100" s="1"/>
  <c r="T169" i="100" a="1"/>
  <c r="T169" i="100" s="1"/>
  <c r="S169" i="100" a="1"/>
  <c r="S169" i="100" s="1"/>
  <c r="R169" i="100" a="1"/>
  <c r="R169" i="100" s="1"/>
  <c r="Q169" i="100" a="1"/>
  <c r="Q169" i="100" s="1"/>
  <c r="P169" i="100" a="1"/>
  <c r="P169" i="100" s="1"/>
  <c r="O169" i="100" a="1"/>
  <c r="O169" i="100" s="1"/>
  <c r="N169" i="100" a="1"/>
  <c r="N169" i="100" s="1"/>
  <c r="M169" i="100" a="1"/>
  <c r="M169" i="100" s="1"/>
  <c r="L169" i="100" a="1"/>
  <c r="L169" i="100" s="1"/>
  <c r="K169" i="100" a="1"/>
  <c r="K169" i="100" s="1"/>
  <c r="J169" i="100" a="1"/>
  <c r="J169" i="100" s="1"/>
  <c r="I169" i="100" a="1"/>
  <c r="I169" i="100" s="1"/>
  <c r="H169" i="100" a="1"/>
  <c r="H169" i="100" s="1"/>
  <c r="G169" i="100" a="1"/>
  <c r="G169" i="100" s="1"/>
  <c r="F169" i="100" a="1"/>
  <c r="F169" i="100" s="1"/>
  <c r="E169" i="100" a="1"/>
  <c r="E169" i="100" s="1"/>
  <c r="D169" i="100" a="1"/>
  <c r="D169" i="100" s="1"/>
  <c r="AH168" i="100" a="1"/>
  <c r="AH168" i="100" s="1"/>
  <c r="AG168" i="100" a="1"/>
  <c r="AG168" i="100" s="1"/>
  <c r="AF168" i="100" a="1"/>
  <c r="AF168" i="100" s="1"/>
  <c r="AE168" i="100" a="1"/>
  <c r="AE168" i="100" s="1"/>
  <c r="AD168" i="100" a="1"/>
  <c r="AD168" i="100" s="1"/>
  <c r="AC168" i="100" a="1"/>
  <c r="AC168" i="100" s="1"/>
  <c r="AB168" i="100" a="1"/>
  <c r="AB168" i="100" s="1"/>
  <c r="AA168" i="100" a="1"/>
  <c r="AA168" i="100" s="1"/>
  <c r="Z168" i="100" a="1"/>
  <c r="Z168" i="100" s="1"/>
  <c r="Y168" i="100" a="1"/>
  <c r="Y168" i="100" s="1"/>
  <c r="X168" i="100" a="1"/>
  <c r="X168" i="100" s="1"/>
  <c r="W168" i="100" a="1"/>
  <c r="W168" i="100" s="1"/>
  <c r="V168" i="100" a="1"/>
  <c r="V168" i="100" s="1"/>
  <c r="U168" i="100" a="1"/>
  <c r="U168" i="100" s="1"/>
  <c r="T168" i="100" a="1"/>
  <c r="T168" i="100" s="1"/>
  <c r="S168" i="100" a="1"/>
  <c r="S168" i="100" s="1"/>
  <c r="R168" i="100" a="1"/>
  <c r="R168" i="100" s="1"/>
  <c r="Q168" i="100" a="1"/>
  <c r="Q168" i="100" s="1"/>
  <c r="P168" i="100" a="1"/>
  <c r="P168" i="100" s="1"/>
  <c r="O168" i="100" a="1"/>
  <c r="O168" i="100" s="1"/>
  <c r="N168" i="100" a="1"/>
  <c r="N168" i="100" s="1"/>
  <c r="M168" i="100" a="1"/>
  <c r="M168" i="100" s="1"/>
  <c r="L168" i="100" a="1"/>
  <c r="L168" i="100" s="1"/>
  <c r="K168" i="100" a="1"/>
  <c r="K168" i="100" s="1"/>
  <c r="J168" i="100" a="1"/>
  <c r="J168" i="100" s="1"/>
  <c r="I168" i="100" a="1"/>
  <c r="I168" i="100" s="1"/>
  <c r="H168" i="100" a="1"/>
  <c r="H168" i="100" s="1"/>
  <c r="G168" i="100" a="1"/>
  <c r="G168" i="100" s="1"/>
  <c r="F168" i="100" a="1"/>
  <c r="F168" i="100" s="1"/>
  <c r="E168" i="100" a="1"/>
  <c r="E168" i="100" s="1"/>
  <c r="D168" i="100" a="1"/>
  <c r="D168" i="100" s="1"/>
  <c r="AH167" i="100" a="1"/>
  <c r="AH167" i="100" s="1"/>
  <c r="AG167" i="100" a="1"/>
  <c r="AG167" i="100" s="1"/>
  <c r="AF167" i="100" a="1"/>
  <c r="AF167" i="100" s="1"/>
  <c r="AE167" i="100" a="1"/>
  <c r="AE167" i="100" s="1"/>
  <c r="AD167" i="100" a="1"/>
  <c r="AD167" i="100" s="1"/>
  <c r="AC167" i="100" a="1"/>
  <c r="AC167" i="100" s="1"/>
  <c r="AB167" i="100" a="1"/>
  <c r="AB167" i="100" s="1"/>
  <c r="AA167" i="100" a="1"/>
  <c r="AA167" i="100" s="1"/>
  <c r="Z167" i="100" a="1"/>
  <c r="Z167" i="100" s="1"/>
  <c r="Y167" i="100" a="1"/>
  <c r="Y167" i="100" s="1"/>
  <c r="X167" i="100" a="1"/>
  <c r="X167" i="100" s="1"/>
  <c r="W167" i="100" a="1"/>
  <c r="W167" i="100" s="1"/>
  <c r="V167" i="100" a="1"/>
  <c r="V167" i="100" s="1"/>
  <c r="U167" i="100" a="1"/>
  <c r="U167" i="100" s="1"/>
  <c r="T167" i="100" a="1"/>
  <c r="T167" i="100" s="1"/>
  <c r="S167" i="100" a="1"/>
  <c r="S167" i="100" s="1"/>
  <c r="R167" i="100" a="1"/>
  <c r="R167" i="100" s="1"/>
  <c r="Q167" i="100" a="1"/>
  <c r="Q167" i="100" s="1"/>
  <c r="P167" i="100" a="1"/>
  <c r="P167" i="100" s="1"/>
  <c r="O167" i="100" a="1"/>
  <c r="O167" i="100" s="1"/>
  <c r="N167" i="100" a="1"/>
  <c r="N167" i="100" s="1"/>
  <c r="M167" i="100" a="1"/>
  <c r="M167" i="100" s="1"/>
  <c r="L167" i="100" a="1"/>
  <c r="L167" i="100" s="1"/>
  <c r="K167" i="100" a="1"/>
  <c r="K167" i="100" s="1"/>
  <c r="J167" i="100" a="1"/>
  <c r="J167" i="100" s="1"/>
  <c r="I167" i="100" a="1"/>
  <c r="I167" i="100" s="1"/>
  <c r="H167" i="100" a="1"/>
  <c r="H167" i="100" s="1"/>
  <c r="G167" i="100" a="1"/>
  <c r="G167" i="100" s="1"/>
  <c r="F167" i="100" a="1"/>
  <c r="F167" i="100" s="1"/>
  <c r="E167" i="100" a="1"/>
  <c r="E167" i="100" s="1"/>
  <c r="D167" i="100" a="1"/>
  <c r="D167" i="100" s="1"/>
  <c r="AH166" i="100" a="1"/>
  <c r="AH166" i="100" s="1"/>
  <c r="AG166" i="100" a="1"/>
  <c r="AG166" i="100" s="1"/>
  <c r="AF166" i="100" a="1"/>
  <c r="AF166" i="100" s="1"/>
  <c r="AE166" i="100" a="1"/>
  <c r="AE166" i="100" s="1"/>
  <c r="AD166" i="100" a="1"/>
  <c r="AD166" i="100" s="1"/>
  <c r="AC166" i="100" a="1"/>
  <c r="AC166" i="100" s="1"/>
  <c r="AB166" i="100" a="1"/>
  <c r="AB166" i="100" s="1"/>
  <c r="AA166" i="100" a="1"/>
  <c r="AA166" i="100" s="1"/>
  <c r="Z166" i="100" a="1"/>
  <c r="Z166" i="100" s="1"/>
  <c r="Y166" i="100" a="1"/>
  <c r="Y166" i="100" s="1"/>
  <c r="X166" i="100" a="1"/>
  <c r="X166" i="100" s="1"/>
  <c r="W166" i="100" a="1"/>
  <c r="W166" i="100" s="1"/>
  <c r="V166" i="100" a="1"/>
  <c r="V166" i="100" s="1"/>
  <c r="U166" i="100" a="1"/>
  <c r="U166" i="100" s="1"/>
  <c r="T166" i="100" a="1"/>
  <c r="T166" i="100" s="1"/>
  <c r="S166" i="100" a="1"/>
  <c r="S166" i="100" s="1"/>
  <c r="R166" i="100" a="1"/>
  <c r="R166" i="100" s="1"/>
  <c r="Q166" i="100" a="1"/>
  <c r="Q166" i="100" s="1"/>
  <c r="P166" i="100" a="1"/>
  <c r="P166" i="100" s="1"/>
  <c r="O166" i="100" a="1"/>
  <c r="O166" i="100" s="1"/>
  <c r="N166" i="100" a="1"/>
  <c r="N166" i="100" s="1"/>
  <c r="M166" i="100" a="1"/>
  <c r="M166" i="100" s="1"/>
  <c r="L166" i="100" a="1"/>
  <c r="L166" i="100" s="1"/>
  <c r="K166" i="100" a="1"/>
  <c r="K166" i="100" s="1"/>
  <c r="J166" i="100" a="1"/>
  <c r="J166" i="100" s="1"/>
  <c r="I166" i="100" a="1"/>
  <c r="I166" i="100" s="1"/>
  <c r="H166" i="100" a="1"/>
  <c r="H166" i="100" s="1"/>
  <c r="G166" i="100" a="1"/>
  <c r="G166" i="100" s="1"/>
  <c r="F166" i="100" a="1"/>
  <c r="F166" i="100" s="1"/>
  <c r="E166" i="100" a="1"/>
  <c r="E166" i="100" s="1"/>
  <c r="D166" i="100" a="1"/>
  <c r="D166" i="100" s="1"/>
  <c r="AH165" i="100" a="1"/>
  <c r="AH165" i="100" s="1"/>
  <c r="AG165" i="100" a="1"/>
  <c r="AG165" i="100" s="1"/>
  <c r="AF165" i="100" a="1"/>
  <c r="AF165" i="100" s="1"/>
  <c r="AE165" i="100" a="1"/>
  <c r="AE165" i="100" s="1"/>
  <c r="AD165" i="100" a="1"/>
  <c r="AD165" i="100" s="1"/>
  <c r="AC165" i="100" a="1"/>
  <c r="AC165" i="100" s="1"/>
  <c r="AB165" i="100" a="1"/>
  <c r="AB165" i="100" s="1"/>
  <c r="AA165" i="100" a="1"/>
  <c r="AA165" i="100" s="1"/>
  <c r="Z165" i="100" a="1"/>
  <c r="Z165" i="100" s="1"/>
  <c r="Y165" i="100" a="1"/>
  <c r="Y165" i="100" s="1"/>
  <c r="X165" i="100" a="1"/>
  <c r="X165" i="100" s="1"/>
  <c r="W165" i="100" a="1"/>
  <c r="W165" i="100" s="1"/>
  <c r="V165" i="100" a="1"/>
  <c r="V165" i="100" s="1"/>
  <c r="U165" i="100" a="1"/>
  <c r="U165" i="100" s="1"/>
  <c r="T165" i="100" a="1"/>
  <c r="T165" i="100" s="1"/>
  <c r="S165" i="100" a="1"/>
  <c r="S165" i="100" s="1"/>
  <c r="R165" i="100" a="1"/>
  <c r="R165" i="100" s="1"/>
  <c r="Q165" i="100" a="1"/>
  <c r="Q165" i="100" s="1"/>
  <c r="P165" i="100" a="1"/>
  <c r="P165" i="100" s="1"/>
  <c r="O165" i="100" a="1"/>
  <c r="O165" i="100" s="1"/>
  <c r="N165" i="100" a="1"/>
  <c r="N165" i="100" s="1"/>
  <c r="M165" i="100" a="1"/>
  <c r="M165" i="100" s="1"/>
  <c r="L165" i="100" a="1"/>
  <c r="L165" i="100" s="1"/>
  <c r="K165" i="100" a="1"/>
  <c r="K165" i="100" s="1"/>
  <c r="J165" i="100" a="1"/>
  <c r="J165" i="100" s="1"/>
  <c r="I165" i="100" a="1"/>
  <c r="I165" i="100" s="1"/>
  <c r="H165" i="100" a="1"/>
  <c r="H165" i="100" s="1"/>
  <c r="G165" i="100" a="1"/>
  <c r="G165" i="100" s="1"/>
  <c r="F165" i="100" a="1"/>
  <c r="F165" i="100" s="1"/>
  <c r="E165" i="100" a="1"/>
  <c r="E165" i="100" s="1"/>
  <c r="D165" i="100" a="1"/>
  <c r="D165" i="100" s="1"/>
  <c r="AH164" i="100" a="1"/>
  <c r="AH164" i="100" s="1"/>
  <c r="AG164" i="100" a="1"/>
  <c r="AG164" i="100" s="1"/>
  <c r="AF164" i="100" a="1"/>
  <c r="AF164" i="100" s="1"/>
  <c r="AE164" i="100" a="1"/>
  <c r="AE164" i="100" s="1"/>
  <c r="AD164" i="100" a="1"/>
  <c r="AD164" i="100" s="1"/>
  <c r="AC164" i="100" a="1"/>
  <c r="AC164" i="100" s="1"/>
  <c r="AB164" i="100" a="1"/>
  <c r="AB164" i="100" s="1"/>
  <c r="AA164" i="100" a="1"/>
  <c r="AA164" i="100" s="1"/>
  <c r="Z164" i="100" a="1"/>
  <c r="Z164" i="100" s="1"/>
  <c r="Y164" i="100" a="1"/>
  <c r="Y164" i="100" s="1"/>
  <c r="X164" i="100" a="1"/>
  <c r="X164" i="100" s="1"/>
  <c r="W164" i="100" a="1"/>
  <c r="W164" i="100" s="1"/>
  <c r="V164" i="100" a="1"/>
  <c r="V164" i="100" s="1"/>
  <c r="U164" i="100" a="1"/>
  <c r="U164" i="100" s="1"/>
  <c r="T164" i="100" a="1"/>
  <c r="T164" i="100" s="1"/>
  <c r="S164" i="100" a="1"/>
  <c r="S164" i="100" s="1"/>
  <c r="R164" i="100" a="1"/>
  <c r="R164" i="100" s="1"/>
  <c r="Q164" i="100" a="1"/>
  <c r="Q164" i="100" s="1"/>
  <c r="P164" i="100" a="1"/>
  <c r="P164" i="100" s="1"/>
  <c r="O164" i="100" a="1"/>
  <c r="O164" i="100" s="1"/>
  <c r="N164" i="100" a="1"/>
  <c r="N164" i="100" s="1"/>
  <c r="M164" i="100" a="1"/>
  <c r="M164" i="100" s="1"/>
  <c r="L164" i="100" a="1"/>
  <c r="L164" i="100" s="1"/>
  <c r="K164" i="100" a="1"/>
  <c r="K164" i="100" s="1"/>
  <c r="J164" i="100" a="1"/>
  <c r="J164" i="100" s="1"/>
  <c r="I164" i="100" a="1"/>
  <c r="I164" i="100" s="1"/>
  <c r="H164" i="100" a="1"/>
  <c r="H164" i="100" s="1"/>
  <c r="G164" i="100" a="1"/>
  <c r="G164" i="100" s="1"/>
  <c r="F164" i="100" a="1"/>
  <c r="F164" i="100" s="1"/>
  <c r="E164" i="100" a="1"/>
  <c r="E164" i="100" s="1"/>
  <c r="D164" i="100" a="1"/>
  <c r="D164" i="100" s="1"/>
  <c r="AH163" i="100" a="1"/>
  <c r="AH163" i="100" s="1"/>
  <c r="AG163" i="100" a="1"/>
  <c r="AG163" i="100" s="1"/>
  <c r="AF163" i="100" a="1"/>
  <c r="AF163" i="100" s="1"/>
  <c r="AE163" i="100" a="1"/>
  <c r="AE163" i="100" s="1"/>
  <c r="AD163" i="100" a="1"/>
  <c r="AD163" i="100" s="1"/>
  <c r="AC163" i="100" a="1"/>
  <c r="AC163" i="100" s="1"/>
  <c r="AB163" i="100" a="1"/>
  <c r="AB163" i="100" s="1"/>
  <c r="AA163" i="100" a="1"/>
  <c r="AA163" i="100" s="1"/>
  <c r="Z163" i="100" a="1"/>
  <c r="Z163" i="100" s="1"/>
  <c r="Y163" i="100" a="1"/>
  <c r="Y163" i="100" s="1"/>
  <c r="X163" i="100" a="1"/>
  <c r="X163" i="100" s="1"/>
  <c r="W163" i="100" a="1"/>
  <c r="W163" i="100" s="1"/>
  <c r="V163" i="100" a="1"/>
  <c r="V163" i="100" s="1"/>
  <c r="U163" i="100" a="1"/>
  <c r="U163" i="100" s="1"/>
  <c r="T163" i="100" a="1"/>
  <c r="T163" i="100" s="1"/>
  <c r="S163" i="100" a="1"/>
  <c r="S163" i="100" s="1"/>
  <c r="R163" i="100" a="1"/>
  <c r="R163" i="100" s="1"/>
  <c r="Q163" i="100" a="1"/>
  <c r="Q163" i="100" s="1"/>
  <c r="P163" i="100" a="1"/>
  <c r="P163" i="100" s="1"/>
  <c r="O163" i="100" a="1"/>
  <c r="O163" i="100" s="1"/>
  <c r="N163" i="100" a="1"/>
  <c r="N163" i="100" s="1"/>
  <c r="M163" i="100" a="1"/>
  <c r="M163" i="100" s="1"/>
  <c r="L163" i="100" a="1"/>
  <c r="L163" i="100" s="1"/>
  <c r="K163" i="100" a="1"/>
  <c r="K163" i="100" s="1"/>
  <c r="J163" i="100" a="1"/>
  <c r="J163" i="100" s="1"/>
  <c r="I163" i="100" a="1"/>
  <c r="I163" i="100" s="1"/>
  <c r="H163" i="100" a="1"/>
  <c r="H163" i="100" s="1"/>
  <c r="G163" i="100" a="1"/>
  <c r="G163" i="100" s="1"/>
  <c r="F163" i="100" a="1"/>
  <c r="F163" i="100" s="1"/>
  <c r="E163" i="100" a="1"/>
  <c r="E163" i="100" s="1"/>
  <c r="D163" i="100" a="1"/>
  <c r="D163" i="100" s="1"/>
  <c r="AH162" i="100" a="1"/>
  <c r="AH162" i="100" s="1"/>
  <c r="AG162" i="100" a="1"/>
  <c r="AG162" i="100" s="1"/>
  <c r="AF162" i="100" a="1"/>
  <c r="AF162" i="100" s="1"/>
  <c r="AE162" i="100" a="1"/>
  <c r="AE162" i="100" s="1"/>
  <c r="AD162" i="100" a="1"/>
  <c r="AD162" i="100" s="1"/>
  <c r="AC162" i="100" a="1"/>
  <c r="AC162" i="100" s="1"/>
  <c r="AB162" i="100" a="1"/>
  <c r="AB162" i="100" s="1"/>
  <c r="AA162" i="100" a="1"/>
  <c r="AA162" i="100" s="1"/>
  <c r="Z162" i="100" a="1"/>
  <c r="Z162" i="100" s="1"/>
  <c r="Y162" i="100" a="1"/>
  <c r="Y162" i="100" s="1"/>
  <c r="X162" i="100" a="1"/>
  <c r="X162" i="100" s="1"/>
  <c r="W162" i="100" a="1"/>
  <c r="W162" i="100" s="1"/>
  <c r="V162" i="100" a="1"/>
  <c r="V162" i="100" s="1"/>
  <c r="U162" i="100" a="1"/>
  <c r="U162" i="100" s="1"/>
  <c r="T162" i="100" a="1"/>
  <c r="T162" i="100" s="1"/>
  <c r="S162" i="100" a="1"/>
  <c r="S162" i="100" s="1"/>
  <c r="R162" i="100" a="1"/>
  <c r="R162" i="100" s="1"/>
  <c r="Q162" i="100" a="1"/>
  <c r="Q162" i="100" s="1"/>
  <c r="P162" i="100" a="1"/>
  <c r="P162" i="100" s="1"/>
  <c r="O162" i="100" a="1"/>
  <c r="O162" i="100" s="1"/>
  <c r="N162" i="100" a="1"/>
  <c r="N162" i="100" s="1"/>
  <c r="M162" i="100" a="1"/>
  <c r="M162" i="100" s="1"/>
  <c r="L162" i="100" a="1"/>
  <c r="L162" i="100" s="1"/>
  <c r="K162" i="100" a="1"/>
  <c r="K162" i="100" s="1"/>
  <c r="J162" i="100" a="1"/>
  <c r="J162" i="100" s="1"/>
  <c r="I162" i="100" a="1"/>
  <c r="I162" i="100" s="1"/>
  <c r="H162" i="100" a="1"/>
  <c r="H162" i="100" s="1"/>
  <c r="G162" i="100" a="1"/>
  <c r="G162" i="100" s="1"/>
  <c r="F162" i="100" a="1"/>
  <c r="F162" i="100" s="1"/>
  <c r="E162" i="100" a="1"/>
  <c r="E162" i="100" s="1"/>
  <c r="D162" i="100" a="1"/>
  <c r="D162" i="100" s="1"/>
  <c r="AH161" i="100" a="1"/>
  <c r="AH161" i="100" s="1"/>
  <c r="AG161" i="100" a="1"/>
  <c r="AG161" i="100" s="1"/>
  <c r="AF161" i="100" a="1"/>
  <c r="AF161" i="100" s="1"/>
  <c r="AE161" i="100" a="1"/>
  <c r="AE161" i="100" s="1"/>
  <c r="AD161" i="100" a="1"/>
  <c r="AD161" i="100" s="1"/>
  <c r="AC161" i="100" a="1"/>
  <c r="AC161" i="100" s="1"/>
  <c r="AB161" i="100" a="1"/>
  <c r="AB161" i="100" s="1"/>
  <c r="AA161" i="100" a="1"/>
  <c r="AA161" i="100" s="1"/>
  <c r="Z161" i="100" a="1"/>
  <c r="Z161" i="100" s="1"/>
  <c r="Y161" i="100" a="1"/>
  <c r="Y161" i="100" s="1"/>
  <c r="X161" i="100" a="1"/>
  <c r="X161" i="100" s="1"/>
  <c r="W161" i="100" a="1"/>
  <c r="W161" i="100" s="1"/>
  <c r="V161" i="100" a="1"/>
  <c r="V161" i="100" s="1"/>
  <c r="U161" i="100" a="1"/>
  <c r="U161" i="100" s="1"/>
  <c r="T161" i="100" a="1"/>
  <c r="T161" i="100" s="1"/>
  <c r="S161" i="100" a="1"/>
  <c r="S161" i="100" s="1"/>
  <c r="R161" i="100" a="1"/>
  <c r="R161" i="100" s="1"/>
  <c r="Q161" i="100" a="1"/>
  <c r="Q161" i="100" s="1"/>
  <c r="P161" i="100" a="1"/>
  <c r="P161" i="100" s="1"/>
  <c r="O161" i="100" a="1"/>
  <c r="O161" i="100" s="1"/>
  <c r="N161" i="100" a="1"/>
  <c r="N161" i="100" s="1"/>
  <c r="M161" i="100" a="1"/>
  <c r="M161" i="100" s="1"/>
  <c r="L161" i="100" a="1"/>
  <c r="L161" i="100" s="1"/>
  <c r="K161" i="100" a="1"/>
  <c r="K161" i="100" s="1"/>
  <c r="J161" i="100" a="1"/>
  <c r="J161" i="100" s="1"/>
  <c r="I161" i="100" a="1"/>
  <c r="I161" i="100" s="1"/>
  <c r="H161" i="100" a="1"/>
  <c r="H161" i="100" s="1"/>
  <c r="G161" i="100" a="1"/>
  <c r="G161" i="100" s="1"/>
  <c r="F161" i="100" a="1"/>
  <c r="F161" i="100" s="1"/>
  <c r="E161" i="100" a="1"/>
  <c r="E161" i="100" s="1"/>
  <c r="D161" i="100" a="1"/>
  <c r="D161" i="100" s="1"/>
  <c r="AH160" i="100" a="1"/>
  <c r="AH160" i="100" s="1"/>
  <c r="AG160" i="100" a="1"/>
  <c r="AG160" i="100" s="1"/>
  <c r="AF160" i="100" a="1"/>
  <c r="AF160" i="100" s="1"/>
  <c r="AE160" i="100" a="1"/>
  <c r="AE160" i="100" s="1"/>
  <c r="AD160" i="100" a="1"/>
  <c r="AD160" i="100" s="1"/>
  <c r="AC160" i="100" a="1"/>
  <c r="AC160" i="100" s="1"/>
  <c r="AB160" i="100" a="1"/>
  <c r="AB160" i="100" s="1"/>
  <c r="AA160" i="100" a="1"/>
  <c r="AA160" i="100" s="1"/>
  <c r="Z160" i="100" a="1"/>
  <c r="Z160" i="100" s="1"/>
  <c r="Y160" i="100" a="1"/>
  <c r="Y160" i="100" s="1"/>
  <c r="X160" i="100" a="1"/>
  <c r="X160" i="100" s="1"/>
  <c r="W160" i="100" a="1"/>
  <c r="W160" i="100" s="1"/>
  <c r="V160" i="100" a="1"/>
  <c r="V160" i="100" s="1"/>
  <c r="U160" i="100" a="1"/>
  <c r="U160" i="100" s="1"/>
  <c r="T160" i="100" a="1"/>
  <c r="T160" i="100" s="1"/>
  <c r="S160" i="100" a="1"/>
  <c r="S160" i="100" s="1"/>
  <c r="R160" i="100" a="1"/>
  <c r="R160" i="100" s="1"/>
  <c r="Q160" i="100" a="1"/>
  <c r="Q160" i="100" s="1"/>
  <c r="P160" i="100" a="1"/>
  <c r="P160" i="100" s="1"/>
  <c r="O160" i="100" a="1"/>
  <c r="O160" i="100" s="1"/>
  <c r="N160" i="100" a="1"/>
  <c r="N160" i="100" s="1"/>
  <c r="M160" i="100" a="1"/>
  <c r="M160" i="100" s="1"/>
  <c r="L160" i="100" a="1"/>
  <c r="L160" i="100" s="1"/>
  <c r="K160" i="100" a="1"/>
  <c r="K160" i="100" s="1"/>
  <c r="J160" i="100" a="1"/>
  <c r="J160" i="100" s="1"/>
  <c r="I160" i="100" a="1"/>
  <c r="I160" i="100" s="1"/>
  <c r="H160" i="100" a="1"/>
  <c r="H160" i="100" s="1"/>
  <c r="G160" i="100" a="1"/>
  <c r="G160" i="100" s="1"/>
  <c r="F160" i="100" a="1"/>
  <c r="F160" i="100" s="1"/>
  <c r="E160" i="100" a="1"/>
  <c r="E160" i="100" s="1"/>
  <c r="D160" i="100" a="1"/>
  <c r="D160" i="100" s="1"/>
  <c r="AH159" i="100" a="1"/>
  <c r="AH159" i="100" s="1"/>
  <c r="AG159" i="100" a="1"/>
  <c r="AG159" i="100" s="1"/>
  <c r="AF159" i="100" a="1"/>
  <c r="AF159" i="100" s="1"/>
  <c r="AE159" i="100" a="1"/>
  <c r="AE159" i="100" s="1"/>
  <c r="AD159" i="100" a="1"/>
  <c r="AD159" i="100" s="1"/>
  <c r="AC159" i="100" a="1"/>
  <c r="AC159" i="100" s="1"/>
  <c r="AB159" i="100" a="1"/>
  <c r="AB159" i="100" s="1"/>
  <c r="AA159" i="100" a="1"/>
  <c r="AA159" i="100" s="1"/>
  <c r="Z159" i="100" a="1"/>
  <c r="Z159" i="100" s="1"/>
  <c r="Y159" i="100" a="1"/>
  <c r="Y159" i="100" s="1"/>
  <c r="X159" i="100" a="1"/>
  <c r="X159" i="100" s="1"/>
  <c r="W159" i="100" a="1"/>
  <c r="W159" i="100" s="1"/>
  <c r="V159" i="100" a="1"/>
  <c r="V159" i="100" s="1"/>
  <c r="U159" i="100" a="1"/>
  <c r="U159" i="100" s="1"/>
  <c r="T159" i="100" a="1"/>
  <c r="T159" i="100" s="1"/>
  <c r="S159" i="100" a="1"/>
  <c r="S159" i="100" s="1"/>
  <c r="R159" i="100" a="1"/>
  <c r="R159" i="100" s="1"/>
  <c r="Q159" i="100" a="1"/>
  <c r="Q159" i="100" s="1"/>
  <c r="P159" i="100" a="1"/>
  <c r="P159" i="100" s="1"/>
  <c r="O159" i="100" a="1"/>
  <c r="O159" i="100" s="1"/>
  <c r="N159" i="100" a="1"/>
  <c r="N159" i="100" s="1"/>
  <c r="M159" i="100" a="1"/>
  <c r="M159" i="100" s="1"/>
  <c r="L159" i="100" a="1"/>
  <c r="L159" i="100" s="1"/>
  <c r="K159" i="100" a="1"/>
  <c r="K159" i="100" s="1"/>
  <c r="J159" i="100" a="1"/>
  <c r="J159" i="100" s="1"/>
  <c r="I159" i="100" a="1"/>
  <c r="I159" i="100" s="1"/>
  <c r="H159" i="100" a="1"/>
  <c r="H159" i="100" s="1"/>
  <c r="G159" i="100" a="1"/>
  <c r="G159" i="100" s="1"/>
  <c r="F159" i="100" a="1"/>
  <c r="F159" i="100" s="1"/>
  <c r="E159" i="100" a="1"/>
  <c r="E159" i="100" s="1"/>
  <c r="D159" i="100" a="1"/>
  <c r="D159" i="100" s="1"/>
  <c r="AH158" i="100" a="1"/>
  <c r="AH158" i="100" s="1"/>
  <c r="AG158" i="100" a="1"/>
  <c r="AG158" i="100" s="1"/>
  <c r="AF158" i="100" a="1"/>
  <c r="AF158" i="100" s="1"/>
  <c r="AE158" i="100" a="1"/>
  <c r="AE158" i="100" s="1"/>
  <c r="AD158" i="100" a="1"/>
  <c r="AD158" i="100" s="1"/>
  <c r="AC158" i="100" a="1"/>
  <c r="AC158" i="100" s="1"/>
  <c r="AB158" i="100" a="1"/>
  <c r="AB158" i="100" s="1"/>
  <c r="AA158" i="100" a="1"/>
  <c r="AA158" i="100" s="1"/>
  <c r="Z158" i="100" a="1"/>
  <c r="Z158" i="100" s="1"/>
  <c r="Y158" i="100" a="1"/>
  <c r="Y158" i="100" s="1"/>
  <c r="X158" i="100" a="1"/>
  <c r="X158" i="100" s="1"/>
  <c r="W158" i="100" a="1"/>
  <c r="W158" i="100" s="1"/>
  <c r="V158" i="100" a="1"/>
  <c r="V158" i="100" s="1"/>
  <c r="U158" i="100" a="1"/>
  <c r="U158" i="100" s="1"/>
  <c r="T158" i="100" a="1"/>
  <c r="T158" i="100" s="1"/>
  <c r="S158" i="100" a="1"/>
  <c r="S158" i="100" s="1"/>
  <c r="R158" i="100" a="1"/>
  <c r="R158" i="100" s="1"/>
  <c r="Q158" i="100" a="1"/>
  <c r="Q158" i="100" s="1"/>
  <c r="P158" i="100" a="1"/>
  <c r="P158" i="100" s="1"/>
  <c r="O158" i="100" a="1"/>
  <c r="O158" i="100" s="1"/>
  <c r="N158" i="100" a="1"/>
  <c r="N158" i="100" s="1"/>
  <c r="M158" i="100" a="1"/>
  <c r="M158" i="100" s="1"/>
  <c r="L158" i="100" a="1"/>
  <c r="L158" i="100" s="1"/>
  <c r="K158" i="100" a="1"/>
  <c r="K158" i="100" s="1"/>
  <c r="J158" i="100" a="1"/>
  <c r="J158" i="100" s="1"/>
  <c r="I158" i="100" a="1"/>
  <c r="I158" i="100" s="1"/>
  <c r="H158" i="100" a="1"/>
  <c r="H158" i="100" s="1"/>
  <c r="G158" i="100" a="1"/>
  <c r="G158" i="100" s="1"/>
  <c r="F158" i="100" a="1"/>
  <c r="F158" i="100" s="1"/>
  <c r="E158" i="100" a="1"/>
  <c r="E158" i="100" s="1"/>
  <c r="D158" i="100" a="1"/>
  <c r="D158" i="100" s="1"/>
  <c r="AH157" i="100" a="1"/>
  <c r="AH157" i="100" s="1"/>
  <c r="AG157" i="100" a="1"/>
  <c r="AG157" i="100" s="1"/>
  <c r="AF157" i="100" a="1"/>
  <c r="AF157" i="100" s="1"/>
  <c r="AE157" i="100" a="1"/>
  <c r="AE157" i="100" s="1"/>
  <c r="AD157" i="100" a="1"/>
  <c r="AD157" i="100" s="1"/>
  <c r="AC157" i="100" a="1"/>
  <c r="AC157" i="100" s="1"/>
  <c r="AB157" i="100" a="1"/>
  <c r="AB157" i="100" s="1"/>
  <c r="AA157" i="100" a="1"/>
  <c r="AA157" i="100" s="1"/>
  <c r="Z157" i="100" a="1"/>
  <c r="Z157" i="100" s="1"/>
  <c r="Y157" i="100" a="1"/>
  <c r="Y157" i="100" s="1"/>
  <c r="X157" i="100" a="1"/>
  <c r="X157" i="100" s="1"/>
  <c r="W157" i="100" a="1"/>
  <c r="W157" i="100" s="1"/>
  <c r="V157" i="100" a="1"/>
  <c r="V157" i="100" s="1"/>
  <c r="U157" i="100" a="1"/>
  <c r="U157" i="100" s="1"/>
  <c r="T157" i="100" a="1"/>
  <c r="T157" i="100" s="1"/>
  <c r="S157" i="100" a="1"/>
  <c r="S157" i="100" s="1"/>
  <c r="R157" i="100" a="1"/>
  <c r="R157" i="100" s="1"/>
  <c r="Q157" i="100" a="1"/>
  <c r="Q157" i="100" s="1"/>
  <c r="P157" i="100" a="1"/>
  <c r="P157" i="100" s="1"/>
  <c r="O157" i="100" a="1"/>
  <c r="O157" i="100" s="1"/>
  <c r="N157" i="100" a="1"/>
  <c r="N157" i="100" s="1"/>
  <c r="M157" i="100" a="1"/>
  <c r="M157" i="100" s="1"/>
  <c r="L157" i="100" a="1"/>
  <c r="L157" i="100" s="1"/>
  <c r="K157" i="100" a="1"/>
  <c r="K157" i="100" s="1"/>
  <c r="J157" i="100" a="1"/>
  <c r="J157" i="100" s="1"/>
  <c r="I157" i="100" a="1"/>
  <c r="I157" i="100" s="1"/>
  <c r="H157" i="100" a="1"/>
  <c r="H157" i="100" s="1"/>
  <c r="G157" i="100" a="1"/>
  <c r="G157" i="100" s="1"/>
  <c r="F157" i="100" a="1"/>
  <c r="F157" i="100" s="1"/>
  <c r="E157" i="100" a="1"/>
  <c r="E157" i="100" s="1"/>
  <c r="D157" i="100" a="1"/>
  <c r="D157" i="100" s="1"/>
  <c r="AH156" i="100" a="1"/>
  <c r="AH156" i="100" s="1"/>
  <c r="AG156" i="100" a="1"/>
  <c r="AG156" i="100" s="1"/>
  <c r="AF156" i="100" a="1"/>
  <c r="AF156" i="100" s="1"/>
  <c r="AE156" i="100" a="1"/>
  <c r="AE156" i="100" s="1"/>
  <c r="AD156" i="100" a="1"/>
  <c r="AD156" i="100" s="1"/>
  <c r="AC156" i="100" a="1"/>
  <c r="AC156" i="100" s="1"/>
  <c r="AB156" i="100" a="1"/>
  <c r="AB156" i="100" s="1"/>
  <c r="AA156" i="100" a="1"/>
  <c r="AA156" i="100" s="1"/>
  <c r="Z156" i="100" a="1"/>
  <c r="Z156" i="100" s="1"/>
  <c r="Y156" i="100" a="1"/>
  <c r="Y156" i="100" s="1"/>
  <c r="X156" i="100" a="1"/>
  <c r="X156" i="100" s="1"/>
  <c r="W156" i="100" a="1"/>
  <c r="W156" i="100" s="1"/>
  <c r="V156" i="100" a="1"/>
  <c r="V156" i="100" s="1"/>
  <c r="U156" i="100" a="1"/>
  <c r="U156" i="100" s="1"/>
  <c r="T156" i="100" a="1"/>
  <c r="T156" i="100" s="1"/>
  <c r="S156" i="100" a="1"/>
  <c r="S156" i="100" s="1"/>
  <c r="R156" i="100" a="1"/>
  <c r="R156" i="100" s="1"/>
  <c r="Q156" i="100" a="1"/>
  <c r="Q156" i="100" s="1"/>
  <c r="P156" i="100" a="1"/>
  <c r="P156" i="100" s="1"/>
  <c r="O156" i="100" a="1"/>
  <c r="O156" i="100" s="1"/>
  <c r="N156" i="100" a="1"/>
  <c r="N156" i="100" s="1"/>
  <c r="M156" i="100" a="1"/>
  <c r="M156" i="100" s="1"/>
  <c r="L156" i="100" a="1"/>
  <c r="L156" i="100" s="1"/>
  <c r="K156" i="100" a="1"/>
  <c r="K156" i="100" s="1"/>
  <c r="J156" i="100" a="1"/>
  <c r="J156" i="100" s="1"/>
  <c r="I156" i="100" a="1"/>
  <c r="I156" i="100" s="1"/>
  <c r="H156" i="100" a="1"/>
  <c r="H156" i="100" s="1"/>
  <c r="G156" i="100" a="1"/>
  <c r="G156" i="100" s="1"/>
  <c r="F156" i="100" a="1"/>
  <c r="F156" i="100" s="1"/>
  <c r="E156" i="100" a="1"/>
  <c r="E156" i="100" s="1"/>
  <c r="D156" i="100" a="1"/>
  <c r="D156" i="100" s="1"/>
  <c r="AH155" i="100" a="1"/>
  <c r="AH155" i="100" s="1"/>
  <c r="AG155" i="100" a="1"/>
  <c r="AG155" i="100" s="1"/>
  <c r="AF155" i="100" a="1"/>
  <c r="AF155" i="100" s="1"/>
  <c r="AE155" i="100" a="1"/>
  <c r="AE155" i="100" s="1"/>
  <c r="AD155" i="100" a="1"/>
  <c r="AD155" i="100" s="1"/>
  <c r="AC155" i="100" a="1"/>
  <c r="AC155" i="100" s="1"/>
  <c r="AB155" i="100" a="1"/>
  <c r="AB155" i="100" s="1"/>
  <c r="AA155" i="100" a="1"/>
  <c r="AA155" i="100" s="1"/>
  <c r="Z155" i="100" a="1"/>
  <c r="Z155" i="100" s="1"/>
  <c r="Y155" i="100" a="1"/>
  <c r="Y155" i="100" s="1"/>
  <c r="X155" i="100" a="1"/>
  <c r="X155" i="100" s="1"/>
  <c r="W155" i="100" a="1"/>
  <c r="W155" i="100" s="1"/>
  <c r="V155" i="100" a="1"/>
  <c r="V155" i="100" s="1"/>
  <c r="U155" i="100" a="1"/>
  <c r="U155" i="100" s="1"/>
  <c r="T155" i="100" a="1"/>
  <c r="T155" i="100" s="1"/>
  <c r="S155" i="100" a="1"/>
  <c r="S155" i="100" s="1"/>
  <c r="R155" i="100" a="1"/>
  <c r="R155" i="100" s="1"/>
  <c r="Q155" i="100" a="1"/>
  <c r="Q155" i="100" s="1"/>
  <c r="P155" i="100" a="1"/>
  <c r="P155" i="100" s="1"/>
  <c r="O155" i="100" a="1"/>
  <c r="O155" i="100" s="1"/>
  <c r="N155" i="100" a="1"/>
  <c r="N155" i="100" s="1"/>
  <c r="M155" i="100" a="1"/>
  <c r="M155" i="100" s="1"/>
  <c r="L155" i="100" a="1"/>
  <c r="L155" i="100" s="1"/>
  <c r="K155" i="100" a="1"/>
  <c r="K155" i="100" s="1"/>
  <c r="J155" i="100" a="1"/>
  <c r="J155" i="100" s="1"/>
  <c r="I155" i="100" a="1"/>
  <c r="I155" i="100" s="1"/>
  <c r="H155" i="100" a="1"/>
  <c r="H155" i="100" s="1"/>
  <c r="G155" i="100" a="1"/>
  <c r="G155" i="100" s="1"/>
  <c r="F155" i="100" a="1"/>
  <c r="F155" i="100" s="1"/>
  <c r="E155" i="100" a="1"/>
  <c r="E155" i="100" s="1"/>
  <c r="D155" i="100" a="1"/>
  <c r="D155" i="100" s="1"/>
  <c r="AH154" i="100" a="1"/>
  <c r="AH154" i="100" s="1"/>
  <c r="AG154" i="100" a="1"/>
  <c r="AG154" i="100" s="1"/>
  <c r="AF154" i="100" a="1"/>
  <c r="AF154" i="100" s="1"/>
  <c r="AE154" i="100" a="1"/>
  <c r="AE154" i="100" s="1"/>
  <c r="AD154" i="100" a="1"/>
  <c r="AD154" i="100" s="1"/>
  <c r="AC154" i="100" a="1"/>
  <c r="AC154" i="100" s="1"/>
  <c r="AB154" i="100" a="1"/>
  <c r="AB154" i="100" s="1"/>
  <c r="AA154" i="100" a="1"/>
  <c r="AA154" i="100" s="1"/>
  <c r="Z154" i="100" a="1"/>
  <c r="Z154" i="100" s="1"/>
  <c r="Y154" i="100" a="1"/>
  <c r="Y154" i="100" s="1"/>
  <c r="X154" i="100" a="1"/>
  <c r="X154" i="100" s="1"/>
  <c r="W154" i="100" a="1"/>
  <c r="W154" i="100" s="1"/>
  <c r="V154" i="100" a="1"/>
  <c r="V154" i="100" s="1"/>
  <c r="U154" i="100" a="1"/>
  <c r="U154" i="100" s="1"/>
  <c r="T154" i="100" a="1"/>
  <c r="T154" i="100" s="1"/>
  <c r="S154" i="100" a="1"/>
  <c r="S154" i="100" s="1"/>
  <c r="R154" i="100" a="1"/>
  <c r="R154" i="100" s="1"/>
  <c r="Q154" i="100" a="1"/>
  <c r="Q154" i="100" s="1"/>
  <c r="P154" i="100" a="1"/>
  <c r="P154" i="100" s="1"/>
  <c r="O154" i="100" a="1"/>
  <c r="O154" i="100" s="1"/>
  <c r="N154" i="100" a="1"/>
  <c r="N154" i="100" s="1"/>
  <c r="M154" i="100" a="1"/>
  <c r="M154" i="100" s="1"/>
  <c r="L154" i="100" a="1"/>
  <c r="L154" i="100" s="1"/>
  <c r="K154" i="100" a="1"/>
  <c r="K154" i="100" s="1"/>
  <c r="J154" i="100" a="1"/>
  <c r="J154" i="100" s="1"/>
  <c r="I154" i="100" a="1"/>
  <c r="I154" i="100" s="1"/>
  <c r="H154" i="100" a="1"/>
  <c r="H154" i="100" s="1"/>
  <c r="G154" i="100" a="1"/>
  <c r="G154" i="100" s="1"/>
  <c r="F154" i="100" a="1"/>
  <c r="F154" i="100" s="1"/>
  <c r="E154" i="100" a="1"/>
  <c r="E154" i="100" s="1"/>
  <c r="D154" i="100" a="1"/>
  <c r="D154" i="100" s="1"/>
  <c r="AH153" i="100" a="1"/>
  <c r="AH153" i="100" s="1"/>
  <c r="AG153" i="100" a="1"/>
  <c r="AG153" i="100" s="1"/>
  <c r="AF153" i="100" a="1"/>
  <c r="AF153" i="100" s="1"/>
  <c r="AE153" i="100" a="1"/>
  <c r="AE153" i="100" s="1"/>
  <c r="AD153" i="100" a="1"/>
  <c r="AD153" i="100" s="1"/>
  <c r="AC153" i="100" a="1"/>
  <c r="AC153" i="100" s="1"/>
  <c r="AB153" i="100" a="1"/>
  <c r="AB153" i="100" s="1"/>
  <c r="AA153" i="100" a="1"/>
  <c r="AA153" i="100" s="1"/>
  <c r="Z153" i="100" a="1"/>
  <c r="Z153" i="100" s="1"/>
  <c r="Y153" i="100" a="1"/>
  <c r="Y153" i="100" s="1"/>
  <c r="X153" i="100" a="1"/>
  <c r="X153" i="100" s="1"/>
  <c r="W153" i="100" a="1"/>
  <c r="W153" i="100" s="1"/>
  <c r="V153" i="100" a="1"/>
  <c r="V153" i="100" s="1"/>
  <c r="U153" i="100" a="1"/>
  <c r="U153" i="100" s="1"/>
  <c r="T153" i="100" a="1"/>
  <c r="T153" i="100" s="1"/>
  <c r="S153" i="100" a="1"/>
  <c r="S153" i="100" s="1"/>
  <c r="R153" i="100" a="1"/>
  <c r="R153" i="100" s="1"/>
  <c r="Q153" i="100" a="1"/>
  <c r="Q153" i="100" s="1"/>
  <c r="P153" i="100" a="1"/>
  <c r="P153" i="100" s="1"/>
  <c r="O153" i="100" a="1"/>
  <c r="O153" i="100" s="1"/>
  <c r="N153" i="100" a="1"/>
  <c r="N153" i="100" s="1"/>
  <c r="M153" i="100" a="1"/>
  <c r="M153" i="100" s="1"/>
  <c r="L153" i="100" a="1"/>
  <c r="L153" i="100" s="1"/>
  <c r="K153" i="100" a="1"/>
  <c r="K153" i="100" s="1"/>
  <c r="J153" i="100" a="1"/>
  <c r="J153" i="100" s="1"/>
  <c r="I153" i="100" a="1"/>
  <c r="I153" i="100" s="1"/>
  <c r="H153" i="100" a="1"/>
  <c r="H153" i="100" s="1"/>
  <c r="G153" i="100" a="1"/>
  <c r="G153" i="100" s="1"/>
  <c r="F153" i="100" a="1"/>
  <c r="F153" i="100" s="1"/>
  <c r="E153" i="100" a="1"/>
  <c r="E153" i="100" s="1"/>
  <c r="D153" i="100" a="1"/>
  <c r="D153" i="100" s="1"/>
  <c r="AH152" i="100" a="1"/>
  <c r="AH152" i="100" s="1"/>
  <c r="AG152" i="100" a="1"/>
  <c r="AG152" i="100" s="1"/>
  <c r="AF152" i="100" a="1"/>
  <c r="AF152" i="100" s="1"/>
  <c r="AE152" i="100" a="1"/>
  <c r="AE152" i="100" s="1"/>
  <c r="AD152" i="100" a="1"/>
  <c r="AD152" i="100" s="1"/>
  <c r="AC152" i="100" a="1"/>
  <c r="AC152" i="100" s="1"/>
  <c r="AB152" i="100" a="1"/>
  <c r="AB152" i="100" s="1"/>
  <c r="AA152" i="100" a="1"/>
  <c r="AA152" i="100" s="1"/>
  <c r="Z152" i="100" a="1"/>
  <c r="Z152" i="100" s="1"/>
  <c r="Y152" i="100" a="1"/>
  <c r="Y152" i="100" s="1"/>
  <c r="X152" i="100" a="1"/>
  <c r="X152" i="100" s="1"/>
  <c r="W152" i="100" a="1"/>
  <c r="W152" i="100" s="1"/>
  <c r="V152" i="100" a="1"/>
  <c r="V152" i="100" s="1"/>
  <c r="U152" i="100" a="1"/>
  <c r="U152" i="100" s="1"/>
  <c r="T152" i="100" a="1"/>
  <c r="T152" i="100" s="1"/>
  <c r="S152" i="100" a="1"/>
  <c r="S152" i="100" s="1"/>
  <c r="R152" i="100" a="1"/>
  <c r="R152" i="100" s="1"/>
  <c r="Q152" i="100" a="1"/>
  <c r="Q152" i="100" s="1"/>
  <c r="P152" i="100" a="1"/>
  <c r="P152" i="100" s="1"/>
  <c r="O152" i="100" a="1"/>
  <c r="O152" i="100" s="1"/>
  <c r="N152" i="100" a="1"/>
  <c r="N152" i="100" s="1"/>
  <c r="M152" i="100" a="1"/>
  <c r="M152" i="100" s="1"/>
  <c r="L152" i="100" a="1"/>
  <c r="L152" i="100" s="1"/>
  <c r="K152" i="100" a="1"/>
  <c r="K152" i="100" s="1"/>
  <c r="J152" i="100" a="1"/>
  <c r="J152" i="100" s="1"/>
  <c r="I152" i="100" a="1"/>
  <c r="I152" i="100" s="1"/>
  <c r="H152" i="100" a="1"/>
  <c r="H152" i="100" s="1"/>
  <c r="G152" i="100" a="1"/>
  <c r="G152" i="100" s="1"/>
  <c r="F152" i="100" a="1"/>
  <c r="F152" i="100" s="1"/>
  <c r="E152" i="100" a="1"/>
  <c r="E152" i="100" s="1"/>
  <c r="D152" i="100" a="1"/>
  <c r="D152" i="100" s="1"/>
  <c r="AH151" i="100" a="1"/>
  <c r="AH151" i="100" s="1"/>
  <c r="AG151" i="100" a="1"/>
  <c r="AG151" i="100" s="1"/>
  <c r="AF151" i="100" a="1"/>
  <c r="AF151" i="100" s="1"/>
  <c r="AE151" i="100" a="1"/>
  <c r="AE151" i="100" s="1"/>
  <c r="AD151" i="100" a="1"/>
  <c r="AD151" i="100" s="1"/>
  <c r="AC151" i="100" a="1"/>
  <c r="AC151" i="100" s="1"/>
  <c r="AB151" i="100" a="1"/>
  <c r="AB151" i="100" s="1"/>
  <c r="AA151" i="100" a="1"/>
  <c r="AA151" i="100" s="1"/>
  <c r="Z151" i="100" a="1"/>
  <c r="Z151" i="100" s="1"/>
  <c r="Y151" i="100" a="1"/>
  <c r="Y151" i="100" s="1"/>
  <c r="X151" i="100" a="1"/>
  <c r="X151" i="100" s="1"/>
  <c r="W151" i="100" a="1"/>
  <c r="W151" i="100" s="1"/>
  <c r="V151" i="100" a="1"/>
  <c r="V151" i="100" s="1"/>
  <c r="U151" i="100" a="1"/>
  <c r="U151" i="100" s="1"/>
  <c r="T151" i="100" a="1"/>
  <c r="T151" i="100" s="1"/>
  <c r="S151" i="100" a="1"/>
  <c r="S151" i="100" s="1"/>
  <c r="R151" i="100" a="1"/>
  <c r="R151" i="100" s="1"/>
  <c r="Q151" i="100" a="1"/>
  <c r="Q151" i="100" s="1"/>
  <c r="P151" i="100" a="1"/>
  <c r="P151" i="100" s="1"/>
  <c r="O151" i="100" a="1"/>
  <c r="O151" i="100" s="1"/>
  <c r="N151" i="100" a="1"/>
  <c r="N151" i="100" s="1"/>
  <c r="M151" i="100" a="1"/>
  <c r="M151" i="100" s="1"/>
  <c r="L151" i="100" a="1"/>
  <c r="L151" i="100" s="1"/>
  <c r="K151" i="100" a="1"/>
  <c r="K151" i="100" s="1"/>
  <c r="J151" i="100" a="1"/>
  <c r="J151" i="100" s="1"/>
  <c r="I151" i="100" a="1"/>
  <c r="I151" i="100" s="1"/>
  <c r="H151" i="100" a="1"/>
  <c r="H151" i="100" s="1"/>
  <c r="G151" i="100" a="1"/>
  <c r="G151" i="100" s="1"/>
  <c r="F151" i="100" a="1"/>
  <c r="F151" i="100" s="1"/>
  <c r="E151" i="100" a="1"/>
  <c r="E151" i="100" s="1"/>
  <c r="D151" i="100" a="1"/>
  <c r="D151" i="100" s="1"/>
  <c r="AH150" i="100" a="1"/>
  <c r="AH150" i="100" s="1"/>
  <c r="AG150" i="100" a="1"/>
  <c r="AG150" i="100" s="1"/>
  <c r="AF150" i="100" a="1"/>
  <c r="AF150" i="100" s="1"/>
  <c r="AE150" i="100" a="1"/>
  <c r="AE150" i="100" s="1"/>
  <c r="AD150" i="100" a="1"/>
  <c r="AD150" i="100" s="1"/>
  <c r="AC150" i="100" a="1"/>
  <c r="AC150" i="100" s="1"/>
  <c r="AB150" i="100" a="1"/>
  <c r="AB150" i="100" s="1"/>
  <c r="AA150" i="100" a="1"/>
  <c r="AA150" i="100" s="1"/>
  <c r="Z150" i="100" a="1"/>
  <c r="Z150" i="100" s="1"/>
  <c r="Y150" i="100" a="1"/>
  <c r="Y150" i="100" s="1"/>
  <c r="X150" i="100" a="1"/>
  <c r="X150" i="100" s="1"/>
  <c r="W150" i="100" a="1"/>
  <c r="W150" i="100" s="1"/>
  <c r="V150" i="100" a="1"/>
  <c r="V150" i="100" s="1"/>
  <c r="U150" i="100" a="1"/>
  <c r="U150" i="100" s="1"/>
  <c r="T150" i="100" a="1"/>
  <c r="T150" i="100" s="1"/>
  <c r="S150" i="100" a="1"/>
  <c r="S150" i="100" s="1"/>
  <c r="R150" i="100" a="1"/>
  <c r="R150" i="100" s="1"/>
  <c r="Q150" i="100" a="1"/>
  <c r="Q150" i="100" s="1"/>
  <c r="P150" i="100" a="1"/>
  <c r="P150" i="100" s="1"/>
  <c r="O150" i="100" a="1"/>
  <c r="O150" i="100" s="1"/>
  <c r="N150" i="100" a="1"/>
  <c r="N150" i="100" s="1"/>
  <c r="M150" i="100" a="1"/>
  <c r="M150" i="100" s="1"/>
  <c r="L150" i="100" a="1"/>
  <c r="L150" i="100" s="1"/>
  <c r="K150" i="100" a="1"/>
  <c r="K150" i="100" s="1"/>
  <c r="J150" i="100" a="1"/>
  <c r="J150" i="100" s="1"/>
  <c r="I150" i="100" a="1"/>
  <c r="I150" i="100" s="1"/>
  <c r="H150" i="100" a="1"/>
  <c r="H150" i="100" s="1"/>
  <c r="G150" i="100" a="1"/>
  <c r="G150" i="100" s="1"/>
  <c r="F150" i="100" a="1"/>
  <c r="F150" i="100" s="1"/>
  <c r="E150" i="100" a="1"/>
  <c r="E150" i="100" s="1"/>
  <c r="D150" i="100" a="1"/>
  <c r="D150" i="100" s="1"/>
  <c r="AH149" i="100" a="1"/>
  <c r="AH149" i="100" s="1"/>
  <c r="AG149" i="100" a="1"/>
  <c r="AG149" i="100" s="1"/>
  <c r="AF149" i="100" a="1"/>
  <c r="AF149" i="100" s="1"/>
  <c r="AE149" i="100" a="1"/>
  <c r="AE149" i="100" s="1"/>
  <c r="AD149" i="100" a="1"/>
  <c r="AD149" i="100" s="1"/>
  <c r="AC149" i="100" a="1"/>
  <c r="AC149" i="100" s="1"/>
  <c r="AB149" i="100" a="1"/>
  <c r="AB149" i="100" s="1"/>
  <c r="AA149" i="100" a="1"/>
  <c r="AA149" i="100" s="1"/>
  <c r="Z149" i="100" a="1"/>
  <c r="Z149" i="100" s="1"/>
  <c r="Y149" i="100" a="1"/>
  <c r="Y149" i="100" s="1"/>
  <c r="X149" i="100" a="1"/>
  <c r="X149" i="100" s="1"/>
  <c r="W149" i="100" a="1"/>
  <c r="W149" i="100" s="1"/>
  <c r="V149" i="100" a="1"/>
  <c r="V149" i="100" s="1"/>
  <c r="U149" i="100" a="1"/>
  <c r="U149" i="100" s="1"/>
  <c r="T149" i="100" a="1"/>
  <c r="T149" i="100" s="1"/>
  <c r="S149" i="100" a="1"/>
  <c r="S149" i="100" s="1"/>
  <c r="R149" i="100" a="1"/>
  <c r="R149" i="100" s="1"/>
  <c r="Q149" i="100" a="1"/>
  <c r="Q149" i="100" s="1"/>
  <c r="P149" i="100" a="1"/>
  <c r="P149" i="100" s="1"/>
  <c r="O149" i="100" a="1"/>
  <c r="O149" i="100" s="1"/>
  <c r="N149" i="100" a="1"/>
  <c r="N149" i="100" s="1"/>
  <c r="M149" i="100" a="1"/>
  <c r="M149" i="100" s="1"/>
  <c r="L149" i="100" a="1"/>
  <c r="L149" i="100" s="1"/>
  <c r="K149" i="100" a="1"/>
  <c r="K149" i="100" s="1"/>
  <c r="J149" i="100" a="1"/>
  <c r="J149" i="100" s="1"/>
  <c r="I149" i="100" a="1"/>
  <c r="I149" i="100" s="1"/>
  <c r="H149" i="100" a="1"/>
  <c r="H149" i="100" s="1"/>
  <c r="G149" i="100" a="1"/>
  <c r="G149" i="100" s="1"/>
  <c r="F149" i="100" a="1"/>
  <c r="F149" i="100" s="1"/>
  <c r="E149" i="100" a="1"/>
  <c r="E149" i="100" s="1"/>
  <c r="D149" i="100" a="1"/>
  <c r="D149" i="100" s="1"/>
  <c r="AH148" i="100" a="1"/>
  <c r="AH148" i="100" s="1"/>
  <c r="AG148" i="100" a="1"/>
  <c r="AG148" i="100" s="1"/>
  <c r="AF148" i="100" a="1"/>
  <c r="AF148" i="100" s="1"/>
  <c r="AE148" i="100" a="1"/>
  <c r="AE148" i="100" s="1"/>
  <c r="AD148" i="100" a="1"/>
  <c r="AD148" i="100" s="1"/>
  <c r="AC148" i="100" a="1"/>
  <c r="AC148" i="100" s="1"/>
  <c r="AB148" i="100" a="1"/>
  <c r="AB148" i="100" s="1"/>
  <c r="AA148" i="100" a="1"/>
  <c r="AA148" i="100" s="1"/>
  <c r="Z148" i="100" a="1"/>
  <c r="Z148" i="100" s="1"/>
  <c r="Y148" i="100" a="1"/>
  <c r="Y148" i="100" s="1"/>
  <c r="X148" i="100" a="1"/>
  <c r="X148" i="100" s="1"/>
  <c r="W148" i="100" a="1"/>
  <c r="W148" i="100" s="1"/>
  <c r="V148" i="100" a="1"/>
  <c r="V148" i="100" s="1"/>
  <c r="U148" i="100" a="1"/>
  <c r="U148" i="100" s="1"/>
  <c r="T148" i="100" a="1"/>
  <c r="T148" i="100" s="1"/>
  <c r="S148" i="100" a="1"/>
  <c r="S148" i="100" s="1"/>
  <c r="R148" i="100" a="1"/>
  <c r="R148" i="100" s="1"/>
  <c r="Q148" i="100" a="1"/>
  <c r="Q148" i="100" s="1"/>
  <c r="P148" i="100" a="1"/>
  <c r="P148" i="100" s="1"/>
  <c r="O148" i="100" a="1"/>
  <c r="O148" i="100" s="1"/>
  <c r="N148" i="100" a="1"/>
  <c r="N148" i="100" s="1"/>
  <c r="M148" i="100" a="1"/>
  <c r="M148" i="100" s="1"/>
  <c r="L148" i="100" a="1"/>
  <c r="L148" i="100" s="1"/>
  <c r="K148" i="100" a="1"/>
  <c r="K148" i="100" s="1"/>
  <c r="J148" i="100" a="1"/>
  <c r="J148" i="100" s="1"/>
  <c r="I148" i="100" a="1"/>
  <c r="I148" i="100" s="1"/>
  <c r="H148" i="100" a="1"/>
  <c r="H148" i="100" s="1"/>
  <c r="G148" i="100" a="1"/>
  <c r="G148" i="100" s="1"/>
  <c r="F148" i="100" a="1"/>
  <c r="F148" i="100" s="1"/>
  <c r="E148" i="100" a="1"/>
  <c r="E148" i="100" s="1"/>
  <c r="D148" i="100" a="1"/>
  <c r="D148" i="100" s="1"/>
  <c r="AH147" i="100" a="1"/>
  <c r="AH147" i="100" s="1"/>
  <c r="AG147" i="100" a="1"/>
  <c r="AG147" i="100" s="1"/>
  <c r="AF147" i="100" a="1"/>
  <c r="AF147" i="100" s="1"/>
  <c r="AE147" i="100" a="1"/>
  <c r="AE147" i="100" s="1"/>
  <c r="AD147" i="100" a="1"/>
  <c r="AD147" i="100" s="1"/>
  <c r="AC147" i="100" a="1"/>
  <c r="AC147" i="100" s="1"/>
  <c r="AB147" i="100" a="1"/>
  <c r="AB147" i="100" s="1"/>
  <c r="AA147" i="100" a="1"/>
  <c r="AA147" i="100" s="1"/>
  <c r="Z147" i="100" a="1"/>
  <c r="Z147" i="100" s="1"/>
  <c r="Y147" i="100" a="1"/>
  <c r="Y147" i="100" s="1"/>
  <c r="X147" i="100" a="1"/>
  <c r="X147" i="100" s="1"/>
  <c r="W147" i="100" a="1"/>
  <c r="W147" i="100" s="1"/>
  <c r="V147" i="100" a="1"/>
  <c r="V147" i="100" s="1"/>
  <c r="U147" i="100" a="1"/>
  <c r="U147" i="100" s="1"/>
  <c r="T147" i="100" a="1"/>
  <c r="T147" i="100" s="1"/>
  <c r="S147" i="100" a="1"/>
  <c r="S147" i="100" s="1"/>
  <c r="R147" i="100" a="1"/>
  <c r="R147" i="100" s="1"/>
  <c r="Q147" i="100" a="1"/>
  <c r="Q147" i="100" s="1"/>
  <c r="P147" i="100" a="1"/>
  <c r="P147" i="100" s="1"/>
  <c r="O147" i="100" a="1"/>
  <c r="O147" i="100" s="1"/>
  <c r="N147" i="100" a="1"/>
  <c r="N147" i="100" s="1"/>
  <c r="M147" i="100" a="1"/>
  <c r="M147" i="100" s="1"/>
  <c r="L147" i="100" a="1"/>
  <c r="L147" i="100" s="1"/>
  <c r="K147" i="100" a="1"/>
  <c r="K147" i="100" s="1"/>
  <c r="J147" i="100" a="1"/>
  <c r="J147" i="100" s="1"/>
  <c r="I147" i="100" a="1"/>
  <c r="I147" i="100" s="1"/>
  <c r="H147" i="100" a="1"/>
  <c r="H147" i="100" s="1"/>
  <c r="G147" i="100" a="1"/>
  <c r="G147" i="100" s="1"/>
  <c r="F147" i="100" a="1"/>
  <c r="F147" i="100" s="1"/>
  <c r="E147" i="100" a="1"/>
  <c r="E147" i="100" s="1"/>
  <c r="D147" i="100" a="1"/>
  <c r="D147" i="100" s="1"/>
  <c r="AH146" i="100" a="1"/>
  <c r="AH146" i="100" s="1"/>
  <c r="AG146" i="100" a="1"/>
  <c r="AG146" i="100" s="1"/>
  <c r="AF146" i="100" a="1"/>
  <c r="AF146" i="100" s="1"/>
  <c r="AE146" i="100" a="1"/>
  <c r="AE146" i="100" s="1"/>
  <c r="AD146" i="100" a="1"/>
  <c r="AD146" i="100" s="1"/>
  <c r="AC146" i="100" a="1"/>
  <c r="AC146" i="100" s="1"/>
  <c r="AB146" i="100" a="1"/>
  <c r="AB146" i="100" s="1"/>
  <c r="AA146" i="100" a="1"/>
  <c r="AA146" i="100" s="1"/>
  <c r="Z146" i="100" a="1"/>
  <c r="Z146" i="100" s="1"/>
  <c r="Y146" i="100" a="1"/>
  <c r="Y146" i="100" s="1"/>
  <c r="X146" i="100" a="1"/>
  <c r="X146" i="100" s="1"/>
  <c r="W146" i="100" a="1"/>
  <c r="W146" i="100" s="1"/>
  <c r="V146" i="100" a="1"/>
  <c r="V146" i="100" s="1"/>
  <c r="U146" i="100" a="1"/>
  <c r="U146" i="100" s="1"/>
  <c r="T146" i="100" a="1"/>
  <c r="T146" i="100" s="1"/>
  <c r="S146" i="100" a="1"/>
  <c r="S146" i="100" s="1"/>
  <c r="R146" i="100" a="1"/>
  <c r="R146" i="100" s="1"/>
  <c r="Q146" i="100" a="1"/>
  <c r="Q146" i="100" s="1"/>
  <c r="P146" i="100" a="1"/>
  <c r="P146" i="100" s="1"/>
  <c r="O146" i="100" a="1"/>
  <c r="O146" i="100" s="1"/>
  <c r="N146" i="100" a="1"/>
  <c r="N146" i="100" s="1"/>
  <c r="M146" i="100" a="1"/>
  <c r="M146" i="100" s="1"/>
  <c r="L146" i="100" a="1"/>
  <c r="L146" i="100" s="1"/>
  <c r="K146" i="100" a="1"/>
  <c r="K146" i="100" s="1"/>
  <c r="J146" i="100" a="1"/>
  <c r="J146" i="100" s="1"/>
  <c r="I146" i="100" a="1"/>
  <c r="I146" i="100" s="1"/>
  <c r="H146" i="100" a="1"/>
  <c r="H146" i="100" s="1"/>
  <c r="G146" i="100" a="1"/>
  <c r="G146" i="100" s="1"/>
  <c r="F146" i="100" a="1"/>
  <c r="F146" i="100" s="1"/>
  <c r="E146" i="100" a="1"/>
  <c r="E146" i="100" s="1"/>
  <c r="D146" i="100" a="1"/>
  <c r="D146" i="100" s="1"/>
  <c r="AH145" i="100" a="1"/>
  <c r="AH145" i="100" s="1"/>
  <c r="AG145" i="100" a="1"/>
  <c r="AG145" i="100" s="1"/>
  <c r="AF145" i="100" a="1"/>
  <c r="AF145" i="100" s="1"/>
  <c r="AE145" i="100" a="1"/>
  <c r="AE145" i="100" s="1"/>
  <c r="AD145" i="100" a="1"/>
  <c r="AD145" i="100" s="1"/>
  <c r="AC145" i="100" a="1"/>
  <c r="AC145" i="100" s="1"/>
  <c r="AB145" i="100" a="1"/>
  <c r="AB145" i="100" s="1"/>
  <c r="AA145" i="100" a="1"/>
  <c r="AA145" i="100" s="1"/>
  <c r="Z145" i="100" a="1"/>
  <c r="Z145" i="100" s="1"/>
  <c r="Y145" i="100" a="1"/>
  <c r="Y145" i="100" s="1"/>
  <c r="X145" i="100" a="1"/>
  <c r="X145" i="100" s="1"/>
  <c r="W145" i="100" a="1"/>
  <c r="W145" i="100" s="1"/>
  <c r="V145" i="100" a="1"/>
  <c r="V145" i="100" s="1"/>
  <c r="U145" i="100" a="1"/>
  <c r="U145" i="100" s="1"/>
  <c r="T145" i="100" a="1"/>
  <c r="T145" i="100" s="1"/>
  <c r="S145" i="100" a="1"/>
  <c r="S145" i="100" s="1"/>
  <c r="R145" i="100" a="1"/>
  <c r="R145" i="100" s="1"/>
  <c r="Q145" i="100" a="1"/>
  <c r="Q145" i="100" s="1"/>
  <c r="P145" i="100" a="1"/>
  <c r="P145" i="100" s="1"/>
  <c r="O145" i="100" a="1"/>
  <c r="O145" i="100" s="1"/>
  <c r="N145" i="100" a="1"/>
  <c r="N145" i="100" s="1"/>
  <c r="M145" i="100" a="1"/>
  <c r="M145" i="100" s="1"/>
  <c r="L145" i="100" a="1"/>
  <c r="L145" i="100" s="1"/>
  <c r="K145" i="100" a="1"/>
  <c r="K145" i="100" s="1"/>
  <c r="J145" i="100" a="1"/>
  <c r="J145" i="100" s="1"/>
  <c r="I145" i="100" a="1"/>
  <c r="I145" i="100" s="1"/>
  <c r="H145" i="100" a="1"/>
  <c r="H145" i="100" s="1"/>
  <c r="G145" i="100" a="1"/>
  <c r="G145" i="100" s="1"/>
  <c r="F145" i="100" a="1"/>
  <c r="F145" i="100" s="1"/>
  <c r="E145" i="100" a="1"/>
  <c r="E145" i="100" s="1"/>
  <c r="D145" i="100" a="1"/>
  <c r="D145" i="100" s="1"/>
  <c r="AH144" i="100" a="1"/>
  <c r="AH144" i="100" s="1"/>
  <c r="AG144" i="100" a="1"/>
  <c r="AG144" i="100" s="1"/>
  <c r="AF144" i="100" a="1"/>
  <c r="AF144" i="100" s="1"/>
  <c r="AE144" i="100" a="1"/>
  <c r="AE144" i="100" s="1"/>
  <c r="AD144" i="100" a="1"/>
  <c r="AD144" i="100" s="1"/>
  <c r="AC144" i="100" a="1"/>
  <c r="AC144" i="100" s="1"/>
  <c r="AB144" i="100" a="1"/>
  <c r="AB144" i="100" s="1"/>
  <c r="AA144" i="100" a="1"/>
  <c r="AA144" i="100" s="1"/>
  <c r="Z144" i="100" a="1"/>
  <c r="Z144" i="100" s="1"/>
  <c r="Y144" i="100" a="1"/>
  <c r="Y144" i="100" s="1"/>
  <c r="X144" i="100" a="1"/>
  <c r="X144" i="100" s="1"/>
  <c r="W144" i="100" a="1"/>
  <c r="W144" i="100" s="1"/>
  <c r="V144" i="100" a="1"/>
  <c r="V144" i="100" s="1"/>
  <c r="U144" i="100" a="1"/>
  <c r="U144" i="100" s="1"/>
  <c r="T144" i="100" a="1"/>
  <c r="T144" i="100" s="1"/>
  <c r="S144" i="100" a="1"/>
  <c r="S144" i="100" s="1"/>
  <c r="R144" i="100" a="1"/>
  <c r="R144" i="100" s="1"/>
  <c r="Q144" i="100" a="1"/>
  <c r="Q144" i="100" s="1"/>
  <c r="P144" i="100" a="1"/>
  <c r="P144" i="100" s="1"/>
  <c r="O144" i="100" a="1"/>
  <c r="O144" i="100" s="1"/>
  <c r="N144" i="100" a="1"/>
  <c r="N144" i="100" s="1"/>
  <c r="M144" i="100" a="1"/>
  <c r="M144" i="100" s="1"/>
  <c r="L144" i="100" a="1"/>
  <c r="L144" i="100" s="1"/>
  <c r="K144" i="100" a="1"/>
  <c r="K144" i="100" s="1"/>
  <c r="J144" i="100" a="1"/>
  <c r="J144" i="100" s="1"/>
  <c r="I144" i="100" a="1"/>
  <c r="I144" i="100" s="1"/>
  <c r="H144" i="100" a="1"/>
  <c r="H144" i="100" s="1"/>
  <c r="G144" i="100" a="1"/>
  <c r="G144" i="100" s="1"/>
  <c r="F144" i="100" a="1"/>
  <c r="F144" i="100" s="1"/>
  <c r="E144" i="100" a="1"/>
  <c r="E144" i="100" s="1"/>
  <c r="D144" i="100" a="1"/>
  <c r="D144" i="100" s="1"/>
  <c r="AH143" i="100" a="1"/>
  <c r="AH143" i="100" s="1"/>
  <c r="AG143" i="100" a="1"/>
  <c r="AG143" i="100" s="1"/>
  <c r="AF143" i="100" a="1"/>
  <c r="AF143" i="100" s="1"/>
  <c r="AE143" i="100" a="1"/>
  <c r="AE143" i="100" s="1"/>
  <c r="AD143" i="100" a="1"/>
  <c r="AD143" i="100" s="1"/>
  <c r="AC143" i="100" a="1"/>
  <c r="AC143" i="100" s="1"/>
  <c r="AB143" i="100" a="1"/>
  <c r="AB143" i="100" s="1"/>
  <c r="AA143" i="100" a="1"/>
  <c r="AA143" i="100" s="1"/>
  <c r="Z143" i="100" a="1"/>
  <c r="Z143" i="100" s="1"/>
  <c r="Y143" i="100" a="1"/>
  <c r="Y143" i="100" s="1"/>
  <c r="X143" i="100" a="1"/>
  <c r="X143" i="100" s="1"/>
  <c r="W143" i="100" a="1"/>
  <c r="W143" i="100" s="1"/>
  <c r="V143" i="100" a="1"/>
  <c r="V143" i="100" s="1"/>
  <c r="U143" i="100" a="1"/>
  <c r="U143" i="100" s="1"/>
  <c r="T143" i="100" a="1"/>
  <c r="T143" i="100" s="1"/>
  <c r="S143" i="100" a="1"/>
  <c r="S143" i="100" s="1"/>
  <c r="R143" i="100" a="1"/>
  <c r="R143" i="100" s="1"/>
  <c r="Q143" i="100" a="1"/>
  <c r="Q143" i="100" s="1"/>
  <c r="P143" i="100" a="1"/>
  <c r="P143" i="100" s="1"/>
  <c r="O143" i="100" a="1"/>
  <c r="O143" i="100" s="1"/>
  <c r="N143" i="100" a="1"/>
  <c r="N143" i="100" s="1"/>
  <c r="M143" i="100" a="1"/>
  <c r="M143" i="100" s="1"/>
  <c r="L143" i="100" a="1"/>
  <c r="L143" i="100" s="1"/>
  <c r="K143" i="100" a="1"/>
  <c r="K143" i="100" s="1"/>
  <c r="J143" i="100" a="1"/>
  <c r="J143" i="100" s="1"/>
  <c r="I143" i="100" a="1"/>
  <c r="I143" i="100" s="1"/>
  <c r="H143" i="100" a="1"/>
  <c r="H143" i="100" s="1"/>
  <c r="G143" i="100" a="1"/>
  <c r="G143" i="100" s="1"/>
  <c r="F143" i="100" a="1"/>
  <c r="F143" i="100" s="1"/>
  <c r="E143" i="100" a="1"/>
  <c r="E143" i="100" s="1"/>
  <c r="D143" i="100" a="1"/>
  <c r="D143" i="100" s="1"/>
  <c r="AH142" i="100" a="1"/>
  <c r="AH142" i="100" s="1"/>
  <c r="AG142" i="100" a="1"/>
  <c r="AG142" i="100" s="1"/>
  <c r="AF142" i="100" a="1"/>
  <c r="AF142" i="100" s="1"/>
  <c r="AE142" i="100" a="1"/>
  <c r="AE142" i="100" s="1"/>
  <c r="AD142" i="100" a="1"/>
  <c r="AD142" i="100" s="1"/>
  <c r="AC142" i="100" a="1"/>
  <c r="AC142" i="100" s="1"/>
  <c r="AB142" i="100" a="1"/>
  <c r="AB142" i="100" s="1"/>
  <c r="AA142" i="100" a="1"/>
  <c r="AA142" i="100" s="1"/>
  <c r="Z142" i="100" a="1"/>
  <c r="Z142" i="100" s="1"/>
  <c r="Y142" i="100" a="1"/>
  <c r="Y142" i="100" s="1"/>
  <c r="X142" i="100" a="1"/>
  <c r="X142" i="100" s="1"/>
  <c r="W142" i="100" a="1"/>
  <c r="W142" i="100" s="1"/>
  <c r="V142" i="100" a="1"/>
  <c r="V142" i="100" s="1"/>
  <c r="U142" i="100" a="1"/>
  <c r="U142" i="100" s="1"/>
  <c r="T142" i="100" a="1"/>
  <c r="T142" i="100" s="1"/>
  <c r="S142" i="100" a="1"/>
  <c r="S142" i="100" s="1"/>
  <c r="R142" i="100" a="1"/>
  <c r="R142" i="100" s="1"/>
  <c r="Q142" i="100" a="1"/>
  <c r="Q142" i="100" s="1"/>
  <c r="P142" i="100" a="1"/>
  <c r="P142" i="100" s="1"/>
  <c r="O142" i="100" a="1"/>
  <c r="O142" i="100" s="1"/>
  <c r="N142" i="100" a="1"/>
  <c r="N142" i="100" s="1"/>
  <c r="M142" i="100" a="1"/>
  <c r="M142" i="100" s="1"/>
  <c r="L142" i="100" a="1"/>
  <c r="L142" i="100" s="1"/>
  <c r="K142" i="100" a="1"/>
  <c r="K142" i="100" s="1"/>
  <c r="J142" i="100" a="1"/>
  <c r="J142" i="100" s="1"/>
  <c r="I142" i="100" a="1"/>
  <c r="I142" i="100" s="1"/>
  <c r="H142" i="100" a="1"/>
  <c r="H142" i="100" s="1"/>
  <c r="G142" i="100" a="1"/>
  <c r="G142" i="100" s="1"/>
  <c r="F142" i="100" a="1"/>
  <c r="F142" i="100" s="1"/>
  <c r="E142" i="100" a="1"/>
  <c r="E142" i="100" s="1"/>
  <c r="D142" i="100" a="1"/>
  <c r="D142" i="100" s="1"/>
  <c r="AH141" i="100" a="1"/>
  <c r="AH141" i="100" s="1"/>
  <c r="AG141" i="100" a="1"/>
  <c r="AG141" i="100" s="1"/>
  <c r="AF141" i="100" a="1"/>
  <c r="AF141" i="100" s="1"/>
  <c r="AE141" i="100" a="1"/>
  <c r="AE141" i="100" s="1"/>
  <c r="AD141" i="100" a="1"/>
  <c r="AD141" i="100" s="1"/>
  <c r="AC141" i="100" a="1"/>
  <c r="AC141" i="100" s="1"/>
  <c r="AB141" i="100" a="1"/>
  <c r="AB141" i="100" s="1"/>
  <c r="AA141" i="100" a="1"/>
  <c r="AA141" i="100" s="1"/>
  <c r="Z141" i="100" a="1"/>
  <c r="Z141" i="100" s="1"/>
  <c r="Y141" i="100" a="1"/>
  <c r="Y141" i="100" s="1"/>
  <c r="X141" i="100" a="1"/>
  <c r="X141" i="100" s="1"/>
  <c r="W141" i="100" a="1"/>
  <c r="W141" i="100" s="1"/>
  <c r="V141" i="100" a="1"/>
  <c r="V141" i="100" s="1"/>
  <c r="U141" i="100" a="1"/>
  <c r="U141" i="100" s="1"/>
  <c r="T141" i="100" a="1"/>
  <c r="T141" i="100" s="1"/>
  <c r="S141" i="100" a="1"/>
  <c r="S141" i="100" s="1"/>
  <c r="R141" i="100" a="1"/>
  <c r="R141" i="100" s="1"/>
  <c r="Q141" i="100" a="1"/>
  <c r="Q141" i="100" s="1"/>
  <c r="P141" i="100" a="1"/>
  <c r="P141" i="100" s="1"/>
  <c r="O141" i="100" a="1"/>
  <c r="O141" i="100" s="1"/>
  <c r="N141" i="100" a="1"/>
  <c r="N141" i="100" s="1"/>
  <c r="M141" i="100" a="1"/>
  <c r="M141" i="100" s="1"/>
  <c r="L141" i="100" a="1"/>
  <c r="L141" i="100" s="1"/>
  <c r="K141" i="100" a="1"/>
  <c r="K141" i="100" s="1"/>
  <c r="J141" i="100" a="1"/>
  <c r="J141" i="100" s="1"/>
  <c r="I141" i="100" a="1"/>
  <c r="I141" i="100" s="1"/>
  <c r="H141" i="100" a="1"/>
  <c r="H141" i="100" s="1"/>
  <c r="G141" i="100" a="1"/>
  <c r="G141" i="100" s="1"/>
  <c r="F141" i="100" a="1"/>
  <c r="F141" i="100" s="1"/>
  <c r="E141" i="100" a="1"/>
  <c r="E141" i="100" s="1"/>
  <c r="D141" i="100" a="1"/>
  <c r="D141" i="100" s="1"/>
  <c r="AH140" i="100" a="1"/>
  <c r="AH140" i="100" s="1"/>
  <c r="AG140" i="100" a="1"/>
  <c r="AG140" i="100" s="1"/>
  <c r="AF140" i="100" a="1"/>
  <c r="AF140" i="100" s="1"/>
  <c r="AE140" i="100" a="1"/>
  <c r="AE140" i="100" s="1"/>
  <c r="AD140" i="100" a="1"/>
  <c r="AD140" i="100" s="1"/>
  <c r="AC140" i="100" a="1"/>
  <c r="AC140" i="100" s="1"/>
  <c r="AB140" i="100" a="1"/>
  <c r="AB140" i="100" s="1"/>
  <c r="AA140" i="100" a="1"/>
  <c r="AA140" i="100" s="1"/>
  <c r="Z140" i="100" a="1"/>
  <c r="Z140" i="100" s="1"/>
  <c r="Y140" i="100" a="1"/>
  <c r="Y140" i="100" s="1"/>
  <c r="X140" i="100" a="1"/>
  <c r="X140" i="100" s="1"/>
  <c r="W140" i="100" a="1"/>
  <c r="W140" i="100" s="1"/>
  <c r="V140" i="100" a="1"/>
  <c r="V140" i="100" s="1"/>
  <c r="U140" i="100" a="1"/>
  <c r="U140" i="100" s="1"/>
  <c r="T140" i="100" a="1"/>
  <c r="T140" i="100" s="1"/>
  <c r="S140" i="100" a="1"/>
  <c r="S140" i="100" s="1"/>
  <c r="R140" i="100" a="1"/>
  <c r="R140" i="100" s="1"/>
  <c r="Q140" i="100" a="1"/>
  <c r="Q140" i="100" s="1"/>
  <c r="P140" i="100" a="1"/>
  <c r="P140" i="100" s="1"/>
  <c r="O140" i="100" a="1"/>
  <c r="O140" i="100" s="1"/>
  <c r="N140" i="100" a="1"/>
  <c r="N140" i="100" s="1"/>
  <c r="M140" i="100" a="1"/>
  <c r="M140" i="100" s="1"/>
  <c r="L140" i="100" a="1"/>
  <c r="L140" i="100" s="1"/>
  <c r="K140" i="100" a="1"/>
  <c r="K140" i="100" s="1"/>
  <c r="J140" i="100" a="1"/>
  <c r="J140" i="100" s="1"/>
  <c r="I140" i="100" a="1"/>
  <c r="I140" i="100" s="1"/>
  <c r="H140" i="100" a="1"/>
  <c r="H140" i="100" s="1"/>
  <c r="G140" i="100" a="1"/>
  <c r="G140" i="100" s="1"/>
  <c r="F140" i="100" a="1"/>
  <c r="F140" i="100" s="1"/>
  <c r="E140" i="100" a="1"/>
  <c r="E140" i="100" s="1"/>
  <c r="D140" i="100" a="1"/>
  <c r="D140" i="100" s="1"/>
  <c r="AH139" i="100" a="1"/>
  <c r="AH139" i="100" s="1"/>
  <c r="AG139" i="100" a="1"/>
  <c r="AG139" i="100" s="1"/>
  <c r="AF139" i="100" a="1"/>
  <c r="AF139" i="100" s="1"/>
  <c r="AE139" i="100" a="1"/>
  <c r="AE139" i="100" s="1"/>
  <c r="AD139" i="100" a="1"/>
  <c r="AD139" i="100" s="1"/>
  <c r="AC139" i="100" a="1"/>
  <c r="AC139" i="100" s="1"/>
  <c r="AB139" i="100" a="1"/>
  <c r="AB139" i="100" s="1"/>
  <c r="AA139" i="100" a="1"/>
  <c r="AA139" i="100" s="1"/>
  <c r="Z139" i="100" a="1"/>
  <c r="Z139" i="100" s="1"/>
  <c r="Y139" i="100" a="1"/>
  <c r="Y139" i="100" s="1"/>
  <c r="X139" i="100" a="1"/>
  <c r="X139" i="100" s="1"/>
  <c r="W139" i="100" a="1"/>
  <c r="W139" i="100" s="1"/>
  <c r="V139" i="100" a="1"/>
  <c r="V139" i="100" s="1"/>
  <c r="U139" i="100" a="1"/>
  <c r="U139" i="100" s="1"/>
  <c r="T139" i="100" a="1"/>
  <c r="T139" i="100" s="1"/>
  <c r="S139" i="100" a="1"/>
  <c r="S139" i="100" s="1"/>
  <c r="R139" i="100" a="1"/>
  <c r="R139" i="100" s="1"/>
  <c r="Q139" i="100" a="1"/>
  <c r="Q139" i="100" s="1"/>
  <c r="P139" i="100" a="1"/>
  <c r="P139" i="100" s="1"/>
  <c r="O139" i="100" a="1"/>
  <c r="O139" i="100" s="1"/>
  <c r="N139" i="100" a="1"/>
  <c r="N139" i="100" s="1"/>
  <c r="M139" i="100" a="1"/>
  <c r="M139" i="100" s="1"/>
  <c r="L139" i="100" a="1"/>
  <c r="L139" i="100" s="1"/>
  <c r="K139" i="100" a="1"/>
  <c r="K139" i="100" s="1"/>
  <c r="J139" i="100" a="1"/>
  <c r="J139" i="100" s="1"/>
  <c r="I139" i="100" a="1"/>
  <c r="I139" i="100" s="1"/>
  <c r="H139" i="100" a="1"/>
  <c r="H139" i="100" s="1"/>
  <c r="G139" i="100" a="1"/>
  <c r="G139" i="100" s="1"/>
  <c r="F139" i="100" a="1"/>
  <c r="F139" i="100" s="1"/>
  <c r="E139" i="100" a="1"/>
  <c r="E139" i="100" s="1"/>
  <c r="D139" i="100" a="1"/>
  <c r="D139" i="100" s="1"/>
  <c r="AH138" i="100" a="1"/>
  <c r="AH138" i="100" s="1"/>
  <c r="AG138" i="100" a="1"/>
  <c r="AG138" i="100" s="1"/>
  <c r="AF138" i="100" a="1"/>
  <c r="AF138" i="100" s="1"/>
  <c r="AE138" i="100" a="1"/>
  <c r="AE138" i="100" s="1"/>
  <c r="AD138" i="100" a="1"/>
  <c r="AD138" i="100" s="1"/>
  <c r="AC138" i="100" a="1"/>
  <c r="AC138" i="100" s="1"/>
  <c r="AB138" i="100" a="1"/>
  <c r="AB138" i="100" s="1"/>
  <c r="AA138" i="100" a="1"/>
  <c r="AA138" i="100" s="1"/>
  <c r="Z138" i="100" a="1"/>
  <c r="Z138" i="100" s="1"/>
  <c r="Y138" i="100" a="1"/>
  <c r="Y138" i="100" s="1"/>
  <c r="X138" i="100" a="1"/>
  <c r="X138" i="100" s="1"/>
  <c r="W138" i="100" a="1"/>
  <c r="W138" i="100" s="1"/>
  <c r="V138" i="100" a="1"/>
  <c r="V138" i="100" s="1"/>
  <c r="U138" i="100" a="1"/>
  <c r="U138" i="100" s="1"/>
  <c r="T138" i="100" a="1"/>
  <c r="T138" i="100" s="1"/>
  <c r="S138" i="100" a="1"/>
  <c r="S138" i="100" s="1"/>
  <c r="R138" i="100" a="1"/>
  <c r="R138" i="100" s="1"/>
  <c r="Q138" i="100" a="1"/>
  <c r="Q138" i="100" s="1"/>
  <c r="P138" i="100" a="1"/>
  <c r="P138" i="100" s="1"/>
  <c r="O138" i="100" a="1"/>
  <c r="O138" i="100" s="1"/>
  <c r="N138" i="100" a="1"/>
  <c r="N138" i="100" s="1"/>
  <c r="M138" i="100" a="1"/>
  <c r="M138" i="100" s="1"/>
  <c r="L138" i="100" a="1"/>
  <c r="L138" i="100" s="1"/>
  <c r="K138" i="100" a="1"/>
  <c r="K138" i="100" s="1"/>
  <c r="J138" i="100" a="1"/>
  <c r="J138" i="100" s="1"/>
  <c r="I138" i="100" a="1"/>
  <c r="I138" i="100" s="1"/>
  <c r="H138" i="100" a="1"/>
  <c r="H138" i="100" s="1"/>
  <c r="G138" i="100" a="1"/>
  <c r="G138" i="100" s="1"/>
  <c r="F138" i="100" a="1"/>
  <c r="F138" i="100" s="1"/>
  <c r="E138" i="100" a="1"/>
  <c r="E138" i="100" s="1"/>
  <c r="D138" i="100" a="1"/>
  <c r="D138" i="100" s="1"/>
  <c r="AH137" i="100" a="1"/>
  <c r="AH137" i="100" s="1"/>
  <c r="AG137" i="100" a="1"/>
  <c r="AG137" i="100" s="1"/>
  <c r="AF137" i="100" a="1"/>
  <c r="AF137" i="100" s="1"/>
  <c r="AE137" i="100" a="1"/>
  <c r="AE137" i="100" s="1"/>
  <c r="AD137" i="100" a="1"/>
  <c r="AD137" i="100" s="1"/>
  <c r="AC137" i="100" a="1"/>
  <c r="AC137" i="100" s="1"/>
  <c r="AB137" i="100" a="1"/>
  <c r="AB137" i="100" s="1"/>
  <c r="AA137" i="100" a="1"/>
  <c r="AA137" i="100" s="1"/>
  <c r="Z137" i="100" a="1"/>
  <c r="Z137" i="100" s="1"/>
  <c r="Y137" i="100" a="1"/>
  <c r="Y137" i="100" s="1"/>
  <c r="X137" i="100" a="1"/>
  <c r="X137" i="100" s="1"/>
  <c r="W137" i="100" a="1"/>
  <c r="W137" i="100" s="1"/>
  <c r="V137" i="100" a="1"/>
  <c r="V137" i="100" s="1"/>
  <c r="U137" i="100" a="1"/>
  <c r="U137" i="100" s="1"/>
  <c r="T137" i="100" a="1"/>
  <c r="T137" i="100" s="1"/>
  <c r="S137" i="100" a="1"/>
  <c r="S137" i="100" s="1"/>
  <c r="R137" i="100" a="1"/>
  <c r="R137" i="100" s="1"/>
  <c r="Q137" i="100" a="1"/>
  <c r="Q137" i="100" s="1"/>
  <c r="P137" i="100" a="1"/>
  <c r="P137" i="100" s="1"/>
  <c r="O137" i="100" a="1"/>
  <c r="O137" i="100" s="1"/>
  <c r="N137" i="100" a="1"/>
  <c r="N137" i="100" s="1"/>
  <c r="M137" i="100" a="1"/>
  <c r="M137" i="100" s="1"/>
  <c r="L137" i="100" a="1"/>
  <c r="L137" i="100" s="1"/>
  <c r="K137" i="100" a="1"/>
  <c r="K137" i="100" s="1"/>
  <c r="J137" i="100" a="1"/>
  <c r="J137" i="100" s="1"/>
  <c r="I137" i="100" a="1"/>
  <c r="I137" i="100" s="1"/>
  <c r="H137" i="100" a="1"/>
  <c r="H137" i="100" s="1"/>
  <c r="G137" i="100" a="1"/>
  <c r="G137" i="100" s="1"/>
  <c r="F137" i="100" a="1"/>
  <c r="F137" i="100" s="1"/>
  <c r="E137" i="100" a="1"/>
  <c r="E137" i="100" s="1"/>
  <c r="D137" i="100" a="1"/>
  <c r="D137" i="100" s="1"/>
  <c r="AH136" i="100" a="1"/>
  <c r="AH136" i="100" s="1"/>
  <c r="AG136" i="100" a="1"/>
  <c r="AG136" i="100" s="1"/>
  <c r="AF136" i="100" a="1"/>
  <c r="AF136" i="100" s="1"/>
  <c r="AE136" i="100" a="1"/>
  <c r="AE136" i="100" s="1"/>
  <c r="AD136" i="100" a="1"/>
  <c r="AD136" i="100" s="1"/>
  <c r="AC136" i="100" a="1"/>
  <c r="AC136" i="100" s="1"/>
  <c r="AB136" i="100" a="1"/>
  <c r="AB136" i="100" s="1"/>
  <c r="AA136" i="100" a="1"/>
  <c r="AA136" i="100" s="1"/>
  <c r="Z136" i="100" a="1"/>
  <c r="Z136" i="100" s="1"/>
  <c r="Y136" i="100" a="1"/>
  <c r="Y136" i="100" s="1"/>
  <c r="X136" i="100" a="1"/>
  <c r="X136" i="100" s="1"/>
  <c r="W136" i="100" a="1"/>
  <c r="W136" i="100" s="1"/>
  <c r="V136" i="100" a="1"/>
  <c r="V136" i="100" s="1"/>
  <c r="U136" i="100" a="1"/>
  <c r="U136" i="100" s="1"/>
  <c r="T136" i="100" a="1"/>
  <c r="T136" i="100" s="1"/>
  <c r="S136" i="100" a="1"/>
  <c r="S136" i="100" s="1"/>
  <c r="R136" i="100" a="1"/>
  <c r="R136" i="100" s="1"/>
  <c r="Q136" i="100" a="1"/>
  <c r="Q136" i="100" s="1"/>
  <c r="P136" i="100" a="1"/>
  <c r="P136" i="100" s="1"/>
  <c r="O136" i="100" a="1"/>
  <c r="O136" i="100" s="1"/>
  <c r="N136" i="100" a="1"/>
  <c r="N136" i="100" s="1"/>
  <c r="M136" i="100" a="1"/>
  <c r="M136" i="100" s="1"/>
  <c r="L136" i="100" a="1"/>
  <c r="L136" i="100" s="1"/>
  <c r="K136" i="100" a="1"/>
  <c r="K136" i="100" s="1"/>
  <c r="J136" i="100" a="1"/>
  <c r="J136" i="100" s="1"/>
  <c r="I136" i="100" a="1"/>
  <c r="I136" i="100" s="1"/>
  <c r="H136" i="100" a="1"/>
  <c r="H136" i="100" s="1"/>
  <c r="G136" i="100" a="1"/>
  <c r="G136" i="100" s="1"/>
  <c r="F136" i="100" a="1"/>
  <c r="F136" i="100" s="1"/>
  <c r="E136" i="100" a="1"/>
  <c r="E136" i="100" s="1"/>
  <c r="D136" i="100" a="1"/>
  <c r="D136" i="100" s="1"/>
  <c r="AH135" i="100" a="1"/>
  <c r="AH135" i="100" s="1"/>
  <c r="AG135" i="100" a="1"/>
  <c r="AG135" i="100" s="1"/>
  <c r="AF135" i="100" a="1"/>
  <c r="AF135" i="100" s="1"/>
  <c r="AE135" i="100" a="1"/>
  <c r="AE135" i="100" s="1"/>
  <c r="AD135" i="100" a="1"/>
  <c r="AD135" i="100" s="1"/>
  <c r="AC135" i="100" a="1"/>
  <c r="AC135" i="100" s="1"/>
  <c r="AB135" i="100" a="1"/>
  <c r="AB135" i="100" s="1"/>
  <c r="AA135" i="100" a="1"/>
  <c r="AA135" i="100" s="1"/>
  <c r="Z135" i="100" a="1"/>
  <c r="Z135" i="100" s="1"/>
  <c r="Y135" i="100" a="1"/>
  <c r="Y135" i="100" s="1"/>
  <c r="X135" i="100" a="1"/>
  <c r="X135" i="100" s="1"/>
  <c r="W135" i="100" a="1"/>
  <c r="W135" i="100" s="1"/>
  <c r="V135" i="100" a="1"/>
  <c r="V135" i="100" s="1"/>
  <c r="U135" i="100" a="1"/>
  <c r="U135" i="100" s="1"/>
  <c r="T135" i="100" a="1"/>
  <c r="T135" i="100" s="1"/>
  <c r="S135" i="100" a="1"/>
  <c r="S135" i="100" s="1"/>
  <c r="R135" i="100" a="1"/>
  <c r="R135" i="100" s="1"/>
  <c r="Q135" i="100" a="1"/>
  <c r="Q135" i="100" s="1"/>
  <c r="P135" i="100" a="1"/>
  <c r="P135" i="100" s="1"/>
  <c r="O135" i="100" a="1"/>
  <c r="O135" i="100" s="1"/>
  <c r="N135" i="100" a="1"/>
  <c r="N135" i="100" s="1"/>
  <c r="M135" i="100" a="1"/>
  <c r="M135" i="100" s="1"/>
  <c r="L135" i="100" a="1"/>
  <c r="L135" i="100" s="1"/>
  <c r="K135" i="100" a="1"/>
  <c r="K135" i="100" s="1"/>
  <c r="J135" i="100" a="1"/>
  <c r="J135" i="100" s="1"/>
  <c r="I135" i="100" a="1"/>
  <c r="I135" i="100" s="1"/>
  <c r="H135" i="100" a="1"/>
  <c r="H135" i="100" s="1"/>
  <c r="G135" i="100" a="1"/>
  <c r="G135" i="100" s="1"/>
  <c r="F135" i="100" a="1"/>
  <c r="F135" i="100" s="1"/>
  <c r="E135" i="100" a="1"/>
  <c r="E135" i="100" s="1"/>
  <c r="D135" i="100" a="1"/>
  <c r="D135" i="100" s="1"/>
  <c r="AH134" i="100" a="1"/>
  <c r="AH134" i="100" s="1"/>
  <c r="AG134" i="100" a="1"/>
  <c r="AG134" i="100" s="1"/>
  <c r="AF134" i="100" a="1"/>
  <c r="AF134" i="100" s="1"/>
  <c r="AE134" i="100" a="1"/>
  <c r="AE134" i="100" s="1"/>
  <c r="AD134" i="100" a="1"/>
  <c r="AD134" i="100" s="1"/>
  <c r="AC134" i="100" a="1"/>
  <c r="AC134" i="100" s="1"/>
  <c r="AB134" i="100" a="1"/>
  <c r="AB134" i="100" s="1"/>
  <c r="AA134" i="100" a="1"/>
  <c r="AA134" i="100" s="1"/>
  <c r="Z134" i="100" a="1"/>
  <c r="Z134" i="100" s="1"/>
  <c r="Y134" i="100" a="1"/>
  <c r="Y134" i="100" s="1"/>
  <c r="X134" i="100" a="1"/>
  <c r="X134" i="100" s="1"/>
  <c r="W134" i="100" a="1"/>
  <c r="W134" i="100" s="1"/>
  <c r="V134" i="100" a="1"/>
  <c r="V134" i="100" s="1"/>
  <c r="U134" i="100" a="1"/>
  <c r="U134" i="100" s="1"/>
  <c r="T134" i="100" a="1"/>
  <c r="T134" i="100" s="1"/>
  <c r="S134" i="100" a="1"/>
  <c r="S134" i="100" s="1"/>
  <c r="R134" i="100" a="1"/>
  <c r="R134" i="100" s="1"/>
  <c r="Q134" i="100" a="1"/>
  <c r="Q134" i="100" s="1"/>
  <c r="P134" i="100" a="1"/>
  <c r="P134" i="100" s="1"/>
  <c r="O134" i="100" a="1"/>
  <c r="O134" i="100" s="1"/>
  <c r="N134" i="100" a="1"/>
  <c r="N134" i="100" s="1"/>
  <c r="M134" i="100" a="1"/>
  <c r="M134" i="100" s="1"/>
  <c r="L134" i="100" a="1"/>
  <c r="L134" i="100" s="1"/>
  <c r="K134" i="100" a="1"/>
  <c r="K134" i="100" s="1"/>
  <c r="J134" i="100" a="1"/>
  <c r="J134" i="100" s="1"/>
  <c r="I134" i="100" a="1"/>
  <c r="I134" i="100" s="1"/>
  <c r="H134" i="100" a="1"/>
  <c r="H134" i="100" s="1"/>
  <c r="G134" i="100" a="1"/>
  <c r="G134" i="100" s="1"/>
  <c r="F134" i="100" a="1"/>
  <c r="F134" i="100" s="1"/>
  <c r="E134" i="100" a="1"/>
  <c r="E134" i="100" s="1"/>
  <c r="D134" i="100" a="1"/>
  <c r="D134" i="100" s="1"/>
  <c r="AH133" i="100" a="1"/>
  <c r="AH133" i="100" s="1"/>
  <c r="AG133" i="100" a="1"/>
  <c r="AG133" i="100" s="1"/>
  <c r="AF133" i="100" a="1"/>
  <c r="AF133" i="100" s="1"/>
  <c r="AE133" i="100" a="1"/>
  <c r="AE133" i="100" s="1"/>
  <c r="AD133" i="100" a="1"/>
  <c r="AD133" i="100" s="1"/>
  <c r="AC133" i="100" a="1"/>
  <c r="AC133" i="100" s="1"/>
  <c r="AB133" i="100" a="1"/>
  <c r="AB133" i="100" s="1"/>
  <c r="AA133" i="100" a="1"/>
  <c r="AA133" i="100" s="1"/>
  <c r="Z133" i="100" a="1"/>
  <c r="Z133" i="100" s="1"/>
  <c r="Y133" i="100" a="1"/>
  <c r="Y133" i="100" s="1"/>
  <c r="X133" i="100" a="1"/>
  <c r="X133" i="100" s="1"/>
  <c r="W133" i="100" a="1"/>
  <c r="W133" i="100" s="1"/>
  <c r="V133" i="100" a="1"/>
  <c r="V133" i="100" s="1"/>
  <c r="U133" i="100" a="1"/>
  <c r="U133" i="100" s="1"/>
  <c r="T133" i="100" a="1"/>
  <c r="T133" i="100" s="1"/>
  <c r="S133" i="100" a="1"/>
  <c r="S133" i="100" s="1"/>
  <c r="R133" i="100" a="1"/>
  <c r="R133" i="100" s="1"/>
  <c r="Q133" i="100" a="1"/>
  <c r="Q133" i="100" s="1"/>
  <c r="P133" i="100" a="1"/>
  <c r="P133" i="100" s="1"/>
  <c r="O133" i="100" a="1"/>
  <c r="O133" i="100" s="1"/>
  <c r="N133" i="100" a="1"/>
  <c r="N133" i="100" s="1"/>
  <c r="M133" i="100" a="1"/>
  <c r="M133" i="100" s="1"/>
  <c r="L133" i="100" a="1"/>
  <c r="L133" i="100" s="1"/>
  <c r="K133" i="100" a="1"/>
  <c r="K133" i="100" s="1"/>
  <c r="J133" i="100" a="1"/>
  <c r="J133" i="100" s="1"/>
  <c r="I133" i="100" a="1"/>
  <c r="I133" i="100" s="1"/>
  <c r="H133" i="100" a="1"/>
  <c r="H133" i="100" s="1"/>
  <c r="G133" i="100" a="1"/>
  <c r="G133" i="100" s="1"/>
  <c r="F133" i="100" a="1"/>
  <c r="F133" i="100" s="1"/>
  <c r="E133" i="100" a="1"/>
  <c r="E133" i="100" s="1"/>
  <c r="D133" i="100" a="1"/>
  <c r="D133" i="100" s="1"/>
  <c r="AH132" i="100" a="1"/>
  <c r="AH132" i="100" s="1"/>
  <c r="AG132" i="100" a="1"/>
  <c r="AG132" i="100" s="1"/>
  <c r="AF132" i="100" a="1"/>
  <c r="AF132" i="100" s="1"/>
  <c r="AE132" i="100" a="1"/>
  <c r="AE132" i="100" s="1"/>
  <c r="AD132" i="100" a="1"/>
  <c r="AD132" i="100" s="1"/>
  <c r="AC132" i="100" a="1"/>
  <c r="AC132" i="100" s="1"/>
  <c r="AB132" i="100" a="1"/>
  <c r="AB132" i="100" s="1"/>
  <c r="AA132" i="100" a="1"/>
  <c r="AA132" i="100" s="1"/>
  <c r="Z132" i="100" a="1"/>
  <c r="Z132" i="100" s="1"/>
  <c r="Y132" i="100" a="1"/>
  <c r="Y132" i="100" s="1"/>
  <c r="X132" i="100" a="1"/>
  <c r="X132" i="100" s="1"/>
  <c r="W132" i="100" a="1"/>
  <c r="W132" i="100" s="1"/>
  <c r="V132" i="100" a="1"/>
  <c r="V132" i="100" s="1"/>
  <c r="U132" i="100" a="1"/>
  <c r="U132" i="100" s="1"/>
  <c r="T132" i="100" a="1"/>
  <c r="T132" i="100" s="1"/>
  <c r="S132" i="100" a="1"/>
  <c r="S132" i="100" s="1"/>
  <c r="R132" i="100" a="1"/>
  <c r="R132" i="100" s="1"/>
  <c r="Q132" i="100" a="1"/>
  <c r="Q132" i="100" s="1"/>
  <c r="P132" i="100" a="1"/>
  <c r="P132" i="100" s="1"/>
  <c r="O132" i="100" a="1"/>
  <c r="O132" i="100" s="1"/>
  <c r="N132" i="100" a="1"/>
  <c r="N132" i="100" s="1"/>
  <c r="M132" i="100" a="1"/>
  <c r="M132" i="100" s="1"/>
  <c r="L132" i="100" a="1"/>
  <c r="L132" i="100" s="1"/>
  <c r="K132" i="100" a="1"/>
  <c r="K132" i="100" s="1"/>
  <c r="J132" i="100" a="1"/>
  <c r="J132" i="100" s="1"/>
  <c r="I132" i="100" a="1"/>
  <c r="I132" i="100" s="1"/>
  <c r="H132" i="100" a="1"/>
  <c r="H132" i="100" s="1"/>
  <c r="G132" i="100" a="1"/>
  <c r="G132" i="100" s="1"/>
  <c r="F132" i="100" a="1"/>
  <c r="F132" i="100" s="1"/>
  <c r="E132" i="100" a="1"/>
  <c r="E132" i="100" s="1"/>
  <c r="D132" i="100" a="1"/>
  <c r="D132" i="100" s="1"/>
  <c r="AH131" i="100" a="1"/>
  <c r="AH131" i="100" s="1"/>
  <c r="AG131" i="100" a="1"/>
  <c r="AG131" i="100" s="1"/>
  <c r="AF131" i="100" a="1"/>
  <c r="AF131" i="100" s="1"/>
  <c r="AE131" i="100" a="1"/>
  <c r="AE131" i="100" s="1"/>
  <c r="AD131" i="100" a="1"/>
  <c r="AD131" i="100" s="1"/>
  <c r="AC131" i="100" a="1"/>
  <c r="AC131" i="100" s="1"/>
  <c r="AB131" i="100" a="1"/>
  <c r="AB131" i="100" s="1"/>
  <c r="AA131" i="100" a="1"/>
  <c r="AA131" i="100" s="1"/>
  <c r="Z131" i="100" a="1"/>
  <c r="Z131" i="100" s="1"/>
  <c r="Y131" i="100" a="1"/>
  <c r="Y131" i="100" s="1"/>
  <c r="X131" i="100" a="1"/>
  <c r="X131" i="100" s="1"/>
  <c r="W131" i="100" a="1"/>
  <c r="W131" i="100" s="1"/>
  <c r="V131" i="100" a="1"/>
  <c r="V131" i="100" s="1"/>
  <c r="U131" i="100" a="1"/>
  <c r="U131" i="100" s="1"/>
  <c r="T131" i="100" a="1"/>
  <c r="T131" i="100" s="1"/>
  <c r="S131" i="100" a="1"/>
  <c r="S131" i="100" s="1"/>
  <c r="R131" i="100" a="1"/>
  <c r="R131" i="100" s="1"/>
  <c r="Q131" i="100" a="1"/>
  <c r="Q131" i="100" s="1"/>
  <c r="P131" i="100" a="1"/>
  <c r="P131" i="100" s="1"/>
  <c r="O131" i="100" a="1"/>
  <c r="O131" i="100" s="1"/>
  <c r="N131" i="100" a="1"/>
  <c r="N131" i="100" s="1"/>
  <c r="M131" i="100" a="1"/>
  <c r="M131" i="100" s="1"/>
  <c r="L131" i="100" a="1"/>
  <c r="L131" i="100" s="1"/>
  <c r="K131" i="100" a="1"/>
  <c r="K131" i="100" s="1"/>
  <c r="J131" i="100" a="1"/>
  <c r="J131" i="100" s="1"/>
  <c r="I131" i="100" a="1"/>
  <c r="I131" i="100" s="1"/>
  <c r="H131" i="100" a="1"/>
  <c r="H131" i="100" s="1"/>
  <c r="G131" i="100" a="1"/>
  <c r="G131" i="100" s="1"/>
  <c r="F131" i="100" a="1"/>
  <c r="F131" i="100" s="1"/>
  <c r="E131" i="100" a="1"/>
  <c r="E131" i="100" s="1"/>
  <c r="D131" i="100" a="1"/>
  <c r="D131" i="100" s="1"/>
  <c r="AH130" i="100" a="1"/>
  <c r="AH130" i="100" s="1"/>
  <c r="AG130" i="100" a="1"/>
  <c r="AG130" i="100" s="1"/>
  <c r="AF130" i="100" a="1"/>
  <c r="AF130" i="100" s="1"/>
  <c r="AE130" i="100" a="1"/>
  <c r="AE130" i="100" s="1"/>
  <c r="AD130" i="100" a="1"/>
  <c r="AD130" i="100" s="1"/>
  <c r="AC130" i="100" a="1"/>
  <c r="AC130" i="100" s="1"/>
  <c r="AB130" i="100" a="1"/>
  <c r="AB130" i="100" s="1"/>
  <c r="AA130" i="100" a="1"/>
  <c r="AA130" i="100" s="1"/>
  <c r="Z130" i="100" a="1"/>
  <c r="Z130" i="100" s="1"/>
  <c r="Y130" i="100" a="1"/>
  <c r="Y130" i="100" s="1"/>
  <c r="X130" i="100" a="1"/>
  <c r="X130" i="100" s="1"/>
  <c r="W130" i="100" a="1"/>
  <c r="W130" i="100" s="1"/>
  <c r="V130" i="100" a="1"/>
  <c r="V130" i="100" s="1"/>
  <c r="U130" i="100" a="1"/>
  <c r="U130" i="100" s="1"/>
  <c r="T130" i="100" a="1"/>
  <c r="T130" i="100" s="1"/>
  <c r="S130" i="100" a="1"/>
  <c r="S130" i="100" s="1"/>
  <c r="R130" i="100" a="1"/>
  <c r="R130" i="100" s="1"/>
  <c r="Q130" i="100" a="1"/>
  <c r="Q130" i="100" s="1"/>
  <c r="P130" i="100" a="1"/>
  <c r="P130" i="100" s="1"/>
  <c r="O130" i="100" a="1"/>
  <c r="O130" i="100" s="1"/>
  <c r="N130" i="100" a="1"/>
  <c r="N130" i="100" s="1"/>
  <c r="M130" i="100" a="1"/>
  <c r="M130" i="100" s="1"/>
  <c r="L130" i="100" a="1"/>
  <c r="L130" i="100" s="1"/>
  <c r="K130" i="100" a="1"/>
  <c r="K130" i="100" s="1"/>
  <c r="J130" i="100" a="1"/>
  <c r="J130" i="100" s="1"/>
  <c r="I130" i="100" a="1"/>
  <c r="I130" i="100" s="1"/>
  <c r="H130" i="100" a="1"/>
  <c r="H130" i="100" s="1"/>
  <c r="G130" i="100" a="1"/>
  <c r="G130" i="100" s="1"/>
  <c r="F130" i="100" a="1"/>
  <c r="F130" i="100" s="1"/>
  <c r="E130" i="100" a="1"/>
  <c r="E130" i="100" s="1"/>
  <c r="D130" i="100" a="1"/>
  <c r="D130" i="100" s="1"/>
  <c r="AH129" i="100" a="1"/>
  <c r="AH129" i="100" s="1"/>
  <c r="AG129" i="100" a="1"/>
  <c r="AG129" i="100" s="1"/>
  <c r="AF129" i="100" a="1"/>
  <c r="AF129" i="100" s="1"/>
  <c r="AE129" i="100" a="1"/>
  <c r="AE129" i="100" s="1"/>
  <c r="AD129" i="100" a="1"/>
  <c r="AD129" i="100" s="1"/>
  <c r="AC129" i="100" a="1"/>
  <c r="AC129" i="100" s="1"/>
  <c r="AB129" i="100" a="1"/>
  <c r="AB129" i="100" s="1"/>
  <c r="AA129" i="100" a="1"/>
  <c r="AA129" i="100" s="1"/>
  <c r="Z129" i="100" a="1"/>
  <c r="Z129" i="100" s="1"/>
  <c r="Y129" i="100" a="1"/>
  <c r="Y129" i="100" s="1"/>
  <c r="X129" i="100" a="1"/>
  <c r="X129" i="100" s="1"/>
  <c r="W129" i="100" a="1"/>
  <c r="W129" i="100" s="1"/>
  <c r="V129" i="100" a="1"/>
  <c r="V129" i="100" s="1"/>
  <c r="U129" i="100" a="1"/>
  <c r="U129" i="100" s="1"/>
  <c r="T129" i="100" a="1"/>
  <c r="T129" i="100" s="1"/>
  <c r="S129" i="100" a="1"/>
  <c r="S129" i="100" s="1"/>
  <c r="R129" i="100" a="1"/>
  <c r="R129" i="100" s="1"/>
  <c r="Q129" i="100" a="1"/>
  <c r="Q129" i="100" s="1"/>
  <c r="P129" i="100" a="1"/>
  <c r="P129" i="100" s="1"/>
  <c r="O129" i="100" a="1"/>
  <c r="O129" i="100" s="1"/>
  <c r="N129" i="100" a="1"/>
  <c r="N129" i="100" s="1"/>
  <c r="M129" i="100" a="1"/>
  <c r="M129" i="100" s="1"/>
  <c r="L129" i="100" a="1"/>
  <c r="L129" i="100" s="1"/>
  <c r="K129" i="100" a="1"/>
  <c r="K129" i="100" s="1"/>
  <c r="J129" i="100" a="1"/>
  <c r="J129" i="100" s="1"/>
  <c r="I129" i="100" a="1"/>
  <c r="I129" i="100" s="1"/>
  <c r="H129" i="100" a="1"/>
  <c r="H129" i="100" s="1"/>
  <c r="G129" i="100" a="1"/>
  <c r="G129" i="100" s="1"/>
  <c r="F129" i="100" a="1"/>
  <c r="F129" i="100" s="1"/>
  <c r="E129" i="100" a="1"/>
  <c r="E129" i="100" s="1"/>
  <c r="D129" i="100" a="1"/>
  <c r="D129" i="100" s="1"/>
  <c r="AH128" i="100" a="1"/>
  <c r="AH128" i="100" s="1"/>
  <c r="AG128" i="100" a="1"/>
  <c r="AG128" i="100" s="1"/>
  <c r="AF128" i="100" a="1"/>
  <c r="AF128" i="100" s="1"/>
  <c r="AE128" i="100" a="1"/>
  <c r="AE128" i="100" s="1"/>
  <c r="AD128" i="100" a="1"/>
  <c r="AD128" i="100" s="1"/>
  <c r="AC128" i="100" a="1"/>
  <c r="AC128" i="100" s="1"/>
  <c r="AB128" i="100" a="1"/>
  <c r="AB128" i="100" s="1"/>
  <c r="AA128" i="100" a="1"/>
  <c r="AA128" i="100" s="1"/>
  <c r="Z128" i="100" a="1"/>
  <c r="Z128" i="100" s="1"/>
  <c r="Y128" i="100" a="1"/>
  <c r="Y128" i="100" s="1"/>
  <c r="X128" i="100" a="1"/>
  <c r="X128" i="100" s="1"/>
  <c r="W128" i="100" a="1"/>
  <c r="W128" i="100" s="1"/>
  <c r="V128" i="100" a="1"/>
  <c r="V128" i="100" s="1"/>
  <c r="U128" i="100" a="1"/>
  <c r="U128" i="100" s="1"/>
  <c r="T128" i="100" a="1"/>
  <c r="T128" i="100" s="1"/>
  <c r="S128" i="100" a="1"/>
  <c r="S128" i="100" s="1"/>
  <c r="R128" i="100" a="1"/>
  <c r="R128" i="100" s="1"/>
  <c r="Q128" i="100" a="1"/>
  <c r="Q128" i="100" s="1"/>
  <c r="P128" i="100" a="1"/>
  <c r="P128" i="100" s="1"/>
  <c r="O128" i="100" a="1"/>
  <c r="O128" i="100" s="1"/>
  <c r="N128" i="100" a="1"/>
  <c r="N128" i="100" s="1"/>
  <c r="M128" i="100" a="1"/>
  <c r="M128" i="100" s="1"/>
  <c r="L128" i="100" a="1"/>
  <c r="L128" i="100" s="1"/>
  <c r="K128" i="100" a="1"/>
  <c r="K128" i="100" s="1"/>
  <c r="J128" i="100" a="1"/>
  <c r="J128" i="100" s="1"/>
  <c r="I128" i="100" a="1"/>
  <c r="I128" i="100" s="1"/>
  <c r="H128" i="100" a="1"/>
  <c r="H128" i="100" s="1"/>
  <c r="G128" i="100" a="1"/>
  <c r="G128" i="100" s="1"/>
  <c r="F128" i="100" a="1"/>
  <c r="F128" i="100" s="1"/>
  <c r="E128" i="100" a="1"/>
  <c r="E128" i="100" s="1"/>
  <c r="D128" i="100" a="1"/>
  <c r="D128" i="100" s="1"/>
  <c r="AH127" i="100" a="1"/>
  <c r="AH127" i="100" s="1"/>
  <c r="AG127" i="100" a="1"/>
  <c r="AG127" i="100" s="1"/>
  <c r="AF127" i="100" a="1"/>
  <c r="AF127" i="100" s="1"/>
  <c r="AE127" i="100" a="1"/>
  <c r="AE127" i="100" s="1"/>
  <c r="AD127" i="100" a="1"/>
  <c r="AD127" i="100" s="1"/>
  <c r="AC127" i="100" a="1"/>
  <c r="AC127" i="100" s="1"/>
  <c r="AB127" i="100" a="1"/>
  <c r="AB127" i="100" s="1"/>
  <c r="AA127" i="100" a="1"/>
  <c r="AA127" i="100" s="1"/>
  <c r="Z127" i="100" a="1"/>
  <c r="Z127" i="100" s="1"/>
  <c r="Y127" i="100" a="1"/>
  <c r="Y127" i="100" s="1"/>
  <c r="X127" i="100" a="1"/>
  <c r="X127" i="100" s="1"/>
  <c r="W127" i="100" a="1"/>
  <c r="W127" i="100" s="1"/>
  <c r="V127" i="100" a="1"/>
  <c r="V127" i="100" s="1"/>
  <c r="U127" i="100" a="1"/>
  <c r="U127" i="100" s="1"/>
  <c r="T127" i="100" a="1"/>
  <c r="T127" i="100" s="1"/>
  <c r="S127" i="100" a="1"/>
  <c r="S127" i="100" s="1"/>
  <c r="R127" i="100" a="1"/>
  <c r="R127" i="100" s="1"/>
  <c r="Q127" i="100" a="1"/>
  <c r="Q127" i="100" s="1"/>
  <c r="P127" i="100" a="1"/>
  <c r="P127" i="100" s="1"/>
  <c r="O127" i="100" a="1"/>
  <c r="O127" i="100" s="1"/>
  <c r="N127" i="100" a="1"/>
  <c r="N127" i="100" s="1"/>
  <c r="M127" i="100" a="1"/>
  <c r="M127" i="100" s="1"/>
  <c r="L127" i="100" a="1"/>
  <c r="L127" i="100" s="1"/>
  <c r="K127" i="100" a="1"/>
  <c r="K127" i="100" s="1"/>
  <c r="J127" i="100" a="1"/>
  <c r="J127" i="100" s="1"/>
  <c r="I127" i="100" a="1"/>
  <c r="I127" i="100" s="1"/>
  <c r="H127" i="100" a="1"/>
  <c r="H127" i="100" s="1"/>
  <c r="G127" i="100" a="1"/>
  <c r="G127" i="100" s="1"/>
  <c r="F127" i="100" a="1"/>
  <c r="F127" i="100" s="1"/>
  <c r="E127" i="100" a="1"/>
  <c r="E127" i="100" s="1"/>
  <c r="D127" i="100" a="1"/>
  <c r="D127" i="100" s="1"/>
  <c r="AH126" i="100" a="1"/>
  <c r="AH126" i="100" s="1"/>
  <c r="AG126" i="100" a="1"/>
  <c r="AG126" i="100" s="1"/>
  <c r="AF126" i="100" a="1"/>
  <c r="AF126" i="100" s="1"/>
  <c r="AE126" i="100" a="1"/>
  <c r="AE126" i="100" s="1"/>
  <c r="AD126" i="100" a="1"/>
  <c r="AD126" i="100" s="1"/>
  <c r="AC126" i="100" a="1"/>
  <c r="AC126" i="100" s="1"/>
  <c r="AB126" i="100" a="1"/>
  <c r="AB126" i="100" s="1"/>
  <c r="AA126" i="100" a="1"/>
  <c r="AA126" i="100" s="1"/>
  <c r="Z126" i="100" a="1"/>
  <c r="Z126" i="100" s="1"/>
  <c r="Y126" i="100" a="1"/>
  <c r="Y126" i="100" s="1"/>
  <c r="X126" i="100" a="1"/>
  <c r="X126" i="100" s="1"/>
  <c r="W126" i="100" a="1"/>
  <c r="W126" i="100" s="1"/>
  <c r="V126" i="100" a="1"/>
  <c r="V126" i="100" s="1"/>
  <c r="U126" i="100" a="1"/>
  <c r="U126" i="100" s="1"/>
  <c r="T126" i="100" a="1"/>
  <c r="T126" i="100" s="1"/>
  <c r="S126" i="100" a="1"/>
  <c r="S126" i="100" s="1"/>
  <c r="R126" i="100" a="1"/>
  <c r="R126" i="100" s="1"/>
  <c r="Q126" i="100" a="1"/>
  <c r="Q126" i="100" s="1"/>
  <c r="P126" i="100" a="1"/>
  <c r="P126" i="100" s="1"/>
  <c r="O126" i="100" a="1"/>
  <c r="O126" i="100" s="1"/>
  <c r="N126" i="100" a="1"/>
  <c r="N126" i="100" s="1"/>
  <c r="M126" i="100" a="1"/>
  <c r="M126" i="100" s="1"/>
  <c r="L126" i="100" a="1"/>
  <c r="L126" i="100" s="1"/>
  <c r="K126" i="100" a="1"/>
  <c r="K126" i="100" s="1"/>
  <c r="J126" i="100" a="1"/>
  <c r="J126" i="100" s="1"/>
  <c r="I126" i="100" a="1"/>
  <c r="I126" i="100" s="1"/>
  <c r="H126" i="100" a="1"/>
  <c r="H126" i="100" s="1"/>
  <c r="G126" i="100" a="1"/>
  <c r="G126" i="100" s="1"/>
  <c r="F126" i="100" a="1"/>
  <c r="F126" i="100" s="1"/>
  <c r="E126" i="100" a="1"/>
  <c r="E126" i="100" s="1"/>
  <c r="D126" i="100" a="1"/>
  <c r="D126" i="100" s="1"/>
  <c r="AH125" i="100" a="1"/>
  <c r="AH125" i="100" s="1"/>
  <c r="AG125" i="100" a="1"/>
  <c r="AG125" i="100" s="1"/>
  <c r="AF125" i="100" a="1"/>
  <c r="AF125" i="100" s="1"/>
  <c r="AE125" i="100" a="1"/>
  <c r="AE125" i="100" s="1"/>
  <c r="AD125" i="100" a="1"/>
  <c r="AD125" i="100" s="1"/>
  <c r="AC125" i="100" a="1"/>
  <c r="AC125" i="100" s="1"/>
  <c r="AB125" i="100" a="1"/>
  <c r="AB125" i="100" s="1"/>
  <c r="AA125" i="100" a="1"/>
  <c r="AA125" i="100" s="1"/>
  <c r="Z125" i="100" a="1"/>
  <c r="Z125" i="100" s="1"/>
  <c r="Y125" i="100" a="1"/>
  <c r="Y125" i="100" s="1"/>
  <c r="X125" i="100" a="1"/>
  <c r="X125" i="100" s="1"/>
  <c r="W125" i="100" a="1"/>
  <c r="W125" i="100" s="1"/>
  <c r="V125" i="100" a="1"/>
  <c r="V125" i="100" s="1"/>
  <c r="U125" i="100" a="1"/>
  <c r="U125" i="100" s="1"/>
  <c r="T125" i="100" a="1"/>
  <c r="T125" i="100" s="1"/>
  <c r="S125" i="100" a="1"/>
  <c r="S125" i="100" s="1"/>
  <c r="R125" i="100" a="1"/>
  <c r="R125" i="100" s="1"/>
  <c r="Q125" i="100" a="1"/>
  <c r="Q125" i="100" s="1"/>
  <c r="P125" i="100" a="1"/>
  <c r="P125" i="100" s="1"/>
  <c r="O125" i="100" a="1"/>
  <c r="O125" i="100" s="1"/>
  <c r="N125" i="100" a="1"/>
  <c r="N125" i="100" s="1"/>
  <c r="M125" i="100" a="1"/>
  <c r="M125" i="100" s="1"/>
  <c r="L125" i="100" a="1"/>
  <c r="L125" i="100" s="1"/>
  <c r="K125" i="100" a="1"/>
  <c r="K125" i="100" s="1"/>
  <c r="J125" i="100" a="1"/>
  <c r="J125" i="100" s="1"/>
  <c r="I125" i="100" a="1"/>
  <c r="I125" i="100" s="1"/>
  <c r="H125" i="100" a="1"/>
  <c r="H125" i="100" s="1"/>
  <c r="G125" i="100" a="1"/>
  <c r="G125" i="100" s="1"/>
  <c r="F125" i="100" a="1"/>
  <c r="F125" i="100" s="1"/>
  <c r="E125" i="100" a="1"/>
  <c r="E125" i="100" s="1"/>
  <c r="D125" i="100" a="1"/>
  <c r="D125" i="100" s="1"/>
  <c r="AH124" i="100" a="1"/>
  <c r="AH124" i="100" s="1"/>
  <c r="AG124" i="100" a="1"/>
  <c r="AG124" i="100" s="1"/>
  <c r="AF124" i="100" a="1"/>
  <c r="AF124" i="100" s="1"/>
  <c r="AE124" i="100" a="1"/>
  <c r="AE124" i="100" s="1"/>
  <c r="AD124" i="100" a="1"/>
  <c r="AD124" i="100" s="1"/>
  <c r="AC124" i="100" a="1"/>
  <c r="AC124" i="100" s="1"/>
  <c r="AB124" i="100" a="1"/>
  <c r="AB124" i="100" s="1"/>
  <c r="AA124" i="100" a="1"/>
  <c r="AA124" i="100" s="1"/>
  <c r="Z124" i="100" a="1"/>
  <c r="Z124" i="100" s="1"/>
  <c r="Y124" i="100" a="1"/>
  <c r="Y124" i="100" s="1"/>
  <c r="X124" i="100" a="1"/>
  <c r="X124" i="100" s="1"/>
  <c r="W124" i="100" a="1"/>
  <c r="W124" i="100" s="1"/>
  <c r="V124" i="100" a="1"/>
  <c r="V124" i="100" s="1"/>
  <c r="U124" i="100" a="1"/>
  <c r="U124" i="100" s="1"/>
  <c r="T124" i="100" a="1"/>
  <c r="T124" i="100" s="1"/>
  <c r="S124" i="100" a="1"/>
  <c r="S124" i="100" s="1"/>
  <c r="R124" i="100" a="1"/>
  <c r="R124" i="100" s="1"/>
  <c r="Q124" i="100" a="1"/>
  <c r="Q124" i="100" s="1"/>
  <c r="P124" i="100" a="1"/>
  <c r="P124" i="100" s="1"/>
  <c r="O124" i="100" a="1"/>
  <c r="O124" i="100" s="1"/>
  <c r="N124" i="100" a="1"/>
  <c r="N124" i="100" s="1"/>
  <c r="M124" i="100" a="1"/>
  <c r="M124" i="100" s="1"/>
  <c r="L124" i="100" a="1"/>
  <c r="L124" i="100" s="1"/>
  <c r="K124" i="100" a="1"/>
  <c r="K124" i="100" s="1"/>
  <c r="J124" i="100" a="1"/>
  <c r="J124" i="100" s="1"/>
  <c r="I124" i="100" a="1"/>
  <c r="I124" i="100" s="1"/>
  <c r="H124" i="100" a="1"/>
  <c r="H124" i="100" s="1"/>
  <c r="G124" i="100" a="1"/>
  <c r="G124" i="100" s="1"/>
  <c r="F124" i="100" a="1"/>
  <c r="F124" i="100" s="1"/>
  <c r="E124" i="100" a="1"/>
  <c r="E124" i="100" s="1"/>
  <c r="D124" i="100" a="1"/>
  <c r="D124" i="100" s="1"/>
  <c r="AH123" i="100" a="1"/>
  <c r="AH123" i="100" s="1"/>
  <c r="AG123" i="100" a="1"/>
  <c r="AG123" i="100" s="1"/>
  <c r="AF123" i="100" a="1"/>
  <c r="AF123" i="100" s="1"/>
  <c r="AE123" i="100" a="1"/>
  <c r="AE123" i="100" s="1"/>
  <c r="AD123" i="100" a="1"/>
  <c r="AD123" i="100" s="1"/>
  <c r="AC123" i="100" a="1"/>
  <c r="AC123" i="100" s="1"/>
  <c r="AB123" i="100" a="1"/>
  <c r="AB123" i="100" s="1"/>
  <c r="AA123" i="100" a="1"/>
  <c r="AA123" i="100" s="1"/>
  <c r="Z123" i="100" a="1"/>
  <c r="Z123" i="100" s="1"/>
  <c r="Y123" i="100" a="1"/>
  <c r="Y123" i="100" s="1"/>
  <c r="X123" i="100" a="1"/>
  <c r="X123" i="100" s="1"/>
  <c r="W123" i="100" a="1"/>
  <c r="W123" i="100" s="1"/>
  <c r="V123" i="100" a="1"/>
  <c r="V123" i="100" s="1"/>
  <c r="U123" i="100" a="1"/>
  <c r="U123" i="100" s="1"/>
  <c r="T123" i="100" a="1"/>
  <c r="T123" i="100" s="1"/>
  <c r="S123" i="100" a="1"/>
  <c r="S123" i="100" s="1"/>
  <c r="R123" i="100" a="1"/>
  <c r="R123" i="100" s="1"/>
  <c r="Q123" i="100" a="1"/>
  <c r="Q123" i="100" s="1"/>
  <c r="P123" i="100" a="1"/>
  <c r="P123" i="100" s="1"/>
  <c r="O123" i="100" a="1"/>
  <c r="O123" i="100" s="1"/>
  <c r="N123" i="100" a="1"/>
  <c r="N123" i="100" s="1"/>
  <c r="M123" i="100" a="1"/>
  <c r="M123" i="100" s="1"/>
  <c r="L123" i="100" a="1"/>
  <c r="L123" i="100" s="1"/>
  <c r="K123" i="100" a="1"/>
  <c r="K123" i="100" s="1"/>
  <c r="J123" i="100" a="1"/>
  <c r="J123" i="100" s="1"/>
  <c r="I123" i="100" a="1"/>
  <c r="I123" i="100" s="1"/>
  <c r="H123" i="100" a="1"/>
  <c r="H123" i="100" s="1"/>
  <c r="G123" i="100" a="1"/>
  <c r="G123" i="100" s="1"/>
  <c r="F123" i="100" a="1"/>
  <c r="F123" i="100" s="1"/>
  <c r="E123" i="100" a="1"/>
  <c r="E123" i="100" s="1"/>
  <c r="D123" i="100" a="1"/>
  <c r="D123" i="100" s="1"/>
  <c r="AH122" i="100" a="1"/>
  <c r="AH122" i="100" s="1"/>
  <c r="AG122" i="100" a="1"/>
  <c r="AG122" i="100" s="1"/>
  <c r="AF122" i="100" a="1"/>
  <c r="AF122" i="100" s="1"/>
  <c r="AE122" i="100" a="1"/>
  <c r="AE122" i="100" s="1"/>
  <c r="AD122" i="100" a="1"/>
  <c r="AD122" i="100" s="1"/>
  <c r="AC122" i="100" a="1"/>
  <c r="AC122" i="100" s="1"/>
  <c r="AB122" i="100" a="1"/>
  <c r="AB122" i="100" s="1"/>
  <c r="AA122" i="100" a="1"/>
  <c r="AA122" i="100" s="1"/>
  <c r="Z122" i="100" a="1"/>
  <c r="Z122" i="100" s="1"/>
  <c r="Y122" i="100" a="1"/>
  <c r="Y122" i="100" s="1"/>
  <c r="X122" i="100" a="1"/>
  <c r="X122" i="100" s="1"/>
  <c r="W122" i="100" a="1"/>
  <c r="W122" i="100" s="1"/>
  <c r="V122" i="100" a="1"/>
  <c r="V122" i="100" s="1"/>
  <c r="U122" i="100" a="1"/>
  <c r="U122" i="100" s="1"/>
  <c r="T122" i="100" a="1"/>
  <c r="T122" i="100" s="1"/>
  <c r="S122" i="100" a="1"/>
  <c r="S122" i="100" s="1"/>
  <c r="R122" i="100" a="1"/>
  <c r="R122" i="100" s="1"/>
  <c r="Q122" i="100" a="1"/>
  <c r="Q122" i="100" s="1"/>
  <c r="P122" i="100" a="1"/>
  <c r="P122" i="100" s="1"/>
  <c r="O122" i="100" a="1"/>
  <c r="O122" i="100" s="1"/>
  <c r="N122" i="100" a="1"/>
  <c r="N122" i="100" s="1"/>
  <c r="M122" i="100" a="1"/>
  <c r="M122" i="100" s="1"/>
  <c r="L122" i="100" a="1"/>
  <c r="L122" i="100" s="1"/>
  <c r="K122" i="100" a="1"/>
  <c r="K122" i="100" s="1"/>
  <c r="J122" i="100" a="1"/>
  <c r="J122" i="100" s="1"/>
  <c r="I122" i="100" a="1"/>
  <c r="I122" i="100" s="1"/>
  <c r="H122" i="100" a="1"/>
  <c r="H122" i="100" s="1"/>
  <c r="G122" i="100" a="1"/>
  <c r="G122" i="100" s="1"/>
  <c r="F122" i="100" a="1"/>
  <c r="F122" i="100" s="1"/>
  <c r="E122" i="100" a="1"/>
  <c r="E122" i="100" s="1"/>
  <c r="D122" i="100" a="1"/>
  <c r="D122" i="100" s="1"/>
  <c r="AH121" i="100" a="1"/>
  <c r="AH121" i="100" s="1"/>
  <c r="AG121" i="100" a="1"/>
  <c r="AG121" i="100" s="1"/>
  <c r="AF121" i="100" a="1"/>
  <c r="AF121" i="100" s="1"/>
  <c r="AE121" i="100" a="1"/>
  <c r="AE121" i="100" s="1"/>
  <c r="AD121" i="100" a="1"/>
  <c r="AD121" i="100" s="1"/>
  <c r="AC121" i="100" a="1"/>
  <c r="AC121" i="100" s="1"/>
  <c r="AB121" i="100" a="1"/>
  <c r="AB121" i="100" s="1"/>
  <c r="AA121" i="100" a="1"/>
  <c r="AA121" i="100" s="1"/>
  <c r="Z121" i="100" a="1"/>
  <c r="Z121" i="100" s="1"/>
  <c r="Y121" i="100" a="1"/>
  <c r="Y121" i="100" s="1"/>
  <c r="X121" i="100" a="1"/>
  <c r="X121" i="100" s="1"/>
  <c r="W121" i="100" a="1"/>
  <c r="W121" i="100" s="1"/>
  <c r="V121" i="100" a="1"/>
  <c r="V121" i="100" s="1"/>
  <c r="U121" i="100" a="1"/>
  <c r="U121" i="100" s="1"/>
  <c r="T121" i="100" a="1"/>
  <c r="T121" i="100" s="1"/>
  <c r="S121" i="100" a="1"/>
  <c r="S121" i="100" s="1"/>
  <c r="R121" i="100" a="1"/>
  <c r="R121" i="100" s="1"/>
  <c r="Q121" i="100" a="1"/>
  <c r="Q121" i="100" s="1"/>
  <c r="P121" i="100" a="1"/>
  <c r="P121" i="100" s="1"/>
  <c r="O121" i="100" a="1"/>
  <c r="O121" i="100" s="1"/>
  <c r="N121" i="100" a="1"/>
  <c r="N121" i="100" s="1"/>
  <c r="M121" i="100" a="1"/>
  <c r="M121" i="100" s="1"/>
  <c r="L121" i="100" a="1"/>
  <c r="L121" i="100" s="1"/>
  <c r="K121" i="100" a="1"/>
  <c r="K121" i="100" s="1"/>
  <c r="J121" i="100" a="1"/>
  <c r="J121" i="100" s="1"/>
  <c r="I121" i="100" a="1"/>
  <c r="I121" i="100" s="1"/>
  <c r="H121" i="100" a="1"/>
  <c r="H121" i="100" s="1"/>
  <c r="G121" i="100" a="1"/>
  <c r="G121" i="100" s="1"/>
  <c r="F121" i="100" a="1"/>
  <c r="F121" i="100" s="1"/>
  <c r="E121" i="100" a="1"/>
  <c r="E121" i="100" s="1"/>
  <c r="D121" i="100" a="1"/>
  <c r="D121" i="100" s="1"/>
  <c r="AH120" i="100" a="1"/>
  <c r="AH120" i="100" s="1"/>
  <c r="AG120" i="100" a="1"/>
  <c r="AG120" i="100" s="1"/>
  <c r="AF120" i="100" a="1"/>
  <c r="AF120" i="100" s="1"/>
  <c r="AE120" i="100" a="1"/>
  <c r="AE120" i="100" s="1"/>
  <c r="AD120" i="100" a="1"/>
  <c r="AD120" i="100" s="1"/>
  <c r="AC120" i="100" a="1"/>
  <c r="AC120" i="100" s="1"/>
  <c r="AB120" i="100" a="1"/>
  <c r="AB120" i="100" s="1"/>
  <c r="AA120" i="100" a="1"/>
  <c r="AA120" i="100" s="1"/>
  <c r="Z120" i="100" a="1"/>
  <c r="Z120" i="100" s="1"/>
  <c r="Y120" i="100" a="1"/>
  <c r="Y120" i="100" s="1"/>
  <c r="X120" i="100" a="1"/>
  <c r="X120" i="100" s="1"/>
  <c r="W120" i="100" a="1"/>
  <c r="W120" i="100" s="1"/>
  <c r="V120" i="100" a="1"/>
  <c r="V120" i="100" s="1"/>
  <c r="U120" i="100" a="1"/>
  <c r="U120" i="100" s="1"/>
  <c r="T120" i="100" a="1"/>
  <c r="T120" i="100" s="1"/>
  <c r="S120" i="100" a="1"/>
  <c r="S120" i="100" s="1"/>
  <c r="R120" i="100" a="1"/>
  <c r="R120" i="100" s="1"/>
  <c r="Q120" i="100" a="1"/>
  <c r="Q120" i="100" s="1"/>
  <c r="P120" i="100" a="1"/>
  <c r="P120" i="100" s="1"/>
  <c r="O120" i="100" a="1"/>
  <c r="O120" i="100" s="1"/>
  <c r="N120" i="100" a="1"/>
  <c r="N120" i="100" s="1"/>
  <c r="M120" i="100" a="1"/>
  <c r="M120" i="100" s="1"/>
  <c r="L120" i="100" a="1"/>
  <c r="L120" i="100" s="1"/>
  <c r="K120" i="100" a="1"/>
  <c r="K120" i="100" s="1"/>
  <c r="J120" i="100" a="1"/>
  <c r="J120" i="100" s="1"/>
  <c r="I120" i="100" a="1"/>
  <c r="I120" i="100" s="1"/>
  <c r="H120" i="100" a="1"/>
  <c r="H120" i="100" s="1"/>
  <c r="G120" i="100" a="1"/>
  <c r="G120" i="100" s="1"/>
  <c r="F120" i="100" a="1"/>
  <c r="F120" i="100" s="1"/>
  <c r="E120" i="100" a="1"/>
  <c r="E120" i="100" s="1"/>
  <c r="D120" i="100" a="1"/>
  <c r="D120" i="100" s="1"/>
  <c r="AH119" i="100" a="1"/>
  <c r="AH119" i="100" s="1"/>
  <c r="AG119" i="100" a="1"/>
  <c r="AG119" i="100" s="1"/>
  <c r="AF119" i="100" a="1"/>
  <c r="AF119" i="100" s="1"/>
  <c r="AE119" i="100" a="1"/>
  <c r="AE119" i="100" s="1"/>
  <c r="AD119" i="100" a="1"/>
  <c r="AD119" i="100" s="1"/>
  <c r="AC119" i="100" a="1"/>
  <c r="AC119" i="100" s="1"/>
  <c r="AB119" i="100" a="1"/>
  <c r="AB119" i="100" s="1"/>
  <c r="AA119" i="100" a="1"/>
  <c r="AA119" i="100" s="1"/>
  <c r="Z119" i="100" a="1"/>
  <c r="Z119" i="100" s="1"/>
  <c r="Y119" i="100" a="1"/>
  <c r="Y119" i="100" s="1"/>
  <c r="X119" i="100" a="1"/>
  <c r="X119" i="100" s="1"/>
  <c r="W119" i="100" a="1"/>
  <c r="W119" i="100" s="1"/>
  <c r="V119" i="100" a="1"/>
  <c r="V119" i="100" s="1"/>
  <c r="U119" i="100" a="1"/>
  <c r="U119" i="100" s="1"/>
  <c r="T119" i="100" a="1"/>
  <c r="T119" i="100" s="1"/>
  <c r="S119" i="100" a="1"/>
  <c r="S119" i="100" s="1"/>
  <c r="R119" i="100" a="1"/>
  <c r="R119" i="100" s="1"/>
  <c r="Q119" i="100" a="1"/>
  <c r="Q119" i="100" s="1"/>
  <c r="P119" i="100" a="1"/>
  <c r="P119" i="100" s="1"/>
  <c r="O119" i="100" a="1"/>
  <c r="O119" i="100" s="1"/>
  <c r="N119" i="100" a="1"/>
  <c r="N119" i="100" s="1"/>
  <c r="M119" i="100" a="1"/>
  <c r="M119" i="100" s="1"/>
  <c r="L119" i="100" a="1"/>
  <c r="L119" i="100" s="1"/>
  <c r="K119" i="100" a="1"/>
  <c r="K119" i="100" s="1"/>
  <c r="J119" i="100" a="1"/>
  <c r="J119" i="100" s="1"/>
  <c r="I119" i="100" a="1"/>
  <c r="I119" i="100" s="1"/>
  <c r="H119" i="100" a="1"/>
  <c r="H119" i="100" s="1"/>
  <c r="G119" i="100" a="1"/>
  <c r="G119" i="100" s="1"/>
  <c r="F119" i="100" a="1"/>
  <c r="F119" i="100" s="1"/>
  <c r="E119" i="100" a="1"/>
  <c r="E119" i="100" s="1"/>
  <c r="D119" i="100" a="1"/>
  <c r="D119" i="100" s="1"/>
  <c r="AH118" i="100" a="1"/>
  <c r="AH118" i="100" s="1"/>
  <c r="AG118" i="100" a="1"/>
  <c r="AG118" i="100" s="1"/>
  <c r="AF118" i="100" a="1"/>
  <c r="AF118" i="100" s="1"/>
  <c r="AE118" i="100" a="1"/>
  <c r="AE118" i="100" s="1"/>
  <c r="AD118" i="100" a="1"/>
  <c r="AD118" i="100" s="1"/>
  <c r="AC118" i="100" a="1"/>
  <c r="AC118" i="100" s="1"/>
  <c r="AB118" i="100" a="1"/>
  <c r="AB118" i="100" s="1"/>
  <c r="AA118" i="100" a="1"/>
  <c r="AA118" i="100" s="1"/>
  <c r="Z118" i="100" a="1"/>
  <c r="Z118" i="100" s="1"/>
  <c r="Y118" i="100" a="1"/>
  <c r="Y118" i="100" s="1"/>
  <c r="X118" i="100" a="1"/>
  <c r="X118" i="100" s="1"/>
  <c r="W118" i="100" a="1"/>
  <c r="W118" i="100" s="1"/>
  <c r="V118" i="100" a="1"/>
  <c r="V118" i="100" s="1"/>
  <c r="U118" i="100" a="1"/>
  <c r="U118" i="100" s="1"/>
  <c r="T118" i="100" a="1"/>
  <c r="T118" i="100" s="1"/>
  <c r="S118" i="100" a="1"/>
  <c r="S118" i="100" s="1"/>
  <c r="R118" i="100" a="1"/>
  <c r="R118" i="100" s="1"/>
  <c r="Q118" i="100" a="1"/>
  <c r="Q118" i="100" s="1"/>
  <c r="P118" i="100" a="1"/>
  <c r="P118" i="100" s="1"/>
  <c r="O118" i="100" a="1"/>
  <c r="O118" i="100" s="1"/>
  <c r="N118" i="100" a="1"/>
  <c r="N118" i="100" s="1"/>
  <c r="M118" i="100" a="1"/>
  <c r="M118" i="100" s="1"/>
  <c r="L118" i="100" a="1"/>
  <c r="L118" i="100" s="1"/>
  <c r="K118" i="100" a="1"/>
  <c r="K118" i="100" s="1"/>
  <c r="J118" i="100" a="1"/>
  <c r="J118" i="100" s="1"/>
  <c r="I118" i="100" a="1"/>
  <c r="I118" i="100" s="1"/>
  <c r="H118" i="100" a="1"/>
  <c r="H118" i="100" s="1"/>
  <c r="G118" i="100" a="1"/>
  <c r="G118" i="100" s="1"/>
  <c r="F118" i="100" a="1"/>
  <c r="F118" i="100" s="1"/>
  <c r="E118" i="100" a="1"/>
  <c r="E118" i="100" s="1"/>
  <c r="D118" i="100" a="1"/>
  <c r="D118" i="100" s="1"/>
  <c r="AH117" i="100" a="1"/>
  <c r="AH117" i="100" s="1"/>
  <c r="AG117" i="100" a="1"/>
  <c r="AG117" i="100" s="1"/>
  <c r="AF117" i="100" a="1"/>
  <c r="AF117" i="100" s="1"/>
  <c r="AE117" i="100" a="1"/>
  <c r="AE117" i="100" s="1"/>
  <c r="AD117" i="100" a="1"/>
  <c r="AD117" i="100" s="1"/>
  <c r="AC117" i="100" a="1"/>
  <c r="AC117" i="100" s="1"/>
  <c r="AB117" i="100" a="1"/>
  <c r="AB117" i="100" s="1"/>
  <c r="AA117" i="100" a="1"/>
  <c r="AA117" i="100" s="1"/>
  <c r="Z117" i="100" a="1"/>
  <c r="Z117" i="100" s="1"/>
  <c r="Y117" i="100" a="1"/>
  <c r="Y117" i="100" s="1"/>
  <c r="X117" i="100" a="1"/>
  <c r="X117" i="100" s="1"/>
  <c r="W117" i="100" a="1"/>
  <c r="W117" i="100" s="1"/>
  <c r="V117" i="100" a="1"/>
  <c r="V117" i="100" s="1"/>
  <c r="U117" i="100" a="1"/>
  <c r="U117" i="100" s="1"/>
  <c r="T117" i="100" a="1"/>
  <c r="T117" i="100" s="1"/>
  <c r="S117" i="100" a="1"/>
  <c r="S117" i="100" s="1"/>
  <c r="R117" i="100" a="1"/>
  <c r="R117" i="100" s="1"/>
  <c r="Q117" i="100" a="1"/>
  <c r="Q117" i="100" s="1"/>
  <c r="P117" i="100" a="1"/>
  <c r="P117" i="100" s="1"/>
  <c r="O117" i="100" a="1"/>
  <c r="O117" i="100" s="1"/>
  <c r="N117" i="100" a="1"/>
  <c r="N117" i="100" s="1"/>
  <c r="M117" i="100" a="1"/>
  <c r="M117" i="100" s="1"/>
  <c r="L117" i="100" a="1"/>
  <c r="L117" i="100" s="1"/>
  <c r="K117" i="100" a="1"/>
  <c r="K117" i="100" s="1"/>
  <c r="J117" i="100" a="1"/>
  <c r="J117" i="100" s="1"/>
  <c r="I117" i="100" a="1"/>
  <c r="I117" i="100" s="1"/>
  <c r="H117" i="100" a="1"/>
  <c r="H117" i="100" s="1"/>
  <c r="G117" i="100" a="1"/>
  <c r="G117" i="100" s="1"/>
  <c r="F117" i="100" a="1"/>
  <c r="F117" i="100" s="1"/>
  <c r="E117" i="100" a="1"/>
  <c r="E117" i="100" s="1"/>
  <c r="D117" i="100" a="1"/>
  <c r="D117" i="100" s="1"/>
  <c r="AH116" i="100" a="1"/>
  <c r="AH116" i="100" s="1"/>
  <c r="AG116" i="100" a="1"/>
  <c r="AG116" i="100" s="1"/>
  <c r="AF116" i="100" a="1"/>
  <c r="AF116" i="100" s="1"/>
  <c r="AE116" i="100" a="1"/>
  <c r="AE116" i="100" s="1"/>
  <c r="AD116" i="100" a="1"/>
  <c r="AD116" i="100" s="1"/>
  <c r="AC116" i="100" a="1"/>
  <c r="AC116" i="100" s="1"/>
  <c r="AB116" i="100" a="1"/>
  <c r="AB116" i="100" s="1"/>
  <c r="AA116" i="100" a="1"/>
  <c r="AA116" i="100" s="1"/>
  <c r="Z116" i="100" a="1"/>
  <c r="Z116" i="100" s="1"/>
  <c r="Y116" i="100" a="1"/>
  <c r="Y116" i="100" s="1"/>
  <c r="X116" i="100" a="1"/>
  <c r="X116" i="100" s="1"/>
  <c r="W116" i="100" a="1"/>
  <c r="W116" i="100" s="1"/>
  <c r="V116" i="100" a="1"/>
  <c r="V116" i="100" s="1"/>
  <c r="U116" i="100" a="1"/>
  <c r="U116" i="100" s="1"/>
  <c r="T116" i="100" a="1"/>
  <c r="T116" i="100" s="1"/>
  <c r="S116" i="100" a="1"/>
  <c r="S116" i="100" s="1"/>
  <c r="R116" i="100" a="1"/>
  <c r="R116" i="100" s="1"/>
  <c r="Q116" i="100" a="1"/>
  <c r="Q116" i="100" s="1"/>
  <c r="P116" i="100" a="1"/>
  <c r="P116" i="100" s="1"/>
  <c r="O116" i="100" a="1"/>
  <c r="O116" i="100" s="1"/>
  <c r="N116" i="100" a="1"/>
  <c r="N116" i="100" s="1"/>
  <c r="M116" i="100" a="1"/>
  <c r="M116" i="100" s="1"/>
  <c r="L116" i="100" a="1"/>
  <c r="L116" i="100" s="1"/>
  <c r="K116" i="100" a="1"/>
  <c r="K116" i="100" s="1"/>
  <c r="J116" i="100" a="1"/>
  <c r="J116" i="100" s="1"/>
  <c r="I116" i="100" a="1"/>
  <c r="I116" i="100" s="1"/>
  <c r="H116" i="100" a="1"/>
  <c r="H116" i="100" s="1"/>
  <c r="G116" i="100" a="1"/>
  <c r="G116" i="100" s="1"/>
  <c r="F116" i="100" a="1"/>
  <c r="F116" i="100" s="1"/>
  <c r="E116" i="100" a="1"/>
  <c r="E116" i="100" s="1"/>
  <c r="D116" i="100" a="1"/>
  <c r="D116" i="100" s="1"/>
  <c r="AH115" i="100" a="1"/>
  <c r="AH115" i="100" s="1"/>
  <c r="AG115" i="100" a="1"/>
  <c r="AG115" i="100" s="1"/>
  <c r="AF115" i="100" a="1"/>
  <c r="AF115" i="100" s="1"/>
  <c r="AE115" i="100" a="1"/>
  <c r="AE115" i="100" s="1"/>
  <c r="AD115" i="100" a="1"/>
  <c r="AD115" i="100" s="1"/>
  <c r="AC115" i="100" a="1"/>
  <c r="AC115" i="100" s="1"/>
  <c r="AB115" i="100" a="1"/>
  <c r="AB115" i="100" s="1"/>
  <c r="AA115" i="100" a="1"/>
  <c r="AA115" i="100" s="1"/>
  <c r="Z115" i="100" a="1"/>
  <c r="Z115" i="100" s="1"/>
  <c r="Y115" i="100" a="1"/>
  <c r="Y115" i="100" s="1"/>
  <c r="X115" i="100" a="1"/>
  <c r="X115" i="100" s="1"/>
  <c r="W115" i="100" a="1"/>
  <c r="W115" i="100" s="1"/>
  <c r="V115" i="100" a="1"/>
  <c r="V115" i="100" s="1"/>
  <c r="U115" i="100" a="1"/>
  <c r="U115" i="100" s="1"/>
  <c r="T115" i="100" a="1"/>
  <c r="T115" i="100" s="1"/>
  <c r="S115" i="100" a="1"/>
  <c r="S115" i="100" s="1"/>
  <c r="R115" i="100" a="1"/>
  <c r="R115" i="100" s="1"/>
  <c r="Q115" i="100" a="1"/>
  <c r="Q115" i="100" s="1"/>
  <c r="P115" i="100" a="1"/>
  <c r="P115" i="100" s="1"/>
  <c r="O115" i="100" a="1"/>
  <c r="O115" i="100" s="1"/>
  <c r="N115" i="100" a="1"/>
  <c r="N115" i="100" s="1"/>
  <c r="M115" i="100" a="1"/>
  <c r="M115" i="100" s="1"/>
  <c r="L115" i="100" a="1"/>
  <c r="L115" i="100" s="1"/>
  <c r="K115" i="100" a="1"/>
  <c r="K115" i="100" s="1"/>
  <c r="J115" i="100" a="1"/>
  <c r="J115" i="100" s="1"/>
  <c r="I115" i="100" a="1"/>
  <c r="I115" i="100" s="1"/>
  <c r="H115" i="100" a="1"/>
  <c r="H115" i="100" s="1"/>
  <c r="G115" i="100" a="1"/>
  <c r="G115" i="100" s="1"/>
  <c r="F115" i="100" a="1"/>
  <c r="F115" i="100" s="1"/>
  <c r="E115" i="100" a="1"/>
  <c r="E115" i="100" s="1"/>
  <c r="D115" i="100" a="1"/>
  <c r="D115" i="100" s="1"/>
  <c r="AH114" i="100" a="1"/>
  <c r="AH114" i="100" s="1"/>
  <c r="AG114" i="100" a="1"/>
  <c r="AG114" i="100" s="1"/>
  <c r="AF114" i="100" a="1"/>
  <c r="AF114" i="100" s="1"/>
  <c r="AE114" i="100" a="1"/>
  <c r="AE114" i="100" s="1"/>
  <c r="AD114" i="100" a="1"/>
  <c r="AD114" i="100" s="1"/>
  <c r="AC114" i="100" a="1"/>
  <c r="AC114" i="100" s="1"/>
  <c r="AB114" i="100" a="1"/>
  <c r="AB114" i="100" s="1"/>
  <c r="AA114" i="100" a="1"/>
  <c r="AA114" i="100" s="1"/>
  <c r="Z114" i="100" a="1"/>
  <c r="Z114" i="100" s="1"/>
  <c r="Y114" i="100" a="1"/>
  <c r="Y114" i="100" s="1"/>
  <c r="X114" i="100" a="1"/>
  <c r="X114" i="100" s="1"/>
  <c r="W114" i="100" a="1"/>
  <c r="W114" i="100" s="1"/>
  <c r="V114" i="100" a="1"/>
  <c r="V114" i="100" s="1"/>
  <c r="U114" i="100" a="1"/>
  <c r="U114" i="100" s="1"/>
  <c r="T114" i="100" a="1"/>
  <c r="T114" i="100" s="1"/>
  <c r="S114" i="100" a="1"/>
  <c r="S114" i="100" s="1"/>
  <c r="R114" i="100" a="1"/>
  <c r="R114" i="100" s="1"/>
  <c r="Q114" i="100" a="1"/>
  <c r="Q114" i="100" s="1"/>
  <c r="P114" i="100" a="1"/>
  <c r="P114" i="100" s="1"/>
  <c r="O114" i="100" a="1"/>
  <c r="O114" i="100" s="1"/>
  <c r="N114" i="100" a="1"/>
  <c r="N114" i="100" s="1"/>
  <c r="M114" i="100" a="1"/>
  <c r="M114" i="100" s="1"/>
  <c r="L114" i="100" a="1"/>
  <c r="L114" i="100" s="1"/>
  <c r="K114" i="100" a="1"/>
  <c r="K114" i="100" s="1"/>
  <c r="J114" i="100" a="1"/>
  <c r="J114" i="100" s="1"/>
  <c r="I114" i="100" a="1"/>
  <c r="I114" i="100" s="1"/>
  <c r="H114" i="100" a="1"/>
  <c r="H114" i="100" s="1"/>
  <c r="G114" i="100" a="1"/>
  <c r="G114" i="100" s="1"/>
  <c r="F114" i="100" a="1"/>
  <c r="F114" i="100" s="1"/>
  <c r="E114" i="100" a="1"/>
  <c r="E114" i="100" s="1"/>
  <c r="D114" i="100" a="1"/>
  <c r="D114" i="100" s="1"/>
  <c r="AH113" i="100" a="1"/>
  <c r="AH113" i="100" s="1"/>
  <c r="AG113" i="100" a="1"/>
  <c r="AG113" i="100" s="1"/>
  <c r="AF113" i="100" a="1"/>
  <c r="AF113" i="100" s="1"/>
  <c r="AE113" i="100" a="1"/>
  <c r="AE113" i="100" s="1"/>
  <c r="AD113" i="100" a="1"/>
  <c r="AD113" i="100" s="1"/>
  <c r="AC113" i="100" a="1"/>
  <c r="AC113" i="100" s="1"/>
  <c r="AB113" i="100" a="1"/>
  <c r="AB113" i="100" s="1"/>
  <c r="AA113" i="100" a="1"/>
  <c r="AA113" i="100" s="1"/>
  <c r="Z113" i="100" a="1"/>
  <c r="Z113" i="100" s="1"/>
  <c r="Y113" i="100" a="1"/>
  <c r="Y113" i="100" s="1"/>
  <c r="X113" i="100" a="1"/>
  <c r="X113" i="100" s="1"/>
  <c r="W113" i="100" a="1"/>
  <c r="W113" i="100" s="1"/>
  <c r="V113" i="100" a="1"/>
  <c r="V113" i="100" s="1"/>
  <c r="U113" i="100" a="1"/>
  <c r="U113" i="100" s="1"/>
  <c r="T113" i="100" a="1"/>
  <c r="T113" i="100" s="1"/>
  <c r="S113" i="100" a="1"/>
  <c r="S113" i="100" s="1"/>
  <c r="R113" i="100" a="1"/>
  <c r="R113" i="100" s="1"/>
  <c r="Q113" i="100" a="1"/>
  <c r="Q113" i="100" s="1"/>
  <c r="P113" i="100" a="1"/>
  <c r="P113" i="100" s="1"/>
  <c r="O113" i="100" a="1"/>
  <c r="O113" i="100" s="1"/>
  <c r="N113" i="100" a="1"/>
  <c r="N113" i="100" s="1"/>
  <c r="M113" i="100" a="1"/>
  <c r="M113" i="100" s="1"/>
  <c r="L113" i="100" a="1"/>
  <c r="L113" i="100" s="1"/>
  <c r="K113" i="100" a="1"/>
  <c r="K113" i="100" s="1"/>
  <c r="J113" i="100" a="1"/>
  <c r="J113" i="100" s="1"/>
  <c r="I113" i="100" a="1"/>
  <c r="I113" i="100" s="1"/>
  <c r="H113" i="100" a="1"/>
  <c r="H113" i="100" s="1"/>
  <c r="G113" i="100" a="1"/>
  <c r="G113" i="100" s="1"/>
  <c r="F113" i="100" a="1"/>
  <c r="F113" i="100" s="1"/>
  <c r="E113" i="100" a="1"/>
  <c r="E113" i="100" s="1"/>
  <c r="D113" i="100" a="1"/>
  <c r="D113" i="100" s="1"/>
  <c r="AH112" i="100" a="1"/>
  <c r="AH112" i="100" s="1"/>
  <c r="AG112" i="100" a="1"/>
  <c r="AG112" i="100" s="1"/>
  <c r="AF112" i="100" a="1"/>
  <c r="AF112" i="100" s="1"/>
  <c r="AE112" i="100" a="1"/>
  <c r="AE112" i="100" s="1"/>
  <c r="AD112" i="100" a="1"/>
  <c r="AD112" i="100" s="1"/>
  <c r="AC112" i="100" a="1"/>
  <c r="AC112" i="100" s="1"/>
  <c r="AB112" i="100" a="1"/>
  <c r="AB112" i="100" s="1"/>
  <c r="AA112" i="100" a="1"/>
  <c r="AA112" i="100" s="1"/>
  <c r="Z112" i="100" a="1"/>
  <c r="Z112" i="100" s="1"/>
  <c r="Y112" i="100" a="1"/>
  <c r="Y112" i="100" s="1"/>
  <c r="X112" i="100" a="1"/>
  <c r="X112" i="100" s="1"/>
  <c r="W112" i="100" a="1"/>
  <c r="W112" i="100" s="1"/>
  <c r="V112" i="100" a="1"/>
  <c r="V112" i="100" s="1"/>
  <c r="U112" i="100" a="1"/>
  <c r="U112" i="100" s="1"/>
  <c r="T112" i="100" a="1"/>
  <c r="T112" i="100" s="1"/>
  <c r="S112" i="100" a="1"/>
  <c r="S112" i="100" s="1"/>
  <c r="R112" i="100" a="1"/>
  <c r="R112" i="100" s="1"/>
  <c r="Q112" i="100" a="1"/>
  <c r="Q112" i="100" s="1"/>
  <c r="P112" i="100" a="1"/>
  <c r="P112" i="100" s="1"/>
  <c r="O112" i="100" a="1"/>
  <c r="O112" i="100" s="1"/>
  <c r="N112" i="100" a="1"/>
  <c r="N112" i="100" s="1"/>
  <c r="M112" i="100" a="1"/>
  <c r="M112" i="100" s="1"/>
  <c r="L112" i="100" a="1"/>
  <c r="L112" i="100" s="1"/>
  <c r="K112" i="100" a="1"/>
  <c r="K112" i="100" s="1"/>
  <c r="J112" i="100" a="1"/>
  <c r="J112" i="100" s="1"/>
  <c r="I112" i="100" a="1"/>
  <c r="I112" i="100" s="1"/>
  <c r="H112" i="100" a="1"/>
  <c r="H112" i="100" s="1"/>
  <c r="G112" i="100" a="1"/>
  <c r="G112" i="100" s="1"/>
  <c r="F112" i="100" a="1"/>
  <c r="F112" i="100" s="1"/>
  <c r="E112" i="100" a="1"/>
  <c r="E112" i="100" s="1"/>
  <c r="D112" i="100" a="1"/>
  <c r="D112" i="100" s="1"/>
  <c r="AH111" i="100" a="1"/>
  <c r="AH111" i="100" s="1"/>
  <c r="AG111" i="100" a="1"/>
  <c r="AG111" i="100" s="1"/>
  <c r="AF111" i="100" a="1"/>
  <c r="AF111" i="100" s="1"/>
  <c r="AE111" i="100" a="1"/>
  <c r="AE111" i="100" s="1"/>
  <c r="AD111" i="100" a="1"/>
  <c r="AD111" i="100" s="1"/>
  <c r="AC111" i="100" a="1"/>
  <c r="AC111" i="100" s="1"/>
  <c r="AB111" i="100" a="1"/>
  <c r="AB111" i="100" s="1"/>
  <c r="AA111" i="100" a="1"/>
  <c r="AA111" i="100" s="1"/>
  <c r="Z111" i="100" a="1"/>
  <c r="Z111" i="100" s="1"/>
  <c r="Y111" i="100" a="1"/>
  <c r="Y111" i="100" s="1"/>
  <c r="X111" i="100" a="1"/>
  <c r="X111" i="100" s="1"/>
  <c r="W111" i="100" a="1"/>
  <c r="W111" i="100" s="1"/>
  <c r="V111" i="100" a="1"/>
  <c r="V111" i="100" s="1"/>
  <c r="U111" i="100" a="1"/>
  <c r="U111" i="100" s="1"/>
  <c r="T111" i="100" a="1"/>
  <c r="T111" i="100" s="1"/>
  <c r="S111" i="100" a="1"/>
  <c r="S111" i="100" s="1"/>
  <c r="R111" i="100" a="1"/>
  <c r="R111" i="100" s="1"/>
  <c r="Q111" i="100" a="1"/>
  <c r="Q111" i="100" s="1"/>
  <c r="P111" i="100" a="1"/>
  <c r="P111" i="100" s="1"/>
  <c r="O111" i="100" a="1"/>
  <c r="O111" i="100" s="1"/>
  <c r="N111" i="100" a="1"/>
  <c r="N111" i="100" s="1"/>
  <c r="M111" i="100" a="1"/>
  <c r="M111" i="100" s="1"/>
  <c r="L111" i="100" a="1"/>
  <c r="L111" i="100" s="1"/>
  <c r="K111" i="100" a="1"/>
  <c r="K111" i="100" s="1"/>
  <c r="J111" i="100" a="1"/>
  <c r="J111" i="100" s="1"/>
  <c r="I111" i="100" a="1"/>
  <c r="I111" i="100" s="1"/>
  <c r="H111" i="100" a="1"/>
  <c r="H111" i="100" s="1"/>
  <c r="G111" i="100" a="1"/>
  <c r="G111" i="100" s="1"/>
  <c r="F111" i="100" a="1"/>
  <c r="F111" i="100" s="1"/>
  <c r="E111" i="100" a="1"/>
  <c r="E111" i="100" s="1"/>
  <c r="D111" i="100" a="1"/>
  <c r="D111" i="100" s="1"/>
  <c r="AH110" i="100" a="1"/>
  <c r="AH110" i="100" s="1"/>
  <c r="AG110" i="100" a="1"/>
  <c r="AG110" i="100" s="1"/>
  <c r="AF110" i="100" a="1"/>
  <c r="AF110" i="100" s="1"/>
  <c r="AE110" i="100" a="1"/>
  <c r="AE110" i="100" s="1"/>
  <c r="AD110" i="100" a="1"/>
  <c r="AD110" i="100" s="1"/>
  <c r="AC110" i="100" a="1"/>
  <c r="AC110" i="100" s="1"/>
  <c r="AB110" i="100" a="1"/>
  <c r="AB110" i="100" s="1"/>
  <c r="AA110" i="100" a="1"/>
  <c r="AA110" i="100" s="1"/>
  <c r="Z110" i="100" a="1"/>
  <c r="Z110" i="100" s="1"/>
  <c r="Y110" i="100" a="1"/>
  <c r="Y110" i="100" s="1"/>
  <c r="X110" i="100" a="1"/>
  <c r="X110" i="100" s="1"/>
  <c r="W110" i="100" a="1"/>
  <c r="W110" i="100" s="1"/>
  <c r="V110" i="100" a="1"/>
  <c r="V110" i="100" s="1"/>
  <c r="U110" i="100" a="1"/>
  <c r="U110" i="100" s="1"/>
  <c r="T110" i="100" a="1"/>
  <c r="T110" i="100" s="1"/>
  <c r="S110" i="100" a="1"/>
  <c r="S110" i="100" s="1"/>
  <c r="R110" i="100" a="1"/>
  <c r="R110" i="100" s="1"/>
  <c r="Q110" i="100" a="1"/>
  <c r="Q110" i="100" s="1"/>
  <c r="P110" i="100" a="1"/>
  <c r="P110" i="100" s="1"/>
  <c r="O110" i="100" a="1"/>
  <c r="O110" i="100" s="1"/>
  <c r="N110" i="100" a="1"/>
  <c r="N110" i="100" s="1"/>
  <c r="M110" i="100" a="1"/>
  <c r="M110" i="100" s="1"/>
  <c r="L110" i="100" a="1"/>
  <c r="L110" i="100" s="1"/>
  <c r="K110" i="100" a="1"/>
  <c r="K110" i="100" s="1"/>
  <c r="J110" i="100" a="1"/>
  <c r="J110" i="100" s="1"/>
  <c r="I110" i="100" a="1"/>
  <c r="I110" i="100" s="1"/>
  <c r="H110" i="100" a="1"/>
  <c r="H110" i="100" s="1"/>
  <c r="G110" i="100" a="1"/>
  <c r="G110" i="100" s="1"/>
  <c r="F110" i="100" a="1"/>
  <c r="F110" i="100" s="1"/>
  <c r="E110" i="100" a="1"/>
  <c r="E110" i="100" s="1"/>
  <c r="D110" i="100" a="1"/>
  <c r="D110" i="100" s="1"/>
  <c r="AH109" i="100" a="1"/>
  <c r="AH109" i="100" s="1"/>
  <c r="AG109" i="100" a="1"/>
  <c r="AG109" i="100" s="1"/>
  <c r="AF109" i="100" a="1"/>
  <c r="AF109" i="100" s="1"/>
  <c r="AE109" i="100" a="1"/>
  <c r="AE109" i="100" s="1"/>
  <c r="AD109" i="100" a="1"/>
  <c r="AD109" i="100" s="1"/>
  <c r="AC109" i="100" a="1"/>
  <c r="AC109" i="100" s="1"/>
  <c r="AB109" i="100" a="1"/>
  <c r="AB109" i="100" s="1"/>
  <c r="AA109" i="100" a="1"/>
  <c r="AA109" i="100" s="1"/>
  <c r="Z109" i="100" a="1"/>
  <c r="Z109" i="100" s="1"/>
  <c r="Y109" i="100" a="1"/>
  <c r="Y109" i="100" s="1"/>
  <c r="X109" i="100" a="1"/>
  <c r="X109" i="100" s="1"/>
  <c r="W109" i="100" a="1"/>
  <c r="W109" i="100" s="1"/>
  <c r="V109" i="100" a="1"/>
  <c r="V109" i="100" s="1"/>
  <c r="U109" i="100" a="1"/>
  <c r="U109" i="100" s="1"/>
  <c r="T109" i="100" a="1"/>
  <c r="T109" i="100" s="1"/>
  <c r="S109" i="100" a="1"/>
  <c r="S109" i="100" s="1"/>
  <c r="R109" i="100" a="1"/>
  <c r="R109" i="100" s="1"/>
  <c r="Q109" i="100" a="1"/>
  <c r="Q109" i="100" s="1"/>
  <c r="P109" i="100" a="1"/>
  <c r="P109" i="100" s="1"/>
  <c r="O109" i="100" a="1"/>
  <c r="O109" i="100" s="1"/>
  <c r="N109" i="100" a="1"/>
  <c r="N109" i="100" s="1"/>
  <c r="M109" i="100" a="1"/>
  <c r="M109" i="100" s="1"/>
  <c r="L109" i="100" a="1"/>
  <c r="L109" i="100" s="1"/>
  <c r="K109" i="100" a="1"/>
  <c r="K109" i="100" s="1"/>
  <c r="J109" i="100" a="1"/>
  <c r="J109" i="100" s="1"/>
  <c r="I109" i="100" a="1"/>
  <c r="I109" i="100" s="1"/>
  <c r="H109" i="100" a="1"/>
  <c r="H109" i="100" s="1"/>
  <c r="G109" i="100" a="1"/>
  <c r="G109" i="100" s="1"/>
  <c r="F109" i="100" a="1"/>
  <c r="F109" i="100" s="1"/>
  <c r="E109" i="100" a="1"/>
  <c r="E109" i="100" s="1"/>
  <c r="D109" i="100" a="1"/>
  <c r="D109" i="100" s="1"/>
  <c r="AH108" i="100" a="1"/>
  <c r="AH108" i="100" s="1"/>
  <c r="AG108" i="100" a="1"/>
  <c r="AG108" i="100" s="1"/>
  <c r="AF108" i="100" a="1"/>
  <c r="AF108" i="100" s="1"/>
  <c r="AE108" i="100" a="1"/>
  <c r="AE108" i="100" s="1"/>
  <c r="AD108" i="100" a="1"/>
  <c r="AD108" i="100" s="1"/>
  <c r="AC108" i="100" a="1"/>
  <c r="AC108" i="100" s="1"/>
  <c r="AB108" i="100" a="1"/>
  <c r="AB108" i="100" s="1"/>
  <c r="AA108" i="100" a="1"/>
  <c r="AA108" i="100" s="1"/>
  <c r="Z108" i="100" a="1"/>
  <c r="Z108" i="100" s="1"/>
  <c r="Y108" i="100" a="1"/>
  <c r="Y108" i="100" s="1"/>
  <c r="X108" i="100" a="1"/>
  <c r="X108" i="100" s="1"/>
  <c r="W108" i="100" a="1"/>
  <c r="W108" i="100" s="1"/>
  <c r="V108" i="100" a="1"/>
  <c r="V108" i="100" s="1"/>
  <c r="U108" i="100" a="1"/>
  <c r="U108" i="100" s="1"/>
  <c r="T108" i="100" a="1"/>
  <c r="T108" i="100" s="1"/>
  <c r="S108" i="100" a="1"/>
  <c r="S108" i="100" s="1"/>
  <c r="R108" i="100" a="1"/>
  <c r="R108" i="100" s="1"/>
  <c r="Q108" i="100" a="1"/>
  <c r="Q108" i="100" s="1"/>
  <c r="P108" i="100" a="1"/>
  <c r="P108" i="100" s="1"/>
  <c r="O108" i="100" a="1"/>
  <c r="O108" i="100" s="1"/>
  <c r="N108" i="100" a="1"/>
  <c r="N108" i="100" s="1"/>
  <c r="M108" i="100" a="1"/>
  <c r="M108" i="100" s="1"/>
  <c r="L108" i="100" a="1"/>
  <c r="L108" i="100" s="1"/>
  <c r="K108" i="100" a="1"/>
  <c r="K108" i="100" s="1"/>
  <c r="J108" i="100" a="1"/>
  <c r="J108" i="100" s="1"/>
  <c r="I108" i="100" a="1"/>
  <c r="I108" i="100" s="1"/>
  <c r="H108" i="100" a="1"/>
  <c r="H108" i="100" s="1"/>
  <c r="G108" i="100" a="1"/>
  <c r="G108" i="100" s="1"/>
  <c r="F108" i="100" a="1"/>
  <c r="F108" i="100" s="1"/>
  <c r="E108" i="100" a="1"/>
  <c r="E108" i="100" s="1"/>
  <c r="D108" i="100" a="1"/>
  <c r="D108" i="100" s="1"/>
  <c r="AH107" i="100" a="1"/>
  <c r="AH107" i="100" s="1"/>
  <c r="AG107" i="100" a="1"/>
  <c r="AG107" i="100" s="1"/>
  <c r="AF107" i="100" a="1"/>
  <c r="AF107" i="100" s="1"/>
  <c r="AE107" i="100" a="1"/>
  <c r="AE107" i="100" s="1"/>
  <c r="AD107" i="100" a="1"/>
  <c r="AD107" i="100" s="1"/>
  <c r="AC107" i="100" a="1"/>
  <c r="AC107" i="100" s="1"/>
  <c r="AB107" i="100" a="1"/>
  <c r="AB107" i="100" s="1"/>
  <c r="AA107" i="100" a="1"/>
  <c r="AA107" i="100" s="1"/>
  <c r="Z107" i="100" a="1"/>
  <c r="Z107" i="100" s="1"/>
  <c r="Y107" i="100" a="1"/>
  <c r="Y107" i="100" s="1"/>
  <c r="X107" i="100" a="1"/>
  <c r="X107" i="100" s="1"/>
  <c r="W107" i="100" a="1"/>
  <c r="W107" i="100" s="1"/>
  <c r="V107" i="100" a="1"/>
  <c r="V107" i="100" s="1"/>
  <c r="U107" i="100" a="1"/>
  <c r="U107" i="100" s="1"/>
  <c r="T107" i="100" a="1"/>
  <c r="T107" i="100" s="1"/>
  <c r="S107" i="100" a="1"/>
  <c r="S107" i="100" s="1"/>
  <c r="R107" i="100" a="1"/>
  <c r="R107" i="100" s="1"/>
  <c r="Q107" i="100" a="1"/>
  <c r="Q107" i="100" s="1"/>
  <c r="P107" i="100" a="1"/>
  <c r="P107" i="100" s="1"/>
  <c r="O107" i="100" a="1"/>
  <c r="O107" i="100" s="1"/>
  <c r="N107" i="100" a="1"/>
  <c r="N107" i="100" s="1"/>
  <c r="M107" i="100" a="1"/>
  <c r="M107" i="100" s="1"/>
  <c r="L107" i="100" a="1"/>
  <c r="L107" i="100" s="1"/>
  <c r="K107" i="100" a="1"/>
  <c r="K107" i="100" s="1"/>
  <c r="J107" i="100" a="1"/>
  <c r="J107" i="100" s="1"/>
  <c r="I107" i="100" a="1"/>
  <c r="I107" i="100" s="1"/>
  <c r="H107" i="100" a="1"/>
  <c r="H107" i="100" s="1"/>
  <c r="G107" i="100" a="1"/>
  <c r="G107" i="100" s="1"/>
  <c r="F107" i="100" a="1"/>
  <c r="F107" i="100" s="1"/>
  <c r="E107" i="100" a="1"/>
  <c r="E107" i="100" s="1"/>
  <c r="D107" i="100" a="1"/>
  <c r="D107" i="100" s="1"/>
  <c r="AH106" i="100" a="1"/>
  <c r="AH106" i="100" s="1"/>
  <c r="AG106" i="100" a="1"/>
  <c r="AG106" i="100" s="1"/>
  <c r="AF106" i="100" a="1"/>
  <c r="AF106" i="100" s="1"/>
  <c r="AE106" i="100" a="1"/>
  <c r="AE106" i="100" s="1"/>
  <c r="AD106" i="100" a="1"/>
  <c r="AD106" i="100" s="1"/>
  <c r="AC106" i="100" a="1"/>
  <c r="AC106" i="100" s="1"/>
  <c r="AB106" i="100" a="1"/>
  <c r="AB106" i="100" s="1"/>
  <c r="AA106" i="100" a="1"/>
  <c r="AA106" i="100" s="1"/>
  <c r="Z106" i="100" a="1"/>
  <c r="Z106" i="100" s="1"/>
  <c r="Y106" i="100" a="1"/>
  <c r="Y106" i="100" s="1"/>
  <c r="X106" i="100" a="1"/>
  <c r="X106" i="100" s="1"/>
  <c r="W106" i="100" a="1"/>
  <c r="W106" i="100" s="1"/>
  <c r="V106" i="100" a="1"/>
  <c r="V106" i="100" s="1"/>
  <c r="U106" i="100" a="1"/>
  <c r="U106" i="100" s="1"/>
  <c r="T106" i="100" a="1"/>
  <c r="T106" i="100" s="1"/>
  <c r="S106" i="100" a="1"/>
  <c r="S106" i="100" s="1"/>
  <c r="R106" i="100" a="1"/>
  <c r="R106" i="100" s="1"/>
  <c r="Q106" i="100" a="1"/>
  <c r="Q106" i="100" s="1"/>
  <c r="P106" i="100" a="1"/>
  <c r="P106" i="100" s="1"/>
  <c r="O106" i="100" a="1"/>
  <c r="O106" i="100" s="1"/>
  <c r="N106" i="100" a="1"/>
  <c r="N106" i="100" s="1"/>
  <c r="M106" i="100" a="1"/>
  <c r="M106" i="100" s="1"/>
  <c r="L106" i="100" a="1"/>
  <c r="L106" i="100" s="1"/>
  <c r="K106" i="100" a="1"/>
  <c r="K106" i="100" s="1"/>
  <c r="J106" i="100" a="1"/>
  <c r="J106" i="100" s="1"/>
  <c r="I106" i="100" a="1"/>
  <c r="I106" i="100" s="1"/>
  <c r="H106" i="100" a="1"/>
  <c r="H106" i="100" s="1"/>
  <c r="G106" i="100" a="1"/>
  <c r="G106" i="100" s="1"/>
  <c r="F106" i="100" a="1"/>
  <c r="F106" i="100" s="1"/>
  <c r="E106" i="100" a="1"/>
  <c r="E106" i="100" s="1"/>
  <c r="D106" i="100" a="1"/>
  <c r="D106" i="100" s="1"/>
  <c r="AH105" i="100" a="1"/>
  <c r="AH105" i="100" s="1"/>
  <c r="AG105" i="100" a="1"/>
  <c r="AG105" i="100" s="1"/>
  <c r="AF105" i="100" a="1"/>
  <c r="AF105" i="100" s="1"/>
  <c r="AE105" i="100" a="1"/>
  <c r="AE105" i="100" s="1"/>
  <c r="AD105" i="100" a="1"/>
  <c r="AD105" i="100" s="1"/>
  <c r="AC105" i="100" a="1"/>
  <c r="AC105" i="100" s="1"/>
  <c r="AB105" i="100" a="1"/>
  <c r="AB105" i="100" s="1"/>
  <c r="AA105" i="100" a="1"/>
  <c r="AA105" i="100" s="1"/>
  <c r="Z105" i="100" a="1"/>
  <c r="Z105" i="100" s="1"/>
  <c r="Y105" i="100" a="1"/>
  <c r="Y105" i="100" s="1"/>
  <c r="X105" i="100" a="1"/>
  <c r="X105" i="100" s="1"/>
  <c r="W105" i="100" a="1"/>
  <c r="W105" i="100" s="1"/>
  <c r="V105" i="100" a="1"/>
  <c r="V105" i="100" s="1"/>
  <c r="U105" i="100" a="1"/>
  <c r="U105" i="100" s="1"/>
  <c r="T105" i="100" a="1"/>
  <c r="T105" i="100" s="1"/>
  <c r="S105" i="100" a="1"/>
  <c r="S105" i="100" s="1"/>
  <c r="R105" i="100" a="1"/>
  <c r="R105" i="100" s="1"/>
  <c r="Q105" i="100" a="1"/>
  <c r="Q105" i="100" s="1"/>
  <c r="P105" i="100" a="1"/>
  <c r="P105" i="100" s="1"/>
  <c r="O105" i="100" a="1"/>
  <c r="O105" i="100" s="1"/>
  <c r="N105" i="100" a="1"/>
  <c r="N105" i="100" s="1"/>
  <c r="M105" i="100" a="1"/>
  <c r="M105" i="100" s="1"/>
  <c r="L105" i="100" a="1"/>
  <c r="L105" i="100" s="1"/>
  <c r="K105" i="100" a="1"/>
  <c r="K105" i="100" s="1"/>
  <c r="J105" i="100" a="1"/>
  <c r="J105" i="100" s="1"/>
  <c r="I105" i="100" a="1"/>
  <c r="I105" i="100" s="1"/>
  <c r="H105" i="100" a="1"/>
  <c r="H105" i="100" s="1"/>
  <c r="G105" i="100" a="1"/>
  <c r="G105" i="100" s="1"/>
  <c r="F105" i="100" a="1"/>
  <c r="F105" i="100" s="1"/>
  <c r="E105" i="100" a="1"/>
  <c r="E105" i="100" s="1"/>
  <c r="D105" i="100" a="1"/>
  <c r="D105" i="100" s="1"/>
  <c r="AH104" i="100" a="1"/>
  <c r="AH104" i="100" s="1"/>
  <c r="AG104" i="100" a="1"/>
  <c r="AG104" i="100" s="1"/>
  <c r="AF104" i="100" a="1"/>
  <c r="AF104" i="100" s="1"/>
  <c r="AE104" i="100" a="1"/>
  <c r="AE104" i="100" s="1"/>
  <c r="AD104" i="100" a="1"/>
  <c r="AD104" i="100" s="1"/>
  <c r="AC104" i="100" a="1"/>
  <c r="AC104" i="100" s="1"/>
  <c r="AB104" i="100" a="1"/>
  <c r="AB104" i="100" s="1"/>
  <c r="AA104" i="100" a="1"/>
  <c r="AA104" i="100" s="1"/>
  <c r="Z104" i="100" a="1"/>
  <c r="Z104" i="100" s="1"/>
  <c r="Y104" i="100" a="1"/>
  <c r="Y104" i="100" s="1"/>
  <c r="X104" i="100" a="1"/>
  <c r="X104" i="100" s="1"/>
  <c r="W104" i="100" a="1"/>
  <c r="W104" i="100" s="1"/>
  <c r="V104" i="100" a="1"/>
  <c r="V104" i="100" s="1"/>
  <c r="U104" i="100" a="1"/>
  <c r="U104" i="100" s="1"/>
  <c r="T104" i="100" a="1"/>
  <c r="T104" i="100" s="1"/>
  <c r="S104" i="100" a="1"/>
  <c r="S104" i="100" s="1"/>
  <c r="R104" i="100" a="1"/>
  <c r="R104" i="100" s="1"/>
  <c r="Q104" i="100" a="1"/>
  <c r="Q104" i="100" s="1"/>
  <c r="P104" i="100" a="1"/>
  <c r="P104" i="100" s="1"/>
  <c r="O104" i="100" a="1"/>
  <c r="O104" i="100" s="1"/>
  <c r="N104" i="100" a="1"/>
  <c r="N104" i="100" s="1"/>
  <c r="M104" i="100" a="1"/>
  <c r="M104" i="100" s="1"/>
  <c r="L104" i="100" a="1"/>
  <c r="L104" i="100" s="1"/>
  <c r="K104" i="100" a="1"/>
  <c r="K104" i="100" s="1"/>
  <c r="J104" i="100" a="1"/>
  <c r="J104" i="100" s="1"/>
  <c r="I104" i="100" a="1"/>
  <c r="I104" i="100" s="1"/>
  <c r="H104" i="100" a="1"/>
  <c r="H104" i="100" s="1"/>
  <c r="G104" i="100" a="1"/>
  <c r="G104" i="100" s="1"/>
  <c r="F104" i="100" a="1"/>
  <c r="F104" i="100" s="1"/>
  <c r="E104" i="100" a="1"/>
  <c r="E104" i="100" s="1"/>
  <c r="D104" i="100" a="1"/>
  <c r="D104" i="100" s="1"/>
  <c r="AH103" i="100" a="1"/>
  <c r="AH103" i="100" s="1"/>
  <c r="AG103" i="100" a="1"/>
  <c r="AG103" i="100" s="1"/>
  <c r="AF103" i="100" a="1"/>
  <c r="AF103" i="100" s="1"/>
  <c r="AE103" i="100" a="1"/>
  <c r="AE103" i="100" s="1"/>
  <c r="AD103" i="100" a="1"/>
  <c r="AD103" i="100" s="1"/>
  <c r="AC103" i="100" a="1"/>
  <c r="AC103" i="100" s="1"/>
  <c r="AB103" i="100" a="1"/>
  <c r="AB103" i="100" s="1"/>
  <c r="AA103" i="100" a="1"/>
  <c r="AA103" i="100" s="1"/>
  <c r="Z103" i="100" a="1"/>
  <c r="Z103" i="100" s="1"/>
  <c r="Y103" i="100" a="1"/>
  <c r="Y103" i="100" s="1"/>
  <c r="X103" i="100" a="1"/>
  <c r="X103" i="100" s="1"/>
  <c r="W103" i="100" a="1"/>
  <c r="W103" i="100" s="1"/>
  <c r="V103" i="100" a="1"/>
  <c r="V103" i="100" s="1"/>
  <c r="U103" i="100" a="1"/>
  <c r="U103" i="100" s="1"/>
  <c r="T103" i="100" a="1"/>
  <c r="T103" i="100" s="1"/>
  <c r="S103" i="100" a="1"/>
  <c r="S103" i="100" s="1"/>
  <c r="R103" i="100" a="1"/>
  <c r="R103" i="100" s="1"/>
  <c r="Q103" i="100" a="1"/>
  <c r="Q103" i="100" s="1"/>
  <c r="P103" i="100" a="1"/>
  <c r="P103" i="100" s="1"/>
  <c r="O103" i="100" a="1"/>
  <c r="O103" i="100" s="1"/>
  <c r="N103" i="100" a="1"/>
  <c r="N103" i="100" s="1"/>
  <c r="M103" i="100" a="1"/>
  <c r="M103" i="100" s="1"/>
  <c r="L103" i="100" a="1"/>
  <c r="L103" i="100" s="1"/>
  <c r="K103" i="100" a="1"/>
  <c r="K103" i="100" s="1"/>
  <c r="J103" i="100" a="1"/>
  <c r="J103" i="100" s="1"/>
  <c r="I103" i="100" a="1"/>
  <c r="I103" i="100" s="1"/>
  <c r="H103" i="100" a="1"/>
  <c r="H103" i="100" s="1"/>
  <c r="G103" i="100" a="1"/>
  <c r="G103" i="100" s="1"/>
  <c r="F103" i="100" a="1"/>
  <c r="F103" i="100" s="1"/>
  <c r="E103" i="100" a="1"/>
  <c r="E103" i="100" s="1"/>
  <c r="D103" i="100" a="1"/>
  <c r="D103" i="100" s="1"/>
  <c r="AH102" i="100" a="1"/>
  <c r="AH102" i="100" s="1"/>
  <c r="AG102" i="100" a="1"/>
  <c r="AG102" i="100" s="1"/>
  <c r="AF102" i="100" a="1"/>
  <c r="AF102" i="100" s="1"/>
  <c r="AE102" i="100" a="1"/>
  <c r="AE102" i="100" s="1"/>
  <c r="AD102" i="100" a="1"/>
  <c r="AD102" i="100" s="1"/>
  <c r="AC102" i="100" a="1"/>
  <c r="AC102" i="100" s="1"/>
  <c r="AB102" i="100" a="1"/>
  <c r="AB102" i="100" s="1"/>
  <c r="AA102" i="100" a="1"/>
  <c r="AA102" i="100" s="1"/>
  <c r="Z102" i="100" a="1"/>
  <c r="Z102" i="100" s="1"/>
  <c r="Y102" i="100" a="1"/>
  <c r="Y102" i="100" s="1"/>
  <c r="X102" i="100" a="1"/>
  <c r="X102" i="100" s="1"/>
  <c r="W102" i="100" a="1"/>
  <c r="W102" i="100" s="1"/>
  <c r="V102" i="100" a="1"/>
  <c r="V102" i="100" s="1"/>
  <c r="U102" i="100" a="1"/>
  <c r="U102" i="100" s="1"/>
  <c r="T102" i="100" a="1"/>
  <c r="T102" i="100" s="1"/>
  <c r="S102" i="100" a="1"/>
  <c r="S102" i="100" s="1"/>
  <c r="R102" i="100" a="1"/>
  <c r="R102" i="100" s="1"/>
  <c r="Q102" i="100" a="1"/>
  <c r="Q102" i="100" s="1"/>
  <c r="P102" i="100" a="1"/>
  <c r="P102" i="100" s="1"/>
  <c r="O102" i="100" a="1"/>
  <c r="O102" i="100" s="1"/>
  <c r="N102" i="100" a="1"/>
  <c r="N102" i="100" s="1"/>
  <c r="M102" i="100" a="1"/>
  <c r="M102" i="100" s="1"/>
  <c r="L102" i="100" a="1"/>
  <c r="L102" i="100" s="1"/>
  <c r="K102" i="100" a="1"/>
  <c r="K102" i="100" s="1"/>
  <c r="J102" i="100" a="1"/>
  <c r="J102" i="100" s="1"/>
  <c r="I102" i="100" a="1"/>
  <c r="I102" i="100" s="1"/>
  <c r="H102" i="100" a="1"/>
  <c r="H102" i="100" s="1"/>
  <c r="G102" i="100" a="1"/>
  <c r="G102" i="100" s="1"/>
  <c r="F102" i="100" a="1"/>
  <c r="F102" i="100" s="1"/>
  <c r="E102" i="100" a="1"/>
  <c r="E102" i="100" s="1"/>
  <c r="D102" i="100" a="1"/>
  <c r="D102" i="100" s="1"/>
  <c r="AH101" i="100" a="1"/>
  <c r="AH101" i="100" s="1"/>
  <c r="AG101" i="100" a="1"/>
  <c r="AG101" i="100" s="1"/>
  <c r="AF101" i="100" a="1"/>
  <c r="AF101" i="100" s="1"/>
  <c r="AE101" i="100" a="1"/>
  <c r="AE101" i="100" s="1"/>
  <c r="AD101" i="100" a="1"/>
  <c r="AD101" i="100" s="1"/>
  <c r="AC101" i="100" a="1"/>
  <c r="AC101" i="100" s="1"/>
  <c r="AB101" i="100" a="1"/>
  <c r="AB101" i="100" s="1"/>
  <c r="AA101" i="100" a="1"/>
  <c r="AA101" i="100" s="1"/>
  <c r="Z101" i="100" a="1"/>
  <c r="Z101" i="100" s="1"/>
  <c r="Y101" i="100" a="1"/>
  <c r="Y101" i="100" s="1"/>
  <c r="X101" i="100" a="1"/>
  <c r="X101" i="100" s="1"/>
  <c r="W101" i="100" a="1"/>
  <c r="W101" i="100" s="1"/>
  <c r="V101" i="100" a="1"/>
  <c r="V101" i="100" s="1"/>
  <c r="U101" i="100" a="1"/>
  <c r="U101" i="100" s="1"/>
  <c r="T101" i="100" a="1"/>
  <c r="T101" i="100" s="1"/>
  <c r="S101" i="100" a="1"/>
  <c r="S101" i="100" s="1"/>
  <c r="R101" i="100" a="1"/>
  <c r="R101" i="100" s="1"/>
  <c r="Q101" i="100" a="1"/>
  <c r="Q101" i="100" s="1"/>
  <c r="P101" i="100" a="1"/>
  <c r="P101" i="100" s="1"/>
  <c r="O101" i="100" a="1"/>
  <c r="O101" i="100" s="1"/>
  <c r="N101" i="100" a="1"/>
  <c r="N101" i="100" s="1"/>
  <c r="M101" i="100" a="1"/>
  <c r="M101" i="100" s="1"/>
  <c r="L101" i="100" a="1"/>
  <c r="L101" i="100" s="1"/>
  <c r="K101" i="100" a="1"/>
  <c r="K101" i="100" s="1"/>
  <c r="J101" i="100" a="1"/>
  <c r="J101" i="100" s="1"/>
  <c r="I101" i="100" a="1"/>
  <c r="I101" i="100" s="1"/>
  <c r="H101" i="100" a="1"/>
  <c r="H101" i="100" s="1"/>
  <c r="G101" i="100" a="1"/>
  <c r="G101" i="100" s="1"/>
  <c r="F101" i="100" a="1"/>
  <c r="F101" i="100" s="1"/>
  <c r="E101" i="100" a="1"/>
  <c r="E101" i="100" s="1"/>
  <c r="D101" i="100" a="1"/>
  <c r="D101" i="100" s="1"/>
  <c r="AH100" i="100" a="1"/>
  <c r="AH100" i="100" s="1"/>
  <c r="AG100" i="100" a="1"/>
  <c r="AG100" i="100" s="1"/>
  <c r="AF100" i="100" a="1"/>
  <c r="AF100" i="100" s="1"/>
  <c r="AE100" i="100" a="1"/>
  <c r="AE100" i="100" s="1"/>
  <c r="AD100" i="100" a="1"/>
  <c r="AD100" i="100" s="1"/>
  <c r="AC100" i="100" a="1"/>
  <c r="AC100" i="100" s="1"/>
  <c r="AB100" i="100" a="1"/>
  <c r="AB100" i="100" s="1"/>
  <c r="AA100" i="100" a="1"/>
  <c r="AA100" i="100" s="1"/>
  <c r="Z100" i="100" a="1"/>
  <c r="Z100" i="100" s="1"/>
  <c r="Y100" i="100" a="1"/>
  <c r="Y100" i="100" s="1"/>
  <c r="X100" i="100" a="1"/>
  <c r="X100" i="100" s="1"/>
  <c r="W100" i="100" a="1"/>
  <c r="W100" i="100" s="1"/>
  <c r="V100" i="100" a="1"/>
  <c r="V100" i="100" s="1"/>
  <c r="U100" i="100" a="1"/>
  <c r="U100" i="100" s="1"/>
  <c r="T100" i="100" a="1"/>
  <c r="T100" i="100" s="1"/>
  <c r="S100" i="100" a="1"/>
  <c r="S100" i="100" s="1"/>
  <c r="R100" i="100" a="1"/>
  <c r="R100" i="100" s="1"/>
  <c r="Q100" i="100" a="1"/>
  <c r="Q100" i="100" s="1"/>
  <c r="P100" i="100" a="1"/>
  <c r="P100" i="100" s="1"/>
  <c r="O100" i="100" a="1"/>
  <c r="O100" i="100" s="1"/>
  <c r="N100" i="100" a="1"/>
  <c r="N100" i="100" s="1"/>
  <c r="M100" i="100" a="1"/>
  <c r="M100" i="100" s="1"/>
  <c r="L100" i="100" a="1"/>
  <c r="L100" i="100" s="1"/>
  <c r="K100" i="100" a="1"/>
  <c r="K100" i="100" s="1"/>
  <c r="J100" i="100" a="1"/>
  <c r="J100" i="100" s="1"/>
  <c r="I100" i="100" a="1"/>
  <c r="I100" i="100" s="1"/>
  <c r="H100" i="100" a="1"/>
  <c r="H100" i="100" s="1"/>
  <c r="G100" i="100" a="1"/>
  <c r="G100" i="100" s="1"/>
  <c r="F100" i="100" a="1"/>
  <c r="F100" i="100" s="1"/>
  <c r="E100" i="100" a="1"/>
  <c r="E100" i="100" s="1"/>
  <c r="D100" i="100" a="1"/>
  <c r="D100" i="100" s="1"/>
  <c r="AH99" i="100" a="1"/>
  <c r="AH99" i="100" s="1"/>
  <c r="AG99" i="100" a="1"/>
  <c r="AG99" i="100" s="1"/>
  <c r="AF99" i="100" a="1"/>
  <c r="AF99" i="100" s="1"/>
  <c r="AE99" i="100" a="1"/>
  <c r="AE99" i="100" s="1"/>
  <c r="AD99" i="100" a="1"/>
  <c r="AD99" i="100" s="1"/>
  <c r="AC99" i="100" a="1"/>
  <c r="AC99" i="100" s="1"/>
  <c r="AB99" i="100" a="1"/>
  <c r="AB99" i="100" s="1"/>
  <c r="AA99" i="100" a="1"/>
  <c r="AA99" i="100" s="1"/>
  <c r="Z99" i="100" a="1"/>
  <c r="Z99" i="100" s="1"/>
  <c r="Y99" i="100" a="1"/>
  <c r="Y99" i="100" s="1"/>
  <c r="X99" i="100" a="1"/>
  <c r="X99" i="100" s="1"/>
  <c r="W99" i="100" a="1"/>
  <c r="W99" i="100" s="1"/>
  <c r="V99" i="100" a="1"/>
  <c r="V99" i="100" s="1"/>
  <c r="U99" i="100" a="1"/>
  <c r="U99" i="100" s="1"/>
  <c r="T99" i="100" a="1"/>
  <c r="T99" i="100" s="1"/>
  <c r="S99" i="100" a="1"/>
  <c r="S99" i="100" s="1"/>
  <c r="R99" i="100" a="1"/>
  <c r="R99" i="100" s="1"/>
  <c r="Q99" i="100" a="1"/>
  <c r="Q99" i="100" s="1"/>
  <c r="P99" i="100" a="1"/>
  <c r="P99" i="100" s="1"/>
  <c r="O99" i="100" a="1"/>
  <c r="O99" i="100" s="1"/>
  <c r="N99" i="100" a="1"/>
  <c r="N99" i="100" s="1"/>
  <c r="M99" i="100" a="1"/>
  <c r="M99" i="100" s="1"/>
  <c r="L99" i="100" a="1"/>
  <c r="L99" i="100" s="1"/>
  <c r="K99" i="100" a="1"/>
  <c r="K99" i="100" s="1"/>
  <c r="J99" i="100" a="1"/>
  <c r="J99" i="100" s="1"/>
  <c r="I99" i="100" a="1"/>
  <c r="I99" i="100" s="1"/>
  <c r="H99" i="100" a="1"/>
  <c r="H99" i="100" s="1"/>
  <c r="G99" i="100" a="1"/>
  <c r="G99" i="100" s="1"/>
  <c r="F99" i="100" a="1"/>
  <c r="F99" i="100" s="1"/>
  <c r="E99" i="100" a="1"/>
  <c r="E99" i="100" s="1"/>
  <c r="D99" i="100" a="1"/>
  <c r="D99" i="100" s="1"/>
  <c r="AH98" i="100" a="1"/>
  <c r="AH98" i="100" s="1"/>
  <c r="AG98" i="100" a="1"/>
  <c r="AG98" i="100" s="1"/>
  <c r="AF98" i="100" a="1"/>
  <c r="AF98" i="100" s="1"/>
  <c r="AE98" i="100" a="1"/>
  <c r="AE98" i="100" s="1"/>
  <c r="AD98" i="100" a="1"/>
  <c r="AD98" i="100" s="1"/>
  <c r="AC98" i="100" a="1"/>
  <c r="AC98" i="100" s="1"/>
  <c r="AB98" i="100" a="1"/>
  <c r="AB98" i="100" s="1"/>
  <c r="AA98" i="100" a="1"/>
  <c r="AA98" i="100" s="1"/>
  <c r="Z98" i="100" a="1"/>
  <c r="Z98" i="100" s="1"/>
  <c r="Y98" i="100" a="1"/>
  <c r="Y98" i="100" s="1"/>
  <c r="X98" i="100" a="1"/>
  <c r="X98" i="100" s="1"/>
  <c r="W98" i="100" a="1"/>
  <c r="W98" i="100" s="1"/>
  <c r="V98" i="100" a="1"/>
  <c r="V98" i="100" s="1"/>
  <c r="U98" i="100" a="1"/>
  <c r="U98" i="100" s="1"/>
  <c r="T98" i="100" a="1"/>
  <c r="T98" i="100" s="1"/>
  <c r="S98" i="100" a="1"/>
  <c r="S98" i="100" s="1"/>
  <c r="R98" i="100" a="1"/>
  <c r="R98" i="100" s="1"/>
  <c r="Q98" i="100" a="1"/>
  <c r="Q98" i="100" s="1"/>
  <c r="P98" i="100" a="1"/>
  <c r="P98" i="100" s="1"/>
  <c r="O98" i="100" a="1"/>
  <c r="O98" i="100" s="1"/>
  <c r="N98" i="100" a="1"/>
  <c r="N98" i="100" s="1"/>
  <c r="M98" i="100" a="1"/>
  <c r="M98" i="100" s="1"/>
  <c r="L98" i="100" a="1"/>
  <c r="L98" i="100" s="1"/>
  <c r="K98" i="100" a="1"/>
  <c r="K98" i="100" s="1"/>
  <c r="J98" i="100" a="1"/>
  <c r="J98" i="100" s="1"/>
  <c r="I98" i="100" a="1"/>
  <c r="I98" i="100" s="1"/>
  <c r="H98" i="100" a="1"/>
  <c r="H98" i="100" s="1"/>
  <c r="G98" i="100" a="1"/>
  <c r="G98" i="100" s="1"/>
  <c r="F98" i="100" a="1"/>
  <c r="F98" i="100" s="1"/>
  <c r="E98" i="100" a="1"/>
  <c r="E98" i="100" s="1"/>
  <c r="D98" i="100" a="1"/>
  <c r="D98" i="100" s="1"/>
  <c r="AH97" i="100" a="1"/>
  <c r="AH97" i="100" s="1"/>
  <c r="AG97" i="100" a="1"/>
  <c r="AG97" i="100" s="1"/>
  <c r="AF97" i="100" a="1"/>
  <c r="AF97" i="100" s="1"/>
  <c r="AE97" i="100" a="1"/>
  <c r="AE97" i="100" s="1"/>
  <c r="AD97" i="100" a="1"/>
  <c r="AD97" i="100" s="1"/>
  <c r="AC97" i="100" a="1"/>
  <c r="AC97" i="100" s="1"/>
  <c r="AB97" i="100" a="1"/>
  <c r="AB97" i="100" s="1"/>
  <c r="AA97" i="100" a="1"/>
  <c r="AA97" i="100" s="1"/>
  <c r="Z97" i="100" a="1"/>
  <c r="Z97" i="100" s="1"/>
  <c r="Y97" i="100" a="1"/>
  <c r="Y97" i="100" s="1"/>
  <c r="X97" i="100" a="1"/>
  <c r="X97" i="100" s="1"/>
  <c r="W97" i="100" a="1"/>
  <c r="W97" i="100" s="1"/>
  <c r="V97" i="100" a="1"/>
  <c r="V97" i="100" s="1"/>
  <c r="U97" i="100" a="1"/>
  <c r="U97" i="100" s="1"/>
  <c r="T97" i="100" a="1"/>
  <c r="T97" i="100" s="1"/>
  <c r="S97" i="100" a="1"/>
  <c r="S97" i="100" s="1"/>
  <c r="R97" i="100" a="1"/>
  <c r="R97" i="100" s="1"/>
  <c r="Q97" i="100" a="1"/>
  <c r="Q97" i="100" s="1"/>
  <c r="P97" i="100" a="1"/>
  <c r="P97" i="100" s="1"/>
  <c r="O97" i="100" a="1"/>
  <c r="O97" i="100" s="1"/>
  <c r="N97" i="100" a="1"/>
  <c r="N97" i="100" s="1"/>
  <c r="M97" i="100" a="1"/>
  <c r="M97" i="100" s="1"/>
  <c r="L97" i="100" a="1"/>
  <c r="L97" i="100" s="1"/>
  <c r="K97" i="100" a="1"/>
  <c r="K97" i="100" s="1"/>
  <c r="J97" i="100" a="1"/>
  <c r="J97" i="100" s="1"/>
  <c r="I97" i="100" a="1"/>
  <c r="I97" i="100" s="1"/>
  <c r="H97" i="100" a="1"/>
  <c r="H97" i="100" s="1"/>
  <c r="G97" i="100" a="1"/>
  <c r="G97" i="100" s="1"/>
  <c r="F97" i="100" a="1"/>
  <c r="F97" i="100" s="1"/>
  <c r="E97" i="100" a="1"/>
  <c r="E97" i="100" s="1"/>
  <c r="D97" i="100" a="1"/>
  <c r="D97" i="100" s="1"/>
  <c r="AH96" i="100" a="1"/>
  <c r="AH96" i="100" s="1"/>
  <c r="AG96" i="100" a="1"/>
  <c r="AG96" i="100" s="1"/>
  <c r="AF96" i="100" a="1"/>
  <c r="AF96" i="100" s="1"/>
  <c r="AE96" i="100" a="1"/>
  <c r="AE96" i="100" s="1"/>
  <c r="AD96" i="100" a="1"/>
  <c r="AD96" i="100" s="1"/>
  <c r="AC96" i="100" a="1"/>
  <c r="AC96" i="100" s="1"/>
  <c r="AB96" i="100" a="1"/>
  <c r="AB96" i="100" s="1"/>
  <c r="AA96" i="100" a="1"/>
  <c r="AA96" i="100" s="1"/>
  <c r="Z96" i="100" a="1"/>
  <c r="Z96" i="100" s="1"/>
  <c r="Y96" i="100" a="1"/>
  <c r="Y96" i="100" s="1"/>
  <c r="X96" i="100" a="1"/>
  <c r="X96" i="100" s="1"/>
  <c r="W96" i="100" a="1"/>
  <c r="W96" i="100" s="1"/>
  <c r="V96" i="100" a="1"/>
  <c r="V96" i="100" s="1"/>
  <c r="U96" i="100" a="1"/>
  <c r="U96" i="100" s="1"/>
  <c r="T96" i="100" a="1"/>
  <c r="T96" i="100" s="1"/>
  <c r="S96" i="100" a="1"/>
  <c r="S96" i="100" s="1"/>
  <c r="R96" i="100" a="1"/>
  <c r="R96" i="100" s="1"/>
  <c r="Q96" i="100" a="1"/>
  <c r="Q96" i="100" s="1"/>
  <c r="P96" i="100" a="1"/>
  <c r="P96" i="100" s="1"/>
  <c r="O96" i="100" a="1"/>
  <c r="O96" i="100" s="1"/>
  <c r="N96" i="100" a="1"/>
  <c r="N96" i="100" s="1"/>
  <c r="M96" i="100" a="1"/>
  <c r="M96" i="100" s="1"/>
  <c r="L96" i="100" a="1"/>
  <c r="L96" i="100" s="1"/>
  <c r="K96" i="100" a="1"/>
  <c r="K96" i="100" s="1"/>
  <c r="J96" i="100" a="1"/>
  <c r="J96" i="100" s="1"/>
  <c r="I96" i="100" a="1"/>
  <c r="I96" i="100" s="1"/>
  <c r="H96" i="100" a="1"/>
  <c r="H96" i="100" s="1"/>
  <c r="G96" i="100" a="1"/>
  <c r="G96" i="100" s="1"/>
  <c r="F96" i="100" a="1"/>
  <c r="F96" i="100" s="1"/>
  <c r="E96" i="100" a="1"/>
  <c r="E96" i="100" s="1"/>
  <c r="D96" i="100" a="1"/>
  <c r="D96" i="100" s="1"/>
  <c r="AH95" i="100" a="1"/>
  <c r="AH95" i="100" s="1"/>
  <c r="AG95" i="100" a="1"/>
  <c r="AG95" i="100" s="1"/>
  <c r="AF95" i="100" a="1"/>
  <c r="AF95" i="100" s="1"/>
  <c r="AE95" i="100" a="1"/>
  <c r="AE95" i="100" s="1"/>
  <c r="AD95" i="100" a="1"/>
  <c r="AD95" i="100" s="1"/>
  <c r="AC95" i="100" a="1"/>
  <c r="AC95" i="100" s="1"/>
  <c r="AB95" i="100" a="1"/>
  <c r="AB95" i="100" s="1"/>
  <c r="AA95" i="100" a="1"/>
  <c r="AA95" i="100" s="1"/>
  <c r="Z95" i="100" a="1"/>
  <c r="Z95" i="100" s="1"/>
  <c r="Y95" i="100" a="1"/>
  <c r="Y95" i="100" s="1"/>
  <c r="X95" i="100" a="1"/>
  <c r="X95" i="100" s="1"/>
  <c r="W95" i="100" a="1"/>
  <c r="W95" i="100" s="1"/>
  <c r="V95" i="100" a="1"/>
  <c r="V95" i="100" s="1"/>
  <c r="U95" i="100" a="1"/>
  <c r="U95" i="100" s="1"/>
  <c r="T95" i="100" a="1"/>
  <c r="T95" i="100" s="1"/>
  <c r="S95" i="100" a="1"/>
  <c r="S95" i="100" s="1"/>
  <c r="R95" i="100" a="1"/>
  <c r="R95" i="100" s="1"/>
  <c r="Q95" i="100" a="1"/>
  <c r="Q95" i="100" s="1"/>
  <c r="P95" i="100" a="1"/>
  <c r="P95" i="100" s="1"/>
  <c r="O95" i="100" a="1"/>
  <c r="O95" i="100" s="1"/>
  <c r="N95" i="100" a="1"/>
  <c r="N95" i="100" s="1"/>
  <c r="M95" i="100" a="1"/>
  <c r="M95" i="100" s="1"/>
  <c r="L95" i="100" a="1"/>
  <c r="L95" i="100" s="1"/>
  <c r="K95" i="100" a="1"/>
  <c r="K95" i="100" s="1"/>
  <c r="J95" i="100" a="1"/>
  <c r="J95" i="100" s="1"/>
  <c r="I95" i="100" a="1"/>
  <c r="I95" i="100" s="1"/>
  <c r="H95" i="100" a="1"/>
  <c r="H95" i="100" s="1"/>
  <c r="G95" i="100" a="1"/>
  <c r="G95" i="100" s="1"/>
  <c r="F95" i="100" a="1"/>
  <c r="F95" i="100" s="1"/>
  <c r="E95" i="100" a="1"/>
  <c r="E95" i="100" s="1"/>
  <c r="D95" i="100" a="1"/>
  <c r="D95" i="100" s="1"/>
  <c r="AH94" i="100" a="1"/>
  <c r="AH94" i="100" s="1"/>
  <c r="AG94" i="100" a="1"/>
  <c r="AG94" i="100" s="1"/>
  <c r="AF94" i="100" a="1"/>
  <c r="AF94" i="100" s="1"/>
  <c r="AE94" i="100" a="1"/>
  <c r="AE94" i="100" s="1"/>
  <c r="AD94" i="100" a="1"/>
  <c r="AD94" i="100" s="1"/>
  <c r="AC94" i="100" a="1"/>
  <c r="AC94" i="100" s="1"/>
  <c r="AB94" i="100" a="1"/>
  <c r="AB94" i="100" s="1"/>
  <c r="AA94" i="100" a="1"/>
  <c r="AA94" i="100" s="1"/>
  <c r="Z94" i="100" a="1"/>
  <c r="Z94" i="100" s="1"/>
  <c r="Y94" i="100" a="1"/>
  <c r="Y94" i="100" s="1"/>
  <c r="X94" i="100" a="1"/>
  <c r="X94" i="100" s="1"/>
  <c r="W94" i="100" a="1"/>
  <c r="W94" i="100" s="1"/>
  <c r="V94" i="100" a="1"/>
  <c r="V94" i="100" s="1"/>
  <c r="U94" i="100" a="1"/>
  <c r="U94" i="100" s="1"/>
  <c r="T94" i="100" a="1"/>
  <c r="T94" i="100" s="1"/>
  <c r="S94" i="100" a="1"/>
  <c r="S94" i="100" s="1"/>
  <c r="R94" i="100" a="1"/>
  <c r="R94" i="100" s="1"/>
  <c r="Q94" i="100" a="1"/>
  <c r="Q94" i="100" s="1"/>
  <c r="P94" i="100" a="1"/>
  <c r="P94" i="100" s="1"/>
  <c r="O94" i="100" a="1"/>
  <c r="O94" i="100" s="1"/>
  <c r="N94" i="100" a="1"/>
  <c r="N94" i="100" s="1"/>
  <c r="M94" i="100" a="1"/>
  <c r="M94" i="100" s="1"/>
  <c r="L94" i="100" a="1"/>
  <c r="L94" i="100" s="1"/>
  <c r="K94" i="100" a="1"/>
  <c r="K94" i="100" s="1"/>
  <c r="J94" i="100" a="1"/>
  <c r="J94" i="100" s="1"/>
  <c r="I94" i="100" a="1"/>
  <c r="I94" i="100" s="1"/>
  <c r="H94" i="100" a="1"/>
  <c r="H94" i="100" s="1"/>
  <c r="G94" i="100" a="1"/>
  <c r="G94" i="100" s="1"/>
  <c r="F94" i="100" a="1"/>
  <c r="F94" i="100" s="1"/>
  <c r="E94" i="100" a="1"/>
  <c r="E94" i="100" s="1"/>
  <c r="D94" i="100" a="1"/>
  <c r="D94" i="100" s="1"/>
  <c r="AH93" i="100" a="1"/>
  <c r="AH93" i="100" s="1"/>
  <c r="AG93" i="100" a="1"/>
  <c r="AG93" i="100" s="1"/>
  <c r="AF93" i="100" a="1"/>
  <c r="AF93" i="100" s="1"/>
  <c r="AE93" i="100" a="1"/>
  <c r="AE93" i="100" s="1"/>
  <c r="AD93" i="100" a="1"/>
  <c r="AD93" i="100" s="1"/>
  <c r="AC93" i="100" a="1"/>
  <c r="AC93" i="100" s="1"/>
  <c r="AB93" i="100" a="1"/>
  <c r="AB93" i="100" s="1"/>
  <c r="AA93" i="100" a="1"/>
  <c r="AA93" i="100" s="1"/>
  <c r="Z93" i="100" a="1"/>
  <c r="Z93" i="100" s="1"/>
  <c r="Y93" i="100" a="1"/>
  <c r="Y93" i="100" s="1"/>
  <c r="X93" i="100" a="1"/>
  <c r="X93" i="100" s="1"/>
  <c r="W93" i="100" a="1"/>
  <c r="W93" i="100" s="1"/>
  <c r="V93" i="100" a="1"/>
  <c r="V93" i="100" s="1"/>
  <c r="U93" i="100" a="1"/>
  <c r="U93" i="100" s="1"/>
  <c r="T93" i="100" a="1"/>
  <c r="T93" i="100" s="1"/>
  <c r="S93" i="100" a="1"/>
  <c r="S93" i="100" s="1"/>
  <c r="R93" i="100" a="1"/>
  <c r="R93" i="100" s="1"/>
  <c r="Q93" i="100" a="1"/>
  <c r="Q93" i="100" s="1"/>
  <c r="P93" i="100" a="1"/>
  <c r="P93" i="100" s="1"/>
  <c r="O93" i="100" a="1"/>
  <c r="O93" i="100" s="1"/>
  <c r="N93" i="100" a="1"/>
  <c r="N93" i="100" s="1"/>
  <c r="M93" i="100" a="1"/>
  <c r="M93" i="100" s="1"/>
  <c r="L93" i="100" a="1"/>
  <c r="L93" i="100" s="1"/>
  <c r="K93" i="100" a="1"/>
  <c r="K93" i="100" s="1"/>
  <c r="J93" i="100" a="1"/>
  <c r="J93" i="100" s="1"/>
  <c r="I93" i="100" a="1"/>
  <c r="I93" i="100" s="1"/>
  <c r="H93" i="100" a="1"/>
  <c r="H93" i="100" s="1"/>
  <c r="G93" i="100" a="1"/>
  <c r="G93" i="100" s="1"/>
  <c r="F93" i="100" a="1"/>
  <c r="F93" i="100" s="1"/>
  <c r="E93" i="100" a="1"/>
  <c r="E93" i="100" s="1"/>
  <c r="D93" i="100" a="1"/>
  <c r="D93" i="100" s="1"/>
  <c r="AH92" i="100" a="1"/>
  <c r="AH92" i="100" s="1"/>
  <c r="AG92" i="100" a="1"/>
  <c r="AG92" i="100" s="1"/>
  <c r="AF92" i="100" a="1"/>
  <c r="AF92" i="100" s="1"/>
  <c r="AE92" i="100" a="1"/>
  <c r="AE92" i="100" s="1"/>
  <c r="AD92" i="100" a="1"/>
  <c r="AD92" i="100" s="1"/>
  <c r="AC92" i="100" a="1"/>
  <c r="AC92" i="100" s="1"/>
  <c r="AB92" i="100" a="1"/>
  <c r="AB92" i="100" s="1"/>
  <c r="AA92" i="100" a="1"/>
  <c r="AA92" i="100" s="1"/>
  <c r="Z92" i="100" a="1"/>
  <c r="Z92" i="100" s="1"/>
  <c r="Y92" i="100" a="1"/>
  <c r="Y92" i="100" s="1"/>
  <c r="X92" i="100" a="1"/>
  <c r="X92" i="100" s="1"/>
  <c r="W92" i="100" a="1"/>
  <c r="W92" i="100" s="1"/>
  <c r="V92" i="100" a="1"/>
  <c r="V92" i="100" s="1"/>
  <c r="U92" i="100" a="1"/>
  <c r="U92" i="100" s="1"/>
  <c r="T92" i="100" a="1"/>
  <c r="T92" i="100" s="1"/>
  <c r="S92" i="100" a="1"/>
  <c r="S92" i="100" s="1"/>
  <c r="R92" i="100" a="1"/>
  <c r="R92" i="100" s="1"/>
  <c r="Q92" i="100" a="1"/>
  <c r="Q92" i="100" s="1"/>
  <c r="P92" i="100" a="1"/>
  <c r="P92" i="100" s="1"/>
  <c r="O92" i="100" a="1"/>
  <c r="O92" i="100" s="1"/>
  <c r="N92" i="100" a="1"/>
  <c r="N92" i="100" s="1"/>
  <c r="M92" i="100" a="1"/>
  <c r="M92" i="100" s="1"/>
  <c r="L92" i="100" a="1"/>
  <c r="L92" i="100" s="1"/>
  <c r="K92" i="100" a="1"/>
  <c r="K92" i="100" s="1"/>
  <c r="J92" i="100" a="1"/>
  <c r="J92" i="100" s="1"/>
  <c r="I92" i="100" a="1"/>
  <c r="I92" i="100" s="1"/>
  <c r="H92" i="100" a="1"/>
  <c r="H92" i="100" s="1"/>
  <c r="G92" i="100" a="1"/>
  <c r="G92" i="100" s="1"/>
  <c r="F92" i="100" a="1"/>
  <c r="F92" i="100" s="1"/>
  <c r="E92" i="100" a="1"/>
  <c r="E92" i="100" s="1"/>
  <c r="D92" i="100" a="1"/>
  <c r="D92" i="100" s="1"/>
  <c r="AH91" i="100" a="1"/>
  <c r="AH91" i="100" s="1"/>
  <c r="AG91" i="100" a="1"/>
  <c r="AG91" i="100" s="1"/>
  <c r="AF91" i="100" a="1"/>
  <c r="AF91" i="100" s="1"/>
  <c r="AE91" i="100" a="1"/>
  <c r="AE91" i="100" s="1"/>
  <c r="AD91" i="100" a="1"/>
  <c r="AD91" i="100" s="1"/>
  <c r="AC91" i="100" a="1"/>
  <c r="AC91" i="100" s="1"/>
  <c r="AB91" i="100" a="1"/>
  <c r="AB91" i="100" s="1"/>
  <c r="AA91" i="100" a="1"/>
  <c r="AA91" i="100" s="1"/>
  <c r="Z91" i="100" a="1"/>
  <c r="Z91" i="100" s="1"/>
  <c r="Y91" i="100" a="1"/>
  <c r="Y91" i="100" s="1"/>
  <c r="X91" i="100" a="1"/>
  <c r="X91" i="100" s="1"/>
  <c r="W91" i="100" a="1"/>
  <c r="W91" i="100" s="1"/>
  <c r="V91" i="100" a="1"/>
  <c r="V91" i="100" s="1"/>
  <c r="U91" i="100" a="1"/>
  <c r="U91" i="100" s="1"/>
  <c r="T91" i="100" a="1"/>
  <c r="T91" i="100" s="1"/>
  <c r="S91" i="100" a="1"/>
  <c r="S91" i="100" s="1"/>
  <c r="R91" i="100" a="1"/>
  <c r="R91" i="100" s="1"/>
  <c r="Q91" i="100" a="1"/>
  <c r="Q91" i="100" s="1"/>
  <c r="P91" i="100" a="1"/>
  <c r="P91" i="100" s="1"/>
  <c r="O91" i="100" a="1"/>
  <c r="O91" i="100" s="1"/>
  <c r="N91" i="100" a="1"/>
  <c r="N91" i="100" s="1"/>
  <c r="M91" i="100" a="1"/>
  <c r="M91" i="100" s="1"/>
  <c r="L91" i="100" a="1"/>
  <c r="L91" i="100" s="1"/>
  <c r="K91" i="100" a="1"/>
  <c r="K91" i="100" s="1"/>
  <c r="J91" i="100" a="1"/>
  <c r="J91" i="100" s="1"/>
  <c r="I91" i="100" a="1"/>
  <c r="I91" i="100" s="1"/>
  <c r="H91" i="100" a="1"/>
  <c r="H91" i="100" s="1"/>
  <c r="G91" i="100" a="1"/>
  <c r="G91" i="100" s="1"/>
  <c r="F91" i="100" a="1"/>
  <c r="F91" i="100" s="1"/>
  <c r="E91" i="100" a="1"/>
  <c r="E91" i="100" s="1"/>
  <c r="D91" i="100" a="1"/>
  <c r="D91" i="100" s="1"/>
  <c r="AH90" i="100" a="1"/>
  <c r="AH90" i="100" s="1"/>
  <c r="AG90" i="100" a="1"/>
  <c r="AG90" i="100" s="1"/>
  <c r="AF90" i="100" a="1"/>
  <c r="AF90" i="100" s="1"/>
  <c r="AE90" i="100" a="1"/>
  <c r="AE90" i="100" s="1"/>
  <c r="AD90" i="100" a="1"/>
  <c r="AD90" i="100" s="1"/>
  <c r="AC90" i="100" a="1"/>
  <c r="AC90" i="100" s="1"/>
  <c r="AB90" i="100" a="1"/>
  <c r="AB90" i="100" s="1"/>
  <c r="AA90" i="100" a="1"/>
  <c r="AA90" i="100" s="1"/>
  <c r="Z90" i="100" a="1"/>
  <c r="Z90" i="100" s="1"/>
  <c r="Y90" i="100" a="1"/>
  <c r="Y90" i="100" s="1"/>
  <c r="X90" i="100" a="1"/>
  <c r="X90" i="100" s="1"/>
  <c r="W90" i="100" a="1"/>
  <c r="W90" i="100" s="1"/>
  <c r="V90" i="100" a="1"/>
  <c r="V90" i="100" s="1"/>
  <c r="U90" i="100" a="1"/>
  <c r="U90" i="100" s="1"/>
  <c r="T90" i="100" a="1"/>
  <c r="T90" i="100" s="1"/>
  <c r="S90" i="100" a="1"/>
  <c r="S90" i="100" s="1"/>
  <c r="R90" i="100" a="1"/>
  <c r="R90" i="100" s="1"/>
  <c r="Q90" i="100" a="1"/>
  <c r="Q90" i="100" s="1"/>
  <c r="P90" i="100" a="1"/>
  <c r="P90" i="100" s="1"/>
  <c r="O90" i="100" a="1"/>
  <c r="O90" i="100" s="1"/>
  <c r="N90" i="100" a="1"/>
  <c r="N90" i="100" s="1"/>
  <c r="M90" i="100" a="1"/>
  <c r="M90" i="100" s="1"/>
  <c r="L90" i="100" a="1"/>
  <c r="L90" i="100" s="1"/>
  <c r="K90" i="100" a="1"/>
  <c r="K90" i="100" s="1"/>
  <c r="J90" i="100" a="1"/>
  <c r="J90" i="100" s="1"/>
  <c r="I90" i="100" a="1"/>
  <c r="I90" i="100" s="1"/>
  <c r="H90" i="100" a="1"/>
  <c r="H90" i="100" s="1"/>
  <c r="G90" i="100" a="1"/>
  <c r="G90" i="100" s="1"/>
  <c r="F90" i="100" a="1"/>
  <c r="F90" i="100" s="1"/>
  <c r="E90" i="100" a="1"/>
  <c r="E90" i="100" s="1"/>
  <c r="D90" i="100" a="1"/>
  <c r="D90" i="100" s="1"/>
  <c r="F83" i="100" a="1"/>
  <c r="F83" i="100" s="1"/>
  <c r="E83" i="100" a="1"/>
  <c r="E83" i="100" s="1"/>
  <c r="D83" i="100" a="1"/>
  <c r="D83" i="100" s="1"/>
  <c r="D82" i="100" a="1"/>
  <c r="D82" i="100" s="1"/>
  <c r="D81" i="100" a="1"/>
  <c r="D81" i="100" s="1"/>
  <c r="F78" i="100" a="1"/>
  <c r="F78" i="100" s="1"/>
  <c r="E78" i="100" a="1"/>
  <c r="E78" i="100" s="1"/>
  <c r="D78" i="100" a="1"/>
  <c r="D78" i="100" s="1"/>
  <c r="D77" i="100" a="1"/>
  <c r="D77" i="100" s="1"/>
  <c r="D76" i="100" a="1"/>
  <c r="D76" i="100" s="1"/>
  <c r="F73" i="100" a="1"/>
  <c r="F73" i="100" s="1"/>
  <c r="E73" i="100" a="1"/>
  <c r="E73" i="100" s="1"/>
  <c r="D73" i="100" a="1"/>
  <c r="D73" i="100" s="1"/>
  <c r="D72" i="100" a="1"/>
  <c r="D72" i="100" s="1"/>
  <c r="D71" i="100" a="1"/>
  <c r="D71" i="100" s="1"/>
  <c r="F68" i="100" a="1"/>
  <c r="F68" i="100" s="1"/>
  <c r="E68" i="100" a="1"/>
  <c r="E68" i="100" s="1"/>
  <c r="D68" i="100" a="1"/>
  <c r="D68" i="100" s="1"/>
  <c r="F67" i="100" a="1"/>
  <c r="F67" i="100" s="1"/>
  <c r="I19" i="97" s="1"/>
  <c r="E67" i="100" a="1"/>
  <c r="E67" i="100" s="1"/>
  <c r="I18" i="97" s="1"/>
  <c r="D67" i="100" a="1"/>
  <c r="D67" i="100" s="1"/>
  <c r="F66" i="100" a="1"/>
  <c r="F66" i="100" s="1"/>
  <c r="I16" i="97" s="1"/>
  <c r="E66" i="100" a="1"/>
  <c r="E66" i="100" s="1"/>
  <c r="I15" i="97" s="1"/>
  <c r="D66" i="100" a="1"/>
  <c r="D66" i="100" s="1"/>
  <c r="D64" i="100" a="1"/>
  <c r="D64" i="100" s="1"/>
  <c r="D63" i="100" a="1"/>
  <c r="D63" i="100" s="1"/>
  <c r="F60" i="100" a="1"/>
  <c r="F60" i="100" s="1"/>
  <c r="E60" i="100" a="1"/>
  <c r="E60" i="100" s="1"/>
  <c r="I50" i="95" s="1"/>
  <c r="D60" i="100" a="1"/>
  <c r="D60" i="100" s="1"/>
  <c r="D59" i="100" a="1"/>
  <c r="D59" i="100" s="1"/>
  <c r="D58" i="100" a="1"/>
  <c r="D58" i="100" s="1"/>
  <c r="E55" i="100" a="1"/>
  <c r="E55" i="100" s="1"/>
  <c r="D55" i="100" a="1"/>
  <c r="D55" i="100" s="1"/>
  <c r="E54" i="100" a="1"/>
  <c r="E54" i="100" s="1"/>
  <c r="D54" i="100" a="1"/>
  <c r="D54" i="100" s="1"/>
  <c r="E53" i="100" a="1"/>
  <c r="E53" i="100" s="1"/>
  <c r="D53" i="100" a="1"/>
  <c r="D53" i="100" s="1"/>
  <c r="E52" i="100" a="1"/>
  <c r="E52" i="100" s="1"/>
  <c r="D52" i="100" a="1"/>
  <c r="D52" i="100" s="1"/>
  <c r="E51" i="100" a="1"/>
  <c r="E51" i="100" s="1"/>
  <c r="D51" i="100" a="1"/>
  <c r="D51" i="100" s="1"/>
  <c r="D49" i="100" a="1"/>
  <c r="D49" i="100" s="1"/>
  <c r="D48" i="100" a="1"/>
  <c r="D48" i="100" s="1"/>
  <c r="I38" i="100" a="1"/>
  <c r="I38" i="100" s="1"/>
  <c r="H38" i="100" a="1"/>
  <c r="H38" i="100" s="1"/>
  <c r="G38" i="100" a="1"/>
  <c r="G38" i="100" s="1"/>
  <c r="F38" i="100" a="1"/>
  <c r="F38" i="100" s="1"/>
  <c r="E38" i="100" a="1"/>
  <c r="E38" i="100" s="1"/>
  <c r="D38" i="100" a="1"/>
  <c r="D38" i="100" s="1"/>
  <c r="G180" i="126" s="1"/>
  <c r="I37" i="100" a="1"/>
  <c r="I37" i="100" s="1"/>
  <c r="H37" i="100" a="1"/>
  <c r="H37" i="100" s="1"/>
  <c r="G37" i="100" a="1"/>
  <c r="G37" i="100" s="1"/>
  <c r="F37" i="100" a="1"/>
  <c r="F37" i="100" s="1"/>
  <c r="E37" i="100" a="1"/>
  <c r="E37" i="100" s="1"/>
  <c r="D37" i="100" a="1"/>
  <c r="D37" i="100" s="1"/>
  <c r="I36" i="100" a="1"/>
  <c r="I36" i="100" s="1"/>
  <c r="H36" i="100" a="1"/>
  <c r="H36" i="100" s="1"/>
  <c r="G36" i="100" a="1"/>
  <c r="G36" i="100" s="1"/>
  <c r="F36" i="100" a="1"/>
  <c r="F36" i="100" s="1"/>
  <c r="E36" i="100" a="1"/>
  <c r="E36" i="100" s="1"/>
  <c r="D36" i="100" a="1"/>
  <c r="D36" i="100" s="1"/>
  <c r="G190" i="126" s="1"/>
  <c r="I35" i="100" a="1"/>
  <c r="I35" i="100" s="1"/>
  <c r="H35" i="100" a="1"/>
  <c r="H35" i="100" s="1"/>
  <c r="G35" i="100" a="1"/>
  <c r="G35" i="100" s="1"/>
  <c r="F35" i="100" a="1"/>
  <c r="F35" i="100" s="1"/>
  <c r="E35" i="100" a="1"/>
  <c r="E35" i="100" s="1"/>
  <c r="D35" i="100" a="1"/>
  <c r="D35" i="100" s="1"/>
  <c r="G182" i="126" s="1"/>
  <c r="I34" i="100" a="1"/>
  <c r="I34" i="100" s="1"/>
  <c r="H34" i="100" a="1"/>
  <c r="H34" i="100" s="1"/>
  <c r="G34" i="100" a="1"/>
  <c r="G34" i="100" s="1"/>
  <c r="F34" i="100" a="1"/>
  <c r="F34" i="100" s="1"/>
  <c r="E34" i="100" a="1"/>
  <c r="E34" i="100" s="1"/>
  <c r="D34" i="100" a="1"/>
  <c r="D34" i="100" s="1"/>
  <c r="G184" i="126" s="1"/>
  <c r="I33" i="100" a="1"/>
  <c r="I33" i="100" s="1"/>
  <c r="H33" i="100" a="1"/>
  <c r="H33" i="100" s="1"/>
  <c r="G33" i="100" a="1"/>
  <c r="G33" i="100" s="1"/>
  <c r="F33" i="100" a="1"/>
  <c r="F33" i="100" s="1"/>
  <c r="E33" i="100" a="1"/>
  <c r="E33" i="100" s="1"/>
  <c r="D33" i="100" a="1"/>
  <c r="D33" i="100" s="1"/>
  <c r="G198" i="126" s="1"/>
  <c r="I32" i="100" a="1"/>
  <c r="I32" i="100" s="1"/>
  <c r="H32" i="100" a="1"/>
  <c r="H32" i="100" s="1"/>
  <c r="G32" i="100" a="1"/>
  <c r="G32" i="100" s="1"/>
  <c r="F32" i="100" a="1"/>
  <c r="F32" i="100" s="1"/>
  <c r="E32" i="100" a="1"/>
  <c r="E32" i="100" s="1"/>
  <c r="D32" i="100" a="1"/>
  <c r="D32" i="100" s="1"/>
  <c r="G191" i="126" s="1"/>
  <c r="I31" i="100" a="1"/>
  <c r="I31" i="100" s="1"/>
  <c r="H31" i="100" a="1"/>
  <c r="H31" i="100" s="1"/>
  <c r="G31" i="100" a="1"/>
  <c r="G31" i="100" s="1"/>
  <c r="F31" i="100" a="1"/>
  <c r="F31" i="100" s="1"/>
  <c r="E31" i="100" a="1"/>
  <c r="E31" i="100" s="1"/>
  <c r="D31" i="100" a="1"/>
  <c r="D31" i="100" s="1"/>
  <c r="G189" i="126" s="1"/>
  <c r="I30" i="100" a="1"/>
  <c r="I30" i="100" s="1"/>
  <c r="H30" i="100" a="1"/>
  <c r="H30" i="100" s="1"/>
  <c r="G30" i="100" a="1"/>
  <c r="G30" i="100" s="1"/>
  <c r="F30" i="100" a="1"/>
  <c r="F30" i="100" s="1"/>
  <c r="E30" i="100" a="1"/>
  <c r="E30" i="100" s="1"/>
  <c r="D30" i="100" a="1"/>
  <c r="D30" i="100" s="1"/>
  <c r="G188" i="126" s="1"/>
  <c r="I29" i="100" a="1"/>
  <c r="I29" i="100" s="1"/>
  <c r="H29" i="100" a="1"/>
  <c r="H29" i="100" s="1"/>
  <c r="G29" i="100" a="1"/>
  <c r="G29" i="100" s="1"/>
  <c r="F29" i="100" a="1"/>
  <c r="F29" i="100" s="1"/>
  <c r="E29" i="100" a="1"/>
  <c r="E29" i="100" s="1"/>
  <c r="D29" i="100" a="1"/>
  <c r="D29" i="100" s="1"/>
  <c r="G186" i="126" s="1"/>
  <c r="R28" i="100" a="1"/>
  <c r="R28" i="100" s="1"/>
  <c r="Q28" i="100" a="1"/>
  <c r="Q28" i="100" s="1"/>
  <c r="L28" i="100" a="1"/>
  <c r="L28" i="100" s="1"/>
  <c r="K28" i="100" a="1"/>
  <c r="K28" i="100" s="1"/>
  <c r="I28" i="100" a="1"/>
  <c r="I28" i="100" s="1"/>
  <c r="H28" i="100" a="1"/>
  <c r="H28" i="100" s="1"/>
  <c r="G28" i="100" a="1"/>
  <c r="G28" i="100" s="1"/>
  <c r="F28" i="100" a="1"/>
  <c r="F28" i="100" s="1"/>
  <c r="E28" i="100" a="1"/>
  <c r="E28" i="100" s="1"/>
  <c r="D28" i="100" a="1"/>
  <c r="D28" i="100" s="1"/>
  <c r="G187" i="126" s="1"/>
  <c r="R27" i="100" a="1"/>
  <c r="R27" i="100" s="1"/>
  <c r="Q27" i="100" a="1"/>
  <c r="Q27" i="100" s="1"/>
  <c r="L27" i="100" a="1"/>
  <c r="L27" i="100" s="1"/>
  <c r="K27" i="100" a="1"/>
  <c r="K27" i="100" s="1"/>
  <c r="I27" i="100" a="1"/>
  <c r="I27" i="100" s="1"/>
  <c r="H27" i="100" a="1"/>
  <c r="H27" i="100" s="1"/>
  <c r="G27" i="100" a="1"/>
  <c r="G27" i="100" s="1"/>
  <c r="F27" i="100" a="1"/>
  <c r="F27" i="100" s="1"/>
  <c r="E27" i="100" a="1"/>
  <c r="E27" i="100" s="1"/>
  <c r="D27" i="100" a="1"/>
  <c r="D27" i="100" s="1"/>
  <c r="G185" i="126" s="1"/>
  <c r="R26" i="100" a="1"/>
  <c r="R26" i="100" s="1"/>
  <c r="Q26" i="100" a="1"/>
  <c r="Q26" i="100" s="1"/>
  <c r="L26" i="100" a="1"/>
  <c r="L26" i="100" s="1"/>
  <c r="K26" i="100" a="1"/>
  <c r="K26" i="100" s="1"/>
  <c r="I26" i="100" a="1"/>
  <c r="I26" i="100" s="1"/>
  <c r="H26" i="100" a="1"/>
  <c r="H26" i="100" s="1"/>
  <c r="G26" i="100" a="1"/>
  <c r="G26" i="100" s="1"/>
  <c r="F26" i="100" a="1"/>
  <c r="F26" i="100" s="1"/>
  <c r="E26" i="100" a="1"/>
  <c r="E26" i="100" s="1"/>
  <c r="D26" i="100" a="1"/>
  <c r="D26" i="100" s="1"/>
  <c r="G179" i="126" s="1"/>
  <c r="R25" i="100" a="1"/>
  <c r="R25" i="100" s="1"/>
  <c r="Q25" i="100" a="1"/>
  <c r="Q25" i="100" s="1"/>
  <c r="L25" i="100" a="1"/>
  <c r="L25" i="100" s="1"/>
  <c r="K25" i="100" a="1"/>
  <c r="K25" i="100" s="1"/>
  <c r="I25" i="100" a="1"/>
  <c r="I25" i="100" s="1"/>
  <c r="H25" i="100" a="1"/>
  <c r="H25" i="100" s="1"/>
  <c r="G25" i="100" a="1"/>
  <c r="G25" i="100" s="1"/>
  <c r="F25" i="100" a="1"/>
  <c r="F25" i="100" s="1"/>
  <c r="E25" i="100" a="1"/>
  <c r="E25" i="100" s="1"/>
  <c r="D25" i="100" a="1"/>
  <c r="D25" i="100" s="1"/>
  <c r="G178" i="126" s="1"/>
  <c r="R24" i="100" a="1"/>
  <c r="R24" i="100" s="1"/>
  <c r="Q24" i="100" a="1"/>
  <c r="Q24" i="100" s="1"/>
  <c r="L24" i="100" a="1"/>
  <c r="L24" i="100" s="1"/>
  <c r="K24" i="100" a="1"/>
  <c r="K24" i="100" s="1"/>
  <c r="I24" i="100" a="1"/>
  <c r="I24" i="100" s="1"/>
  <c r="H24" i="100" a="1"/>
  <c r="H24" i="100" s="1"/>
  <c r="G24" i="100" a="1"/>
  <c r="G24" i="100" s="1"/>
  <c r="F24" i="100" a="1"/>
  <c r="F24" i="100" s="1"/>
  <c r="E24" i="100" a="1"/>
  <c r="E24" i="100" s="1"/>
  <c r="D24" i="100" a="1"/>
  <c r="D24" i="100" s="1"/>
  <c r="G193" i="126" s="1"/>
  <c r="V23" i="100" a="1"/>
  <c r="V23" i="100" s="1"/>
  <c r="R23" i="100" a="1"/>
  <c r="R23" i="100" s="1"/>
  <c r="Q23" i="100" a="1"/>
  <c r="Q23" i="100" s="1"/>
  <c r="L23" i="100" a="1"/>
  <c r="L23" i="100" s="1"/>
  <c r="K23" i="100" a="1"/>
  <c r="K23" i="100" s="1"/>
  <c r="I23" i="100" a="1"/>
  <c r="I23" i="100" s="1"/>
  <c r="H23" i="100" a="1"/>
  <c r="H23" i="100" s="1"/>
  <c r="G23" i="100" a="1"/>
  <c r="G23" i="100" s="1"/>
  <c r="F23" i="100" a="1"/>
  <c r="F23" i="100" s="1"/>
  <c r="E23" i="100" a="1"/>
  <c r="E23" i="100" s="1"/>
  <c r="D23" i="100" a="1"/>
  <c r="D23" i="100" s="1"/>
  <c r="G192" i="126" s="1"/>
  <c r="V22" i="100" a="1"/>
  <c r="V22" i="100" s="1"/>
  <c r="R22" i="100" a="1"/>
  <c r="R22" i="100" s="1"/>
  <c r="Q22" i="100" a="1"/>
  <c r="Q22" i="100" s="1"/>
  <c r="L22" i="100" a="1"/>
  <c r="L22" i="100" s="1"/>
  <c r="K22" i="100" a="1"/>
  <c r="K22" i="100" s="1"/>
  <c r="I22" i="100" a="1"/>
  <c r="I22" i="100" s="1"/>
  <c r="H22" i="100" a="1"/>
  <c r="H22" i="100" s="1"/>
  <c r="G22" i="100" a="1"/>
  <c r="G22" i="100" s="1"/>
  <c r="F22" i="100" a="1"/>
  <c r="F22" i="100" s="1"/>
  <c r="E22" i="100" a="1"/>
  <c r="E22" i="100" s="1"/>
  <c r="D22" i="100" a="1"/>
  <c r="D22" i="100" s="1"/>
  <c r="V21" i="100" a="1"/>
  <c r="V21" i="100" s="1"/>
  <c r="R21" i="100" a="1"/>
  <c r="R21" i="100" s="1"/>
  <c r="Q21" i="100" a="1"/>
  <c r="Q21" i="100" s="1"/>
  <c r="L21" i="100" a="1"/>
  <c r="L21" i="100" s="1"/>
  <c r="K21" i="100" a="1"/>
  <c r="K21" i="100" s="1"/>
  <c r="I21" i="100" a="1"/>
  <c r="I21" i="100" s="1"/>
  <c r="H21" i="100" a="1"/>
  <c r="H21" i="100" s="1"/>
  <c r="G21" i="100" a="1"/>
  <c r="G21" i="100" s="1"/>
  <c r="F21" i="100" a="1"/>
  <c r="F21" i="100" s="1"/>
  <c r="E21" i="100" a="1"/>
  <c r="E21" i="100" s="1"/>
  <c r="D21" i="100" a="1"/>
  <c r="D21" i="100" s="1"/>
  <c r="G181" i="126" s="1"/>
  <c r="V20" i="100" a="1"/>
  <c r="V20" i="100" s="1"/>
  <c r="R20" i="100" a="1"/>
  <c r="R20" i="100" s="1"/>
  <c r="Q20" i="100" a="1"/>
  <c r="Q20" i="100" s="1"/>
  <c r="L20" i="100" a="1"/>
  <c r="L20" i="100" s="1"/>
  <c r="K20" i="100" a="1"/>
  <c r="K20" i="100" s="1"/>
  <c r="I20" i="100" a="1"/>
  <c r="I20" i="100" s="1"/>
  <c r="H20" i="100" a="1"/>
  <c r="H20" i="100" s="1"/>
  <c r="G20" i="100" a="1"/>
  <c r="G20" i="100" s="1"/>
  <c r="F20" i="100" a="1"/>
  <c r="F20" i="100" s="1"/>
  <c r="E20" i="100" a="1"/>
  <c r="E20" i="100" s="1"/>
  <c r="D20" i="100" a="1"/>
  <c r="D20" i="100" s="1"/>
  <c r="V18" i="100" a="1"/>
  <c r="V18" i="100" s="1"/>
  <c r="Q18" i="100" a="1"/>
  <c r="Q18" i="100" s="1"/>
  <c r="K18" i="100" a="1"/>
  <c r="K18" i="100" s="1"/>
  <c r="V17" i="100" a="1"/>
  <c r="V17" i="100" s="1"/>
  <c r="Q17" i="100" a="1"/>
  <c r="Q17" i="100" s="1"/>
  <c r="K17" i="100" a="1"/>
  <c r="K17" i="100" s="1"/>
  <c r="D7" i="100" a="1"/>
  <c r="D7" i="100" s="1"/>
  <c r="D6" i="100" a="1"/>
  <c r="D6" i="100" s="1"/>
  <c r="D5" i="100" a="1"/>
  <c r="D5" i="100" s="1"/>
  <c r="F99" i="99" a="1"/>
  <c r="F99" i="99" s="1"/>
  <c r="D96" i="99" a="1"/>
  <c r="D96" i="99" s="1"/>
  <c r="H89" i="99" a="1"/>
  <c r="H89" i="99" s="1"/>
  <c r="D89" i="99" a="1"/>
  <c r="D89" i="99" s="1"/>
  <c r="E87" i="99" a="1"/>
  <c r="E87" i="99" s="1"/>
  <c r="F94" i="99" s="1"/>
  <c r="E86" i="99" a="1"/>
  <c r="E86" i="99" s="1"/>
  <c r="D82" i="99" a="1"/>
  <c r="D82" i="99" s="1"/>
  <c r="D81" i="99" a="1"/>
  <c r="D81" i="99" s="1"/>
  <c r="D67" i="99"/>
  <c r="D66" i="99"/>
  <c r="D65" i="99"/>
  <c r="I59" i="99"/>
  <c r="I58" i="99"/>
  <c r="I55" i="99" a="1"/>
  <c r="I55" i="99" s="1"/>
  <c r="G55" i="99" a="1"/>
  <c r="G55" i="99" s="1"/>
  <c r="D55" i="99" a="1"/>
  <c r="D55" i="99" s="1"/>
  <c r="E53" i="99" a="1"/>
  <c r="E53" i="99" s="1"/>
  <c r="F77" i="99" s="1"/>
  <c r="E52" i="99" a="1"/>
  <c r="E52" i="99" s="1"/>
  <c r="D48" i="99" a="1"/>
  <c r="D48" i="99" s="1"/>
  <c r="D47" i="99" a="1"/>
  <c r="D47" i="99" s="1"/>
  <c r="I17" i="99"/>
  <c r="I16" i="99"/>
  <c r="I13" i="99" a="1"/>
  <c r="I13" i="99" s="1"/>
  <c r="G13" i="99" a="1"/>
  <c r="G13" i="99" s="1"/>
  <c r="D13" i="99" a="1"/>
  <c r="D13" i="99" s="1"/>
  <c r="E11" i="99" a="1"/>
  <c r="E11" i="99" s="1"/>
  <c r="F43" i="99" s="1"/>
  <c r="E10" i="99" a="1"/>
  <c r="E10" i="99" s="1"/>
  <c r="D6" i="99" a="1"/>
  <c r="D6" i="99" s="1"/>
  <c r="D5" i="99" a="1"/>
  <c r="D5" i="99" s="1"/>
  <c r="F151" i="98" a="1"/>
  <c r="F151" i="98" s="1"/>
  <c r="D148" i="98" a="1"/>
  <c r="D148" i="98" s="1"/>
  <c r="I127" i="98"/>
  <c r="I124" i="98" a="1"/>
  <c r="I124" i="98" s="1"/>
  <c r="G124" i="98" a="1"/>
  <c r="G124" i="98" s="1"/>
  <c r="D124" i="98" a="1"/>
  <c r="D124" i="98" s="1"/>
  <c r="E122" i="98" a="1"/>
  <c r="E122" i="98" s="1"/>
  <c r="F146" i="98" s="1"/>
  <c r="E121" i="98" a="1"/>
  <c r="E121" i="98" s="1"/>
  <c r="D117" i="98" a="1"/>
  <c r="D117" i="98" s="1"/>
  <c r="D116" i="98" a="1"/>
  <c r="D116" i="98" s="1"/>
  <c r="I96" i="98" a="1"/>
  <c r="I96" i="98" s="1"/>
  <c r="G96" i="98" a="1"/>
  <c r="G96" i="98" s="1"/>
  <c r="D96" i="98" a="1"/>
  <c r="D96" i="98" s="1"/>
  <c r="E94" i="98" a="1"/>
  <c r="E94" i="98" s="1"/>
  <c r="G102" i="98" s="1"/>
  <c r="E93" i="98" a="1"/>
  <c r="E93" i="98" s="1"/>
  <c r="D89" i="98" a="1"/>
  <c r="D89" i="98" s="1"/>
  <c r="D88" i="98" a="1"/>
  <c r="D88" i="98" s="1"/>
  <c r="F84" i="98" a="1"/>
  <c r="F84" i="98" s="1"/>
  <c r="D81" i="98" a="1"/>
  <c r="D81" i="98" s="1"/>
  <c r="J52" i="98"/>
  <c r="J49" i="98" a="1"/>
  <c r="J49" i="98" s="1"/>
  <c r="H49" i="98" a="1"/>
  <c r="H49" i="98" s="1"/>
  <c r="D49" i="98" a="1"/>
  <c r="D49" i="98" s="1"/>
  <c r="E47" i="98" a="1"/>
  <c r="E47" i="98" s="1"/>
  <c r="E46" i="98" a="1"/>
  <c r="E46" i="98" s="1"/>
  <c r="D42" i="98" a="1"/>
  <c r="D42" i="98" s="1"/>
  <c r="D41" i="98" a="1"/>
  <c r="D41" i="98" s="1"/>
  <c r="I14" i="98" a="1"/>
  <c r="I14" i="98" s="1"/>
  <c r="I13" i="98" a="1"/>
  <c r="I13" i="98" s="1"/>
  <c r="G13" i="98" a="1"/>
  <c r="G13" i="98" s="1"/>
  <c r="D13" i="98" a="1"/>
  <c r="D13" i="98" s="1"/>
  <c r="E11" i="98" a="1"/>
  <c r="E11" i="98" s="1"/>
  <c r="E10" i="98" a="1"/>
  <c r="E10" i="98" s="1"/>
  <c r="D6" i="98" a="1"/>
  <c r="D6" i="98" s="1"/>
  <c r="D5" i="98" a="1"/>
  <c r="D5" i="98" s="1"/>
  <c r="I17" i="97" a="1"/>
  <c r="I17" i="97" s="1"/>
  <c r="I14" i="97" a="1"/>
  <c r="I14" i="97" s="1"/>
  <c r="I13" i="97" a="1"/>
  <c r="I13" i="97" s="1"/>
  <c r="G13" i="97" a="1"/>
  <c r="G13" i="97" s="1"/>
  <c r="D13" i="97" a="1"/>
  <c r="D13" i="97" s="1"/>
  <c r="E11" i="97" a="1"/>
  <c r="E11" i="97" s="1"/>
  <c r="E10" i="97" a="1"/>
  <c r="E10" i="97" s="1"/>
  <c r="D6" i="97" a="1"/>
  <c r="D6" i="97" s="1"/>
  <c r="D5" i="97" a="1"/>
  <c r="D5" i="97" s="1"/>
  <c r="F55" i="96" a="1"/>
  <c r="F55" i="96" s="1"/>
  <c r="D52" i="96" a="1"/>
  <c r="D52" i="96" s="1"/>
  <c r="K47" i="96"/>
  <c r="I44" i="96" a="1"/>
  <c r="I44" i="96" s="1"/>
  <c r="D44" i="96" a="1"/>
  <c r="D44" i="96" s="1"/>
  <c r="E42" i="96" a="1"/>
  <c r="E42" i="96" s="1"/>
  <c r="F50" i="96" s="1"/>
  <c r="E41" i="96" a="1"/>
  <c r="E41" i="96" s="1"/>
  <c r="D37" i="96" a="1"/>
  <c r="D37" i="96" s="1"/>
  <c r="D36" i="96" a="1"/>
  <c r="D36" i="96" s="1"/>
  <c r="I30" i="96" a="1"/>
  <c r="I30" i="96" s="1"/>
  <c r="I29" i="96" a="1"/>
  <c r="I29" i="96" s="1"/>
  <c r="I28" i="96" a="1"/>
  <c r="I28" i="96" s="1"/>
  <c r="I27" i="96" a="1"/>
  <c r="I27" i="96" s="1"/>
  <c r="I26" i="96" a="1"/>
  <c r="I26" i="96" s="1"/>
  <c r="I25" i="96" a="1"/>
  <c r="I25" i="96" s="1"/>
  <c r="I24" i="96" a="1"/>
  <c r="I24" i="96" s="1"/>
  <c r="I23" i="96" a="1"/>
  <c r="I23" i="96" s="1"/>
  <c r="I15" i="96" a="1"/>
  <c r="I15" i="96" s="1"/>
  <c r="I14" i="96" a="1"/>
  <c r="I14" i="96" s="1"/>
  <c r="I13" i="96" a="1"/>
  <c r="I13" i="96" s="1"/>
  <c r="G13" i="96" a="1"/>
  <c r="G13" i="96" s="1"/>
  <c r="D13" i="96" a="1"/>
  <c r="D13" i="96" s="1"/>
  <c r="E11" i="96" a="1"/>
  <c r="E11" i="96" s="1"/>
  <c r="F32" i="96" s="1"/>
  <c r="E10" i="96" a="1"/>
  <c r="E10" i="96" s="1"/>
  <c r="D6" i="96" a="1"/>
  <c r="D6" i="96" s="1"/>
  <c r="D5" i="96" a="1"/>
  <c r="D5" i="96" s="1"/>
  <c r="I53" i="95" a="1"/>
  <c r="I53" i="95" s="1"/>
  <c r="I52" i="95"/>
  <c r="I49" i="95" a="1"/>
  <c r="I49" i="95" s="1"/>
  <c r="G49" i="95" a="1"/>
  <c r="G49" i="95" s="1"/>
  <c r="D49" i="95" a="1"/>
  <c r="D49" i="95" s="1"/>
  <c r="E47" i="95" a="1"/>
  <c r="E47" i="95" s="1"/>
  <c r="E46" i="95" a="1"/>
  <c r="E46" i="95" s="1"/>
  <c r="D42" i="95" a="1"/>
  <c r="D42" i="95" s="1"/>
  <c r="D41" i="95" a="1"/>
  <c r="D41" i="95" s="1"/>
  <c r="I14" i="95" a="1"/>
  <c r="I14" i="95" s="1"/>
  <c r="I13" i="95" a="1"/>
  <c r="I13" i="95" s="1"/>
  <c r="G13" i="95" a="1"/>
  <c r="G13" i="95" s="1"/>
  <c r="D13" i="95" a="1"/>
  <c r="D13" i="95" s="1"/>
  <c r="E11" i="95" a="1"/>
  <c r="E11" i="95" s="1"/>
  <c r="E10" i="95" a="1"/>
  <c r="E10" i="95" s="1"/>
  <c r="D6" i="95" a="1"/>
  <c r="D6" i="95" s="1"/>
  <c r="D5" i="95" a="1"/>
  <c r="D5" i="95" s="1"/>
  <c r="O115" i="94" a="1"/>
  <c r="O115" i="94" s="1"/>
  <c r="M112" i="94" a="1"/>
  <c r="M112" i="94" s="1"/>
  <c r="S96" i="94"/>
  <c r="N107" i="94" s="1"/>
  <c r="S95" i="94"/>
  <c r="Q92" i="94" a="1"/>
  <c r="Q92" i="94" s="1"/>
  <c r="M92" i="94" a="1"/>
  <c r="M92" i="94" s="1"/>
  <c r="N90" i="94" a="1"/>
  <c r="N90" i="94" s="1"/>
  <c r="N89" i="94" a="1"/>
  <c r="N89" i="94" s="1"/>
  <c r="F85" i="94" a="1"/>
  <c r="F85" i="94" s="1"/>
  <c r="M84" i="94" a="1"/>
  <c r="M84" i="94" s="1"/>
  <c r="M83" i="94" a="1"/>
  <c r="M83" i="94" s="1"/>
  <c r="D82" i="94" a="1"/>
  <c r="D82" i="94" s="1"/>
  <c r="P76" i="94" a="1"/>
  <c r="P76" i="94" s="1"/>
  <c r="M76" i="94" a="1"/>
  <c r="M76" i="94" s="1"/>
  <c r="N72" i="94" a="1"/>
  <c r="N72" i="94" s="1"/>
  <c r="O79" i="94" s="1"/>
  <c r="N71" i="94" a="1"/>
  <c r="N71" i="94" s="1"/>
  <c r="M67" i="94" a="1"/>
  <c r="M67" i="94" s="1"/>
  <c r="M66" i="94" a="1"/>
  <c r="M66" i="94" s="1"/>
  <c r="P60" i="94" a="1"/>
  <c r="P60" i="94" s="1"/>
  <c r="M60" i="94" a="1"/>
  <c r="M60" i="94" s="1"/>
  <c r="N58" i="94" a="1"/>
  <c r="N58" i="94" s="1"/>
  <c r="O63" i="94" s="1"/>
  <c r="N57" i="94" a="1"/>
  <c r="N57" i="94" s="1"/>
  <c r="M54" i="94" a="1"/>
  <c r="M54" i="94" s="1"/>
  <c r="M53" i="94" a="1"/>
  <c r="M53" i="94" s="1"/>
  <c r="I53" i="94"/>
  <c r="I52" i="94"/>
  <c r="I49" i="94" a="1"/>
  <c r="I49" i="94" s="1"/>
  <c r="G49" i="94" a="1"/>
  <c r="G49" i="94" s="1"/>
  <c r="D49" i="94" a="1"/>
  <c r="D49" i="94" s="1"/>
  <c r="E47" i="94" a="1"/>
  <c r="E47" i="94" s="1"/>
  <c r="F80" i="94" s="1"/>
  <c r="P46" i="94" a="1"/>
  <c r="P46" i="94" s="1"/>
  <c r="M46" i="94" a="1"/>
  <c r="M46" i="94" s="1"/>
  <c r="E46" i="94" a="1"/>
  <c r="E46" i="94" s="1"/>
  <c r="N44" i="94" a="1"/>
  <c r="N44" i="94" s="1"/>
  <c r="O49" i="94" s="1"/>
  <c r="N43" i="94" a="1"/>
  <c r="N43" i="94" s="1"/>
  <c r="D41" i="94" a="1"/>
  <c r="D41" i="94" s="1"/>
  <c r="M40" i="94" a="1"/>
  <c r="M40" i="94" s="1"/>
  <c r="D40" i="94" a="1"/>
  <c r="D40" i="94" s="1"/>
  <c r="M39" i="94" a="1"/>
  <c r="M39" i="94" s="1"/>
  <c r="I14" i="94" a="1"/>
  <c r="I14" i="94" s="1"/>
  <c r="I13" i="94" a="1"/>
  <c r="I13" i="94" s="1"/>
  <c r="G13" i="94" a="1"/>
  <c r="G13" i="94" s="1"/>
  <c r="D13" i="94" a="1"/>
  <c r="D13" i="94" s="1"/>
  <c r="E11" i="94" a="1"/>
  <c r="E11" i="94" s="1"/>
  <c r="E10" i="94" a="1"/>
  <c r="E10" i="94" s="1"/>
  <c r="D6" i="94" a="1"/>
  <c r="D6" i="94" s="1"/>
  <c r="D5" i="94" a="1"/>
  <c r="D5" i="94" s="1"/>
  <c r="G56" i="93"/>
  <c r="G55" i="93"/>
  <c r="G54" i="93"/>
  <c r="K44" i="93"/>
  <c r="K43" i="93"/>
  <c r="K42" i="93"/>
  <c r="A275" i="92"/>
  <c r="A217" i="92"/>
  <c r="O187" i="92" a="1"/>
  <c r="O187" i="92" s="1"/>
  <c r="F187" i="92" a="1"/>
  <c r="F187" i="92" s="1"/>
  <c r="M184" i="92" a="1"/>
  <c r="M184" i="92" s="1"/>
  <c r="D184" i="92" a="1"/>
  <c r="D184" i="92" s="1"/>
  <c r="A178" i="92"/>
  <c r="I155" i="92" a="1"/>
  <c r="I155" i="92" s="1"/>
  <c r="I154" i="92" a="1"/>
  <c r="I154" i="92" s="1"/>
  <c r="I153" i="92" a="1"/>
  <c r="I153" i="92" s="1"/>
  <c r="I152" i="92" a="1"/>
  <c r="I152" i="92" s="1"/>
  <c r="I151" i="92" a="1"/>
  <c r="I151" i="92" s="1"/>
  <c r="I150" i="92" a="1"/>
  <c r="I150" i="92" s="1"/>
  <c r="I149" i="92" a="1"/>
  <c r="I149" i="92" s="1"/>
  <c r="I148" i="92" a="1"/>
  <c r="I148" i="92" s="1"/>
  <c r="G148" i="92" a="1"/>
  <c r="F175" i="92" s="1"/>
  <c r="D148" i="92" a="1"/>
  <c r="D148" i="92" s="1"/>
  <c r="E146" i="92" a="1"/>
  <c r="E146" i="92" s="1"/>
  <c r="E145" i="92" a="1"/>
  <c r="E145" i="92" s="1"/>
  <c r="D138" i="92" a="1"/>
  <c r="D138" i="92" s="1"/>
  <c r="D137" i="92" a="1"/>
  <c r="D137" i="92" s="1"/>
  <c r="D136" i="92" a="1"/>
  <c r="D136" i="92" s="1"/>
  <c r="H127" i="92" a="1"/>
  <c r="H127" i="92" s="1"/>
  <c r="D127" i="92" a="1"/>
  <c r="D127" i="92" s="1"/>
  <c r="E125" i="92" a="1"/>
  <c r="E125" i="92" s="1"/>
  <c r="E124" i="92" a="1"/>
  <c r="E124" i="92" s="1"/>
  <c r="D120" i="92" a="1"/>
  <c r="D120" i="92" s="1"/>
  <c r="D119" i="92" a="1"/>
  <c r="D119" i="92" s="1"/>
  <c r="I95" i="92" a="1"/>
  <c r="I95" i="92" s="1"/>
  <c r="I94" i="92" a="1"/>
  <c r="I94" i="92" s="1"/>
  <c r="I93" i="92" a="1"/>
  <c r="I93" i="92" s="1"/>
  <c r="I92" i="92" a="1"/>
  <c r="I92" i="92" s="1"/>
  <c r="G92" i="92" a="1"/>
  <c r="G92" i="92" s="1"/>
  <c r="D92" i="92" a="1"/>
  <c r="D92" i="92" s="1"/>
  <c r="E90" i="92" a="1"/>
  <c r="E90" i="92" s="1"/>
  <c r="E89" i="92" a="1"/>
  <c r="E89" i="92" s="1"/>
  <c r="D85" i="92" a="1"/>
  <c r="D85" i="92" s="1"/>
  <c r="D84" i="92" a="1"/>
  <c r="D84" i="92" s="1"/>
  <c r="I70" i="92" a="1"/>
  <c r="I70" i="92" s="1"/>
  <c r="I68" i="92"/>
  <c r="I67" i="92"/>
  <c r="I66" i="92" a="1"/>
  <c r="I66" i="92" s="1"/>
  <c r="I65" i="92" a="1"/>
  <c r="I65" i="92" s="1"/>
  <c r="I64" i="92"/>
  <c r="G64" i="92" a="1"/>
  <c r="G64" i="92" s="1"/>
  <c r="D64" i="92" a="1"/>
  <c r="D64" i="92" s="1"/>
  <c r="E62" i="92" a="1"/>
  <c r="E62" i="92" s="1"/>
  <c r="I80" i="92" s="1"/>
  <c r="E61" i="92" a="1"/>
  <c r="E61" i="92" s="1"/>
  <c r="D56" i="92" a="1"/>
  <c r="D56" i="92" s="1"/>
  <c r="D55" i="92" a="1"/>
  <c r="D55" i="92" s="1"/>
  <c r="D54" i="92" a="1"/>
  <c r="D54" i="92" s="1"/>
  <c r="R39" i="92"/>
  <c r="I38" i="92" a="1"/>
  <c r="I38" i="92" s="1"/>
  <c r="P37" i="92" a="1"/>
  <c r="P37" i="92" s="1"/>
  <c r="M37" i="92" a="1"/>
  <c r="M37" i="92" s="1"/>
  <c r="I37" i="92"/>
  <c r="D45" i="92" s="1"/>
  <c r="G37" i="92" a="1"/>
  <c r="G37" i="92" s="1"/>
  <c r="D37" i="92" a="1"/>
  <c r="D37" i="92" s="1"/>
  <c r="E35" i="92" a="1"/>
  <c r="E35" i="92" s="1"/>
  <c r="E34" i="92" a="1"/>
  <c r="E34" i="92" s="1"/>
  <c r="D30" i="92" a="1"/>
  <c r="D30" i="92" s="1"/>
  <c r="D29" i="92" a="1"/>
  <c r="D29" i="92" s="1"/>
  <c r="D28" i="92" a="1"/>
  <c r="D28" i="92" s="1"/>
  <c r="I14" i="92"/>
  <c r="G14" i="92" a="1"/>
  <c r="G14" i="92" s="1"/>
  <c r="D14" i="92" a="1"/>
  <c r="D14" i="92" s="1"/>
  <c r="E12" i="92" a="1"/>
  <c r="E12" i="92" s="1"/>
  <c r="E11" i="92" a="1"/>
  <c r="E11" i="92" s="1"/>
  <c r="D7" i="92" a="1"/>
  <c r="D7" i="92" s="1"/>
  <c r="D6" i="92" a="1"/>
  <c r="D6" i="92" s="1"/>
  <c r="D5" i="92" a="1"/>
  <c r="D5" i="92" s="1"/>
  <c r="D233" i="91" a="1"/>
  <c r="D233" i="91" s="1"/>
  <c r="F54" i="82" s="1"/>
  <c r="T40" i="83" s="1"/>
  <c r="D232" i="91" a="1"/>
  <c r="D232" i="91" s="1"/>
  <c r="D231" i="91" a="1"/>
  <c r="D231" i="91" s="1"/>
  <c r="D230" i="91" a="1"/>
  <c r="D230" i="91" s="1"/>
  <c r="D229" i="91" a="1"/>
  <c r="D229" i="91" s="1"/>
  <c r="D227" i="91" a="1"/>
  <c r="D227" i="91" s="1"/>
  <c r="F53" i="82" s="1"/>
  <c r="D226" i="91" a="1"/>
  <c r="D226" i="91" s="1"/>
  <c r="D225" i="91" a="1"/>
  <c r="D225" i="91" s="1"/>
  <c r="D224" i="91" a="1"/>
  <c r="D224" i="91" s="1"/>
  <c r="D223" i="91" a="1"/>
  <c r="D223" i="91" s="1"/>
  <c r="D221" i="91" a="1"/>
  <c r="D221" i="91" s="1"/>
  <c r="I14" i="89" s="1"/>
  <c r="D220" i="91" a="1"/>
  <c r="D220" i="91" s="1"/>
  <c r="D219" i="91" a="1"/>
  <c r="D219" i="91" s="1"/>
  <c r="D218" i="91" a="1"/>
  <c r="D218" i="91" s="1"/>
  <c r="D217" i="91" a="1"/>
  <c r="D217" i="91" s="1"/>
  <c r="D215" i="91" a="1"/>
  <c r="D215" i="91" s="1"/>
  <c r="J15" i="86" s="1"/>
  <c r="A215" i="91"/>
  <c r="D214" i="91" a="1"/>
  <c r="D214" i="91" s="1"/>
  <c r="D213" i="91" a="1"/>
  <c r="D213" i="91" s="1"/>
  <c r="D212" i="91" a="1"/>
  <c r="D212" i="91" s="1"/>
  <c r="D211" i="91" a="1"/>
  <c r="D211" i="91" s="1"/>
  <c r="D209" i="91" a="1"/>
  <c r="D209" i="91" s="1"/>
  <c r="I15" i="90" s="1"/>
  <c r="D208" i="91" a="1"/>
  <c r="D208" i="91" s="1"/>
  <c r="D207" i="91" a="1"/>
  <c r="D207" i="91" s="1"/>
  <c r="D206" i="91" a="1"/>
  <c r="D206" i="91" s="1"/>
  <c r="D205" i="91" a="1"/>
  <c r="D205" i="91" s="1"/>
  <c r="D202" i="91" a="1"/>
  <c r="D202" i="91" s="1"/>
  <c r="I43" i="86" s="1"/>
  <c r="D201" i="91" a="1"/>
  <c r="D201" i="91" s="1"/>
  <c r="D200" i="91" a="1"/>
  <c r="D200" i="91" s="1"/>
  <c r="D199" i="91" a="1"/>
  <c r="D199" i="91" s="1"/>
  <c r="D198" i="91" a="1"/>
  <c r="D198" i="91" s="1"/>
  <c r="D195" i="91" a="1"/>
  <c r="D195" i="91" s="1"/>
  <c r="I221" i="83" s="1"/>
  <c r="D194" i="91" a="1"/>
  <c r="D194" i="91" s="1"/>
  <c r="D193" i="91" a="1"/>
  <c r="D193" i="91" s="1"/>
  <c r="D192" i="91" a="1"/>
  <c r="D192" i="91" s="1"/>
  <c r="D191" i="91" a="1"/>
  <c r="D191" i="91" s="1"/>
  <c r="D188" i="91" a="1"/>
  <c r="D188" i="91" s="1"/>
  <c r="I128" i="83" s="1"/>
  <c r="D187" i="91" a="1"/>
  <c r="D187" i="91" s="1"/>
  <c r="D186" i="91" a="1"/>
  <c r="D186" i="91" s="1"/>
  <c r="D185" i="91" a="1"/>
  <c r="D185" i="91" s="1"/>
  <c r="D184" i="91" a="1"/>
  <c r="D184" i="91" s="1"/>
  <c r="D181" i="91" a="1"/>
  <c r="D181" i="91" s="1"/>
  <c r="D180" i="91" a="1"/>
  <c r="D180" i="91" s="1"/>
  <c r="D179" i="91" a="1"/>
  <c r="D179" i="91" s="1"/>
  <c r="D178" i="91" a="1"/>
  <c r="D178" i="91" s="1"/>
  <c r="D177" i="91" a="1"/>
  <c r="D177" i="91" s="1"/>
  <c r="D174" i="91" a="1"/>
  <c r="D174" i="91" s="1"/>
  <c r="I66" i="83" s="1"/>
  <c r="A174" i="91"/>
  <c r="D173" i="91" a="1"/>
  <c r="D173" i="91" s="1"/>
  <c r="D172" i="91" a="1"/>
  <c r="D172" i="91" s="1"/>
  <c r="D171" i="91" a="1"/>
  <c r="D171" i="91" s="1"/>
  <c r="D170" i="91" a="1"/>
  <c r="D170" i="91" s="1"/>
  <c r="D167" i="91" a="1"/>
  <c r="D167" i="91" s="1"/>
  <c r="I65" i="83" s="1"/>
  <c r="D166" i="91" a="1"/>
  <c r="D166" i="91" s="1"/>
  <c r="D165" i="91" a="1"/>
  <c r="D165" i="91" s="1"/>
  <c r="D164" i="91" a="1"/>
  <c r="D164" i="91" s="1"/>
  <c r="D163" i="91" a="1"/>
  <c r="D163" i="91" s="1"/>
  <c r="D160" i="91" a="1"/>
  <c r="D160" i="91" s="1"/>
  <c r="D159" i="91" a="1"/>
  <c r="D159" i="91" s="1"/>
  <c r="D158" i="91" a="1"/>
  <c r="D158" i="91" s="1"/>
  <c r="D157" i="91" a="1"/>
  <c r="D157" i="91" s="1"/>
  <c r="D156" i="91" a="1"/>
  <c r="D156" i="91" s="1"/>
  <c r="D153" i="91" a="1"/>
  <c r="D153" i="91" s="1"/>
  <c r="F37" i="82" s="1"/>
  <c r="D152" i="91" a="1"/>
  <c r="D152" i="91" s="1"/>
  <c r="D151" i="91" a="1"/>
  <c r="D151" i="91" s="1"/>
  <c r="D150" i="91" a="1"/>
  <c r="D150" i="91" s="1"/>
  <c r="D149" i="91" a="1"/>
  <c r="D149" i="91" s="1"/>
  <c r="F146" i="91" a="1"/>
  <c r="F146" i="91" s="1"/>
  <c r="E146" i="91" a="1"/>
  <c r="E146" i="91" s="1"/>
  <c r="D146" i="91" a="1"/>
  <c r="D146" i="91" s="1"/>
  <c r="F145" i="91" a="1"/>
  <c r="F145" i="91" s="1"/>
  <c r="E145" i="91" a="1"/>
  <c r="E145" i="91" s="1"/>
  <c r="D145" i="91" a="1"/>
  <c r="D145" i="91" s="1"/>
  <c r="F144" i="91" a="1"/>
  <c r="F144" i="91" s="1"/>
  <c r="E144" i="91" a="1"/>
  <c r="E144" i="91" s="1"/>
  <c r="D144" i="91" a="1"/>
  <c r="D144" i="91" s="1"/>
  <c r="F143" i="91" a="1"/>
  <c r="F143" i="91" s="1"/>
  <c r="E143" i="91" a="1"/>
  <c r="E143" i="91" s="1"/>
  <c r="D143" i="91" a="1"/>
  <c r="D143" i="91" s="1"/>
  <c r="F142" i="91" a="1"/>
  <c r="F142" i="91" s="1"/>
  <c r="E142" i="91" a="1"/>
  <c r="E142" i="91" s="1"/>
  <c r="D142" i="91" a="1"/>
  <c r="D142" i="91" s="1"/>
  <c r="D140" i="91" a="1"/>
  <c r="D140" i="91" s="1"/>
  <c r="D139" i="91" a="1"/>
  <c r="D139" i="91" s="1"/>
  <c r="D138" i="91" a="1"/>
  <c r="D138" i="91" s="1"/>
  <c r="D137" i="91" a="1"/>
  <c r="D137" i="91" s="1"/>
  <c r="D136" i="91" a="1"/>
  <c r="D136" i="91" s="1"/>
  <c r="F133" i="91" a="1"/>
  <c r="F133" i="91" s="1"/>
  <c r="E133" i="91" a="1"/>
  <c r="E133" i="91" s="1"/>
  <c r="D133" i="91" a="1"/>
  <c r="D133" i="91" s="1"/>
  <c r="F132" i="91" a="1"/>
  <c r="F132" i="91" s="1"/>
  <c r="E132" i="91" a="1"/>
  <c r="E132" i="91" s="1"/>
  <c r="D132" i="91" a="1"/>
  <c r="D132" i="91" s="1"/>
  <c r="F131" i="91" a="1"/>
  <c r="F131" i="91" s="1"/>
  <c r="E131" i="91" a="1"/>
  <c r="E131" i="91" s="1"/>
  <c r="D131" i="91" a="1"/>
  <c r="D131" i="91" s="1"/>
  <c r="F130" i="91" a="1"/>
  <c r="F130" i="91" s="1"/>
  <c r="E130" i="91" a="1"/>
  <c r="E130" i="91" s="1"/>
  <c r="D130" i="91" a="1"/>
  <c r="D130" i="91" s="1"/>
  <c r="F129" i="91" a="1"/>
  <c r="F129" i="91" s="1"/>
  <c r="E129" i="91" a="1"/>
  <c r="E129" i="91" s="1"/>
  <c r="D129" i="91" a="1"/>
  <c r="D129" i="91" s="1"/>
  <c r="D127" i="91" a="1"/>
  <c r="D127" i="91" s="1"/>
  <c r="D126" i="91" a="1"/>
  <c r="D126" i="91" s="1"/>
  <c r="D125" i="91" a="1"/>
  <c r="D125" i="91" s="1"/>
  <c r="D124" i="91" a="1"/>
  <c r="D124" i="91" s="1"/>
  <c r="D123" i="91" a="1"/>
  <c r="D123" i="91" s="1"/>
  <c r="G120" i="91" a="1"/>
  <c r="G120" i="91" s="1"/>
  <c r="F120" i="91" a="1"/>
  <c r="F120" i="91" s="1"/>
  <c r="E120" i="91" a="1"/>
  <c r="E120" i="91" s="1"/>
  <c r="D120" i="91" a="1"/>
  <c r="D120" i="91" s="1"/>
  <c r="G119" i="91" a="1"/>
  <c r="G119" i="91" s="1"/>
  <c r="F119" i="91" a="1"/>
  <c r="F119" i="91" s="1"/>
  <c r="E119" i="91" a="1"/>
  <c r="E119" i="91" s="1"/>
  <c r="D119" i="91" a="1"/>
  <c r="D119" i="91" s="1"/>
  <c r="G118" i="91" a="1"/>
  <c r="G118" i="91" s="1"/>
  <c r="F118" i="91" a="1"/>
  <c r="F118" i="91" s="1"/>
  <c r="E118" i="91" a="1"/>
  <c r="E118" i="91" s="1"/>
  <c r="D118" i="91" a="1"/>
  <c r="D118" i="91" s="1"/>
  <c r="G117" i="91" a="1"/>
  <c r="G117" i="91" s="1"/>
  <c r="F117" i="91" a="1"/>
  <c r="F117" i="91" s="1"/>
  <c r="E117" i="91" a="1"/>
  <c r="E117" i="91" s="1"/>
  <c r="D117" i="91" a="1"/>
  <c r="D117" i="91" s="1"/>
  <c r="D115" i="91" a="1"/>
  <c r="D115" i="91" s="1"/>
  <c r="D114" i="91" a="1"/>
  <c r="D114" i="91" s="1"/>
  <c r="D113" i="91" a="1"/>
  <c r="D113" i="91" s="1"/>
  <c r="D112" i="91" a="1"/>
  <c r="D112" i="91" s="1"/>
  <c r="E109" i="91" a="1"/>
  <c r="E109" i="91" s="1"/>
  <c r="D109" i="91" a="1"/>
  <c r="D109" i="91" s="1"/>
  <c r="E108" i="91" a="1"/>
  <c r="E108" i="91" s="1"/>
  <c r="D108" i="91" a="1"/>
  <c r="D108" i="91" s="1"/>
  <c r="D106" i="91" a="1"/>
  <c r="D106" i="91" s="1"/>
  <c r="D105" i="91" a="1"/>
  <c r="D105" i="91" s="1"/>
  <c r="D104" i="91" a="1"/>
  <c r="D104" i="91" s="1"/>
  <c r="D103" i="91" a="1"/>
  <c r="D103" i="91" s="1"/>
  <c r="E100" i="91" a="1"/>
  <c r="E100" i="91" s="1"/>
  <c r="E175" i="92" s="1"/>
  <c r="D100" i="91" a="1"/>
  <c r="D100" i="91" s="1"/>
  <c r="E99" i="91" a="1"/>
  <c r="E99" i="91" s="1"/>
  <c r="D175" i="92" s="1"/>
  <c r="D99" i="91" a="1"/>
  <c r="D99" i="91" s="1"/>
  <c r="D97" i="91" a="1"/>
  <c r="D97" i="91" s="1"/>
  <c r="D96" i="91" a="1"/>
  <c r="D96" i="91" s="1"/>
  <c r="D95" i="91" a="1"/>
  <c r="D95" i="91" s="1"/>
  <c r="D94" i="91" a="1"/>
  <c r="D94" i="91" s="1"/>
  <c r="G91" i="91" a="1"/>
  <c r="G91" i="91" s="1"/>
  <c r="F91" i="91" a="1"/>
  <c r="F91" i="91" s="1"/>
  <c r="E91" i="91" a="1"/>
  <c r="E91" i="91" s="1"/>
  <c r="D91" i="91" a="1"/>
  <c r="D91" i="91" s="1"/>
  <c r="G90" i="91" a="1"/>
  <c r="G90" i="91" s="1"/>
  <c r="F90" i="91" a="1"/>
  <c r="F90" i="91" s="1"/>
  <c r="E90" i="91" a="1"/>
  <c r="E90" i="91" s="1"/>
  <c r="D90" i="91" a="1"/>
  <c r="D90" i="91" s="1"/>
  <c r="G89" i="91" a="1"/>
  <c r="G89" i="91" s="1"/>
  <c r="F89" i="91" a="1"/>
  <c r="F89" i="91" s="1"/>
  <c r="E89" i="91" a="1"/>
  <c r="E89" i="91" s="1"/>
  <c r="D89" i="91" a="1"/>
  <c r="D89" i="91" s="1"/>
  <c r="G88" i="91" a="1"/>
  <c r="G88" i="91" s="1"/>
  <c r="F88" i="91" a="1"/>
  <c r="F88" i="91" s="1"/>
  <c r="E88" i="91" a="1"/>
  <c r="E88" i="91" s="1"/>
  <c r="D88" i="91" a="1"/>
  <c r="D88" i="91" s="1"/>
  <c r="G87" i="91" a="1"/>
  <c r="G87" i="91" s="1"/>
  <c r="F87" i="91" a="1"/>
  <c r="F87" i="91" s="1"/>
  <c r="E87" i="91" a="1"/>
  <c r="E87" i="91" s="1"/>
  <c r="D87" i="91" a="1"/>
  <c r="D87" i="91" s="1"/>
  <c r="D85" i="91" a="1"/>
  <c r="D85" i="91" s="1"/>
  <c r="D84" i="91" a="1"/>
  <c r="D84" i="91" s="1"/>
  <c r="D83" i="91" a="1"/>
  <c r="D83" i="91" s="1"/>
  <c r="D82" i="91" a="1"/>
  <c r="D82" i="91" s="1"/>
  <c r="D81" i="91" a="1"/>
  <c r="D81" i="91" s="1"/>
  <c r="M78" i="91" a="1"/>
  <c r="M78" i="91" s="1"/>
  <c r="L78" i="91" a="1"/>
  <c r="L78" i="91" s="1"/>
  <c r="K78" i="91" a="1"/>
  <c r="K78" i="91" s="1"/>
  <c r="J78" i="91" a="1"/>
  <c r="J78" i="91" s="1"/>
  <c r="I78" i="91" a="1"/>
  <c r="I78" i="91" s="1"/>
  <c r="H78" i="91" a="1"/>
  <c r="H78" i="91" s="1"/>
  <c r="G78" i="91" a="1"/>
  <c r="G78" i="91" s="1"/>
  <c r="F78" i="91" a="1"/>
  <c r="F78" i="91" s="1"/>
  <c r="E78" i="91" a="1"/>
  <c r="E78" i="91" s="1"/>
  <c r="D78" i="91" a="1"/>
  <c r="D78" i="91" s="1"/>
  <c r="M77" i="91" a="1"/>
  <c r="M77" i="91" s="1"/>
  <c r="L77" i="91" a="1"/>
  <c r="L77" i="91" s="1"/>
  <c r="K77" i="91" a="1"/>
  <c r="K77" i="91" s="1"/>
  <c r="J77" i="91" a="1"/>
  <c r="J77" i="91" s="1"/>
  <c r="I77" i="91" a="1"/>
  <c r="I77" i="91" s="1"/>
  <c r="H77" i="91" a="1"/>
  <c r="H77" i="91" s="1"/>
  <c r="G77" i="91" a="1"/>
  <c r="G77" i="91" s="1"/>
  <c r="F77" i="91" a="1"/>
  <c r="F77" i="91" s="1"/>
  <c r="E77" i="91" a="1"/>
  <c r="E77" i="91" s="1"/>
  <c r="D77" i="91" a="1"/>
  <c r="D77" i="91" s="1"/>
  <c r="M76" i="91" a="1"/>
  <c r="M76" i="91" s="1"/>
  <c r="L76" i="91" a="1"/>
  <c r="L76" i="91" s="1"/>
  <c r="K76" i="91" a="1"/>
  <c r="K76" i="91" s="1"/>
  <c r="J76" i="91" a="1"/>
  <c r="J76" i="91" s="1"/>
  <c r="I76" i="91" a="1"/>
  <c r="I76" i="91" s="1"/>
  <c r="H76" i="91" a="1"/>
  <c r="H76" i="91" s="1"/>
  <c r="G76" i="91" a="1"/>
  <c r="G76" i="91" s="1"/>
  <c r="F76" i="91" a="1"/>
  <c r="F76" i="91" s="1"/>
  <c r="E76" i="91" a="1"/>
  <c r="E76" i="91" s="1"/>
  <c r="D76" i="91" a="1"/>
  <c r="D76" i="91" s="1"/>
  <c r="M75" i="91" a="1"/>
  <c r="M75" i="91" s="1"/>
  <c r="L75" i="91" a="1"/>
  <c r="L75" i="91" s="1"/>
  <c r="K75" i="91" a="1"/>
  <c r="K75" i="91" s="1"/>
  <c r="J75" i="91" a="1"/>
  <c r="J75" i="91" s="1"/>
  <c r="I75" i="91" a="1"/>
  <c r="I75" i="91" s="1"/>
  <c r="H75" i="91" a="1"/>
  <c r="H75" i="91" s="1"/>
  <c r="G75" i="91" a="1"/>
  <c r="G75" i="91" s="1"/>
  <c r="F75" i="91" a="1"/>
  <c r="F75" i="91" s="1"/>
  <c r="E75" i="91" a="1"/>
  <c r="E75" i="91" s="1"/>
  <c r="D75" i="91" a="1"/>
  <c r="D75" i="91" s="1"/>
  <c r="M74" i="91" a="1"/>
  <c r="M74" i="91" s="1"/>
  <c r="L74" i="91" a="1"/>
  <c r="L74" i="91" s="1"/>
  <c r="K74" i="91" a="1"/>
  <c r="K74" i="91" s="1"/>
  <c r="J74" i="91" a="1"/>
  <c r="J74" i="91" s="1"/>
  <c r="I74" i="91" a="1"/>
  <c r="I74" i="91" s="1"/>
  <c r="H74" i="91" a="1"/>
  <c r="H74" i="91" s="1"/>
  <c r="G74" i="91" a="1"/>
  <c r="G74" i="91" s="1"/>
  <c r="F74" i="91" a="1"/>
  <c r="F74" i="91" s="1"/>
  <c r="E74" i="91" a="1"/>
  <c r="E74" i="91" s="1"/>
  <c r="D74" i="91" a="1"/>
  <c r="D74" i="91" s="1"/>
  <c r="M73" i="91" a="1"/>
  <c r="M73" i="91" s="1"/>
  <c r="L73" i="91" a="1"/>
  <c r="L73" i="91" s="1"/>
  <c r="K73" i="91" a="1"/>
  <c r="K73" i="91" s="1"/>
  <c r="J73" i="91" a="1"/>
  <c r="J73" i="91" s="1"/>
  <c r="I73" i="91" a="1"/>
  <c r="I73" i="91" s="1"/>
  <c r="H73" i="91" a="1"/>
  <c r="H73" i="91" s="1"/>
  <c r="G73" i="91" a="1"/>
  <c r="G73" i="91" s="1"/>
  <c r="F73" i="91" a="1"/>
  <c r="F73" i="91" s="1"/>
  <c r="E73" i="91" a="1"/>
  <c r="E73" i="91" s="1"/>
  <c r="D73" i="91" a="1"/>
  <c r="D73" i="91" s="1"/>
  <c r="D71" i="91" a="1"/>
  <c r="D71" i="91" s="1"/>
  <c r="D70" i="91" a="1"/>
  <c r="D70" i="91" s="1"/>
  <c r="D69" i="91" a="1"/>
  <c r="D69" i="91" s="1"/>
  <c r="D68" i="91" a="1"/>
  <c r="D68" i="91" s="1"/>
  <c r="D67" i="91" a="1"/>
  <c r="D67" i="91" s="1"/>
  <c r="G64" i="91" a="1"/>
  <c r="G64" i="91" s="1"/>
  <c r="H198" i="84" s="1"/>
  <c r="F64" i="91" a="1"/>
  <c r="F64" i="91" s="1"/>
  <c r="E64" i="91" a="1"/>
  <c r="E64" i="91" s="1"/>
  <c r="H280" i="83" s="1"/>
  <c r="D64" i="91" a="1"/>
  <c r="D64" i="91" s="1"/>
  <c r="G63" i="91" a="1"/>
  <c r="G63" i="91" s="1"/>
  <c r="F198" i="84" s="1"/>
  <c r="F63" i="91" a="1"/>
  <c r="F63" i="91" s="1"/>
  <c r="E63" i="91" a="1"/>
  <c r="E63" i="91" s="1"/>
  <c r="F280" i="83" s="1"/>
  <c r="D63" i="91" a="1"/>
  <c r="D63" i="91" s="1"/>
  <c r="D61" i="91" a="1"/>
  <c r="D61" i="91" s="1"/>
  <c r="D60" i="91" a="1"/>
  <c r="D60" i="91" s="1"/>
  <c r="D59" i="91" a="1"/>
  <c r="D59" i="91" s="1"/>
  <c r="D58" i="91" a="1"/>
  <c r="D58" i="91" s="1"/>
  <c r="H55" i="91" a="1"/>
  <c r="H55" i="91" s="1"/>
  <c r="H24" i="84" s="1" a="1"/>
  <c r="H24" i="84" s="1"/>
  <c r="G55" i="91" a="1"/>
  <c r="G55" i="91" s="1"/>
  <c r="G24" i="84" s="1" a="1"/>
  <c r="G24" i="84" s="1"/>
  <c r="F55" i="91" a="1"/>
  <c r="F55" i="91" s="1"/>
  <c r="F24" i="84" s="1" a="1"/>
  <c r="F24" i="84" s="1"/>
  <c r="E55" i="91" a="1"/>
  <c r="E55" i="91" s="1"/>
  <c r="E24" i="84" s="1" a="1"/>
  <c r="E24" i="84" s="1"/>
  <c r="D55" i="91" a="1"/>
  <c r="D55" i="91" s="1"/>
  <c r="D24" i="84" s="1" a="1"/>
  <c r="D24" i="84" s="1"/>
  <c r="D53" i="91" a="1"/>
  <c r="D53" i="91" s="1"/>
  <c r="D52" i="91" a="1"/>
  <c r="D52" i="91" s="1"/>
  <c r="D51" i="91" a="1"/>
  <c r="D51" i="91" s="1"/>
  <c r="D50" i="91" a="1"/>
  <c r="D50" i="91" s="1"/>
  <c r="H47" i="91" a="1"/>
  <c r="H47" i="91" s="1"/>
  <c r="G47" i="91" a="1"/>
  <c r="G47" i="91" s="1"/>
  <c r="F47" i="91" a="1"/>
  <c r="F47" i="91" s="1"/>
  <c r="E47" i="91" a="1"/>
  <c r="E47" i="91" s="1"/>
  <c r="D47" i="91" a="1"/>
  <c r="D47" i="91" s="1"/>
  <c r="D45" i="91" a="1"/>
  <c r="D45" i="91" s="1"/>
  <c r="D44" i="91" a="1"/>
  <c r="D44" i="91" s="1"/>
  <c r="D43" i="91" a="1"/>
  <c r="D43" i="91" s="1"/>
  <c r="D42" i="91" a="1"/>
  <c r="D42" i="91" s="1"/>
  <c r="F39" i="91" a="1"/>
  <c r="F39" i="91" s="1"/>
  <c r="E39" i="91" a="1"/>
  <c r="E39" i="91" s="1"/>
  <c r="D39" i="91" a="1"/>
  <c r="D39" i="91" s="1"/>
  <c r="D37" i="91" a="1"/>
  <c r="D37" i="91" s="1"/>
  <c r="D36" i="91" a="1"/>
  <c r="D36" i="91" s="1"/>
  <c r="D35" i="91" a="1"/>
  <c r="D35" i="91" s="1"/>
  <c r="D34" i="91" a="1"/>
  <c r="D34" i="91" s="1"/>
  <c r="G31" i="91" a="1"/>
  <c r="G31" i="91" s="1"/>
  <c r="F31" i="91" a="1"/>
  <c r="F31" i="91" s="1"/>
  <c r="E31" i="91" a="1"/>
  <c r="E31" i="91" s="1"/>
  <c r="D31" i="91" a="1"/>
  <c r="D31" i="91" s="1"/>
  <c r="G30" i="91" a="1"/>
  <c r="G30" i="91" s="1"/>
  <c r="F30" i="91" a="1"/>
  <c r="F30" i="91" s="1"/>
  <c r="E30" i="91" a="1"/>
  <c r="E30" i="91" s="1"/>
  <c r="D30" i="91" a="1"/>
  <c r="D30" i="91" s="1"/>
  <c r="G29" i="91" a="1"/>
  <c r="G29" i="91" s="1"/>
  <c r="F29" i="91" a="1"/>
  <c r="F29" i="91" s="1"/>
  <c r="E29" i="91" a="1"/>
  <c r="E29" i="91" s="1"/>
  <c r="D29" i="91" a="1"/>
  <c r="D29" i="91" s="1"/>
  <c r="G28" i="91" a="1"/>
  <c r="G28" i="91" s="1"/>
  <c r="F28" i="91" a="1"/>
  <c r="F28" i="91" s="1"/>
  <c r="E28" i="91" a="1"/>
  <c r="E28" i="91" s="1"/>
  <c r="D28" i="91" a="1"/>
  <c r="D28" i="91" s="1"/>
  <c r="G27" i="91" a="1"/>
  <c r="G27" i="91" s="1"/>
  <c r="F27" i="91" a="1"/>
  <c r="F27" i="91" s="1"/>
  <c r="E27" i="91" a="1"/>
  <c r="E27" i="91" s="1"/>
  <c r="D27" i="91" a="1"/>
  <c r="D27" i="91" s="1"/>
  <c r="G26" i="91" a="1"/>
  <c r="G26" i="91" s="1"/>
  <c r="F26" i="91" a="1"/>
  <c r="F26" i="91" s="1"/>
  <c r="E26" i="91" a="1"/>
  <c r="E26" i="91" s="1"/>
  <c r="D26" i="91" a="1"/>
  <c r="D26" i="91" s="1"/>
  <c r="G25" i="91" a="1"/>
  <c r="G25" i="91" s="1"/>
  <c r="F25" i="91" a="1"/>
  <c r="F25" i="91" s="1"/>
  <c r="E25" i="91" a="1"/>
  <c r="E25" i="91" s="1"/>
  <c r="D25" i="91" a="1"/>
  <c r="D25" i="91" s="1"/>
  <c r="G24" i="91" a="1"/>
  <c r="G24" i="91" s="1"/>
  <c r="F24" i="91" a="1"/>
  <c r="F24" i="91" s="1"/>
  <c r="E24" i="91" a="1"/>
  <c r="E24" i="91" s="1"/>
  <c r="D24" i="91" a="1"/>
  <c r="D24" i="91" s="1"/>
  <c r="G23" i="91" a="1"/>
  <c r="G23" i="91" s="1"/>
  <c r="F23" i="91" a="1"/>
  <c r="F23" i="91" s="1"/>
  <c r="E23" i="91" a="1"/>
  <c r="E23" i="91" s="1"/>
  <c r="D23" i="91" a="1"/>
  <c r="D23" i="91" s="1"/>
  <c r="G22" i="91" a="1"/>
  <c r="G22" i="91" s="1"/>
  <c r="F22" i="91" a="1"/>
  <c r="F22" i="91" s="1"/>
  <c r="E22" i="91" a="1"/>
  <c r="E22" i="91" s="1"/>
  <c r="D22" i="91" a="1"/>
  <c r="D22" i="91" s="1"/>
  <c r="D20" i="91" a="1"/>
  <c r="D20" i="91" s="1"/>
  <c r="D19" i="91" a="1"/>
  <c r="D19" i="91" s="1"/>
  <c r="D18" i="91" a="1"/>
  <c r="D18" i="91" s="1"/>
  <c r="D17" i="91" a="1"/>
  <c r="D17" i="91" s="1"/>
  <c r="D16" i="91" a="1"/>
  <c r="D16" i="91" s="1"/>
  <c r="Q52" i="90" a="1"/>
  <c r="Q52" i="90" s="1"/>
  <c r="F52" i="90" a="1"/>
  <c r="F52" i="90" s="1"/>
  <c r="O49" i="90" a="1"/>
  <c r="O49" i="90" s="1"/>
  <c r="D49" i="90" a="1"/>
  <c r="D49" i="90" s="1"/>
  <c r="S43" i="90" a="1"/>
  <c r="S43" i="90" s="1"/>
  <c r="O43" i="90" a="1"/>
  <c r="O43" i="90" s="1"/>
  <c r="H43" i="90" a="1"/>
  <c r="H43" i="90" s="1"/>
  <c r="D43" i="90" a="1"/>
  <c r="D43" i="90" s="1"/>
  <c r="E41" i="90" a="1"/>
  <c r="E41" i="90" s="1"/>
  <c r="E40" i="90" a="1"/>
  <c r="E40" i="90" s="1"/>
  <c r="D36" i="90" a="1"/>
  <c r="D36" i="90" s="1"/>
  <c r="D35" i="90" a="1"/>
  <c r="D35" i="90" s="1"/>
  <c r="O28" i="90"/>
  <c r="D28" i="90"/>
  <c r="O23" i="90"/>
  <c r="D23" i="90"/>
  <c r="I18" i="90"/>
  <c r="I17" i="90"/>
  <c r="I16" i="90"/>
  <c r="I13" i="90" a="1"/>
  <c r="I13" i="90" s="1"/>
  <c r="G13" i="90" a="1"/>
  <c r="G13" i="90" s="1"/>
  <c r="D13" i="90" a="1"/>
  <c r="D13" i="90" s="1"/>
  <c r="E11" i="90" a="1"/>
  <c r="E11" i="90" s="1"/>
  <c r="Q30" i="90" s="1"/>
  <c r="E10" i="90" a="1"/>
  <c r="E10" i="90" s="1"/>
  <c r="D6" i="90" a="1"/>
  <c r="D6" i="90" s="1"/>
  <c r="D5" i="90" a="1"/>
  <c r="D5" i="90" s="1"/>
  <c r="Q50" i="89" a="1"/>
  <c r="Q50" i="89" s="1"/>
  <c r="F50" i="89" a="1"/>
  <c r="F50" i="89" s="1"/>
  <c r="O47" i="89" a="1"/>
  <c r="O47" i="89" s="1"/>
  <c r="D47" i="89" a="1"/>
  <c r="D47" i="89" s="1"/>
  <c r="I42" i="89"/>
  <c r="I41" i="89"/>
  <c r="G38" i="89" a="1"/>
  <c r="G38" i="89" s="1"/>
  <c r="D38" i="89" a="1"/>
  <c r="P38" i="89" s="1"/>
  <c r="E36" i="89" a="1"/>
  <c r="E36" i="89" s="1"/>
  <c r="E35" i="89" a="1"/>
  <c r="E35" i="89" s="1"/>
  <c r="D31" i="89" a="1"/>
  <c r="D31" i="89" s="1"/>
  <c r="D30" i="89" a="1"/>
  <c r="D30" i="89" s="1"/>
  <c r="O24" i="89"/>
  <c r="D24" i="89"/>
  <c r="O19" i="89"/>
  <c r="D19" i="89"/>
  <c r="I13" i="89" a="1"/>
  <c r="I13" i="89" s="1"/>
  <c r="G13" i="89" a="1"/>
  <c r="G13" i="89" s="1"/>
  <c r="D13" i="89" a="1"/>
  <c r="D13" i="89" s="1"/>
  <c r="E11" i="89" a="1"/>
  <c r="E11" i="89" s="1"/>
  <c r="E10" i="89" a="1"/>
  <c r="E10" i="89" s="1"/>
  <c r="D6" i="89" a="1"/>
  <c r="D6" i="89" s="1"/>
  <c r="D5" i="89" a="1"/>
  <c r="D5" i="89" s="1"/>
  <c r="Q58" i="88" a="1"/>
  <c r="Q58" i="88" s="1"/>
  <c r="F58" i="88" a="1"/>
  <c r="F58" i="88" s="1"/>
  <c r="O55" i="88" a="1"/>
  <c r="O55" i="88" s="1"/>
  <c r="D55" i="88" a="1"/>
  <c r="D55" i="88" s="1"/>
  <c r="O51" i="88"/>
  <c r="D51" i="88"/>
  <c r="J43" i="88" a="1"/>
  <c r="J43" i="88" s="1"/>
  <c r="H43" i="88" a="1"/>
  <c r="H43" i="88" s="1"/>
  <c r="D43" i="88" a="1"/>
  <c r="D43" i="88" s="1"/>
  <c r="E41" i="88" a="1"/>
  <c r="E41" i="88" s="1"/>
  <c r="Q53" i="88" s="1"/>
  <c r="E40" i="88" a="1"/>
  <c r="E40" i="88" s="1"/>
  <c r="D36" i="88" a="1"/>
  <c r="D36" i="88" s="1"/>
  <c r="D35" i="88" a="1"/>
  <c r="D35" i="88" s="1"/>
  <c r="O31" i="88"/>
  <c r="D31" i="88"/>
  <c r="O25" i="88"/>
  <c r="D25" i="88"/>
  <c r="I14" i="88" a="1"/>
  <c r="I14" i="88" s="1"/>
  <c r="I13" i="88" a="1"/>
  <c r="I13" i="88" s="1"/>
  <c r="G13" i="88" a="1"/>
  <c r="K25" i="88" s="1"/>
  <c r="D13" i="88" a="1"/>
  <c r="D13" i="88" s="1"/>
  <c r="E11" i="88" a="1"/>
  <c r="E11" i="88" s="1"/>
  <c r="E10" i="88" a="1"/>
  <c r="E10" i="88" s="1"/>
  <c r="D6" i="88" a="1"/>
  <c r="D6" i="88" s="1"/>
  <c r="D5" i="88" a="1"/>
  <c r="D5" i="88" s="1"/>
  <c r="O146" i="87"/>
  <c r="D146" i="87"/>
  <c r="O145" i="87"/>
  <c r="D145" i="87"/>
  <c r="P144" i="87"/>
  <c r="O144" i="87"/>
  <c r="E144" i="87"/>
  <c r="D144" i="87"/>
  <c r="O143" i="87"/>
  <c r="D143" i="87"/>
  <c r="O142" i="87"/>
  <c r="D142" i="87"/>
  <c r="O141" i="87"/>
  <c r="D141" i="87"/>
  <c r="O140" i="87"/>
  <c r="D140" i="87"/>
  <c r="O139" i="87"/>
  <c r="D139" i="87"/>
  <c r="F134" i="87"/>
  <c r="D134" i="87"/>
  <c r="F133" i="87"/>
  <c r="D133" i="87"/>
  <c r="F132" i="87"/>
  <c r="E132" i="87"/>
  <c r="D132" i="87"/>
  <c r="F131" i="87"/>
  <c r="D131" i="87"/>
  <c r="F130" i="87"/>
  <c r="D130" i="87"/>
  <c r="F129" i="87"/>
  <c r="D129" i="87"/>
  <c r="F128" i="87"/>
  <c r="D128" i="87"/>
  <c r="F127" i="87"/>
  <c r="D127" i="87"/>
  <c r="O113" i="87"/>
  <c r="D113" i="87"/>
  <c r="O112" i="87"/>
  <c r="D112" i="87"/>
  <c r="P111" i="87"/>
  <c r="O111" i="87"/>
  <c r="E111" i="87"/>
  <c r="D111" i="87"/>
  <c r="O110" i="87"/>
  <c r="D110" i="87"/>
  <c r="O109" i="87"/>
  <c r="D109" i="87"/>
  <c r="O108" i="87"/>
  <c r="D108" i="87"/>
  <c r="O107" i="87"/>
  <c r="D107" i="87"/>
  <c r="O106" i="87"/>
  <c r="D106" i="87"/>
  <c r="I101" i="87" a="1"/>
  <c r="I101" i="87" s="1"/>
  <c r="I100" i="87" a="1"/>
  <c r="I100" i="87" s="1"/>
  <c r="I99" i="87" a="1"/>
  <c r="I99" i="87" s="1"/>
  <c r="I98" i="87" a="1"/>
  <c r="I98" i="87" s="1"/>
  <c r="I97" i="87" a="1"/>
  <c r="I97" i="87" s="1"/>
  <c r="G97" i="87" a="1"/>
  <c r="G97" i="87" s="1"/>
  <c r="D97" i="87" a="1"/>
  <c r="D97" i="87" s="1"/>
  <c r="E95" i="87" a="1"/>
  <c r="E95" i="87" s="1"/>
  <c r="E94" i="87" a="1"/>
  <c r="E94" i="87" s="1"/>
  <c r="D90" i="87" a="1"/>
  <c r="D90" i="87" s="1"/>
  <c r="D89" i="87" a="1"/>
  <c r="D89" i="87" s="1"/>
  <c r="O83" i="87"/>
  <c r="D83" i="87"/>
  <c r="O82" i="87"/>
  <c r="D82" i="87"/>
  <c r="P81" i="87"/>
  <c r="O81" i="87"/>
  <c r="E81" i="87"/>
  <c r="D81" i="87"/>
  <c r="O80" i="87"/>
  <c r="D80" i="87"/>
  <c r="O79" i="87"/>
  <c r="D79" i="87"/>
  <c r="O78" i="87"/>
  <c r="D78" i="87"/>
  <c r="O77" i="87"/>
  <c r="D77" i="87"/>
  <c r="O76" i="87"/>
  <c r="D76" i="87"/>
  <c r="F71" i="87"/>
  <c r="D71" i="87"/>
  <c r="F70" i="87"/>
  <c r="D70" i="87"/>
  <c r="E69" i="87"/>
  <c r="D69" i="87"/>
  <c r="D68" i="87"/>
  <c r="F67" i="87"/>
  <c r="D67" i="87"/>
  <c r="F66" i="87"/>
  <c r="D66" i="87"/>
  <c r="F65" i="87"/>
  <c r="D65" i="87"/>
  <c r="D64" i="87"/>
  <c r="O59" i="87"/>
  <c r="D59" i="87"/>
  <c r="O58" i="87"/>
  <c r="D58" i="87"/>
  <c r="P57" i="87"/>
  <c r="O57" i="87"/>
  <c r="E57" i="87"/>
  <c r="D57" i="87"/>
  <c r="O56" i="87"/>
  <c r="D56" i="87"/>
  <c r="O55" i="87"/>
  <c r="D55" i="87"/>
  <c r="O54" i="87"/>
  <c r="D54" i="87"/>
  <c r="O53" i="87"/>
  <c r="D53" i="87"/>
  <c r="O52" i="87"/>
  <c r="D52" i="87"/>
  <c r="O47" i="87"/>
  <c r="D47" i="87"/>
  <c r="O46" i="87"/>
  <c r="D46" i="87"/>
  <c r="P45" i="87"/>
  <c r="O45" i="87"/>
  <c r="E45" i="87"/>
  <c r="D45" i="87"/>
  <c r="O44" i="87"/>
  <c r="D44" i="87"/>
  <c r="O43" i="87"/>
  <c r="D43" i="87"/>
  <c r="O42" i="87"/>
  <c r="D42" i="87"/>
  <c r="O41" i="87"/>
  <c r="D41" i="87"/>
  <c r="O40" i="87"/>
  <c r="D40" i="87"/>
  <c r="I17" i="87" a="1"/>
  <c r="I17" i="87" s="1"/>
  <c r="I16" i="87" a="1"/>
  <c r="I16" i="87" s="1"/>
  <c r="I15" i="87" a="1"/>
  <c r="I15" i="87" s="1"/>
  <c r="I14" i="87" a="1"/>
  <c r="I14" i="87" s="1"/>
  <c r="I13" i="87" a="1"/>
  <c r="I13" i="87" s="1"/>
  <c r="G13" i="87" a="1"/>
  <c r="G64" i="87" s="1"/>
  <c r="D13" i="87" a="1"/>
  <c r="D13" i="87" s="1"/>
  <c r="E11" i="87" a="1"/>
  <c r="E11" i="87" s="1"/>
  <c r="E10" i="87" a="1"/>
  <c r="E10" i="87" s="1"/>
  <c r="D6" i="87" a="1"/>
  <c r="D6" i="87" s="1"/>
  <c r="D119" i="87" s="1"/>
  <c r="D5" i="87" a="1"/>
  <c r="D5" i="87" s="1"/>
  <c r="Q57" i="86" a="1"/>
  <c r="Q57" i="86" s="1"/>
  <c r="F57" i="86" a="1"/>
  <c r="F57" i="86" s="1"/>
  <c r="O54" i="86" a="1"/>
  <c r="O54" i="86" s="1"/>
  <c r="D54" i="86" a="1"/>
  <c r="D54" i="86" s="1"/>
  <c r="O50" i="86"/>
  <c r="D50" i="86"/>
  <c r="O49" i="86"/>
  <c r="D49" i="86"/>
  <c r="I42" i="86" a="1"/>
  <c r="I42" i="86" s="1"/>
  <c r="G42" i="86" a="1"/>
  <c r="G42" i="86" s="1"/>
  <c r="D42" i="86" a="1"/>
  <c r="D42" i="86" s="1"/>
  <c r="E40" i="86" a="1"/>
  <c r="E40" i="86" s="1"/>
  <c r="E39" i="86" a="1"/>
  <c r="E39" i="86" s="1"/>
  <c r="D35" i="86" a="1"/>
  <c r="D35" i="86" s="1"/>
  <c r="D34" i="86" a="1"/>
  <c r="D34" i="86" s="1"/>
  <c r="O30" i="86"/>
  <c r="D30" i="86"/>
  <c r="O29" i="86"/>
  <c r="D29" i="86"/>
  <c r="O24" i="86"/>
  <c r="D24" i="86"/>
  <c r="O23" i="86"/>
  <c r="D23" i="86"/>
  <c r="J18" i="86"/>
  <c r="J17" i="86"/>
  <c r="J16" i="86"/>
  <c r="J13" i="86" a="1"/>
  <c r="J13" i="86" s="1"/>
  <c r="H13" i="86" a="1"/>
  <c r="H13" i="86" s="1"/>
  <c r="D13" i="86" a="1"/>
  <c r="D13" i="86" s="1"/>
  <c r="E11" i="86" a="1"/>
  <c r="E11" i="86" s="1"/>
  <c r="E10" i="86" a="1"/>
  <c r="E10" i="86" s="1"/>
  <c r="D6" i="86" a="1"/>
  <c r="D6" i="86" s="1"/>
  <c r="D5" i="86" a="1"/>
  <c r="D5" i="86" s="1"/>
  <c r="Q73" i="85" a="1"/>
  <c r="Q73" i="85" s="1"/>
  <c r="F73" i="85" a="1"/>
  <c r="F73" i="85" s="1"/>
  <c r="O70" i="85" a="1"/>
  <c r="O70" i="85" s="1"/>
  <c r="D70" i="85" a="1"/>
  <c r="D70" i="85" s="1"/>
  <c r="I65" i="85"/>
  <c r="I64" i="85"/>
  <c r="G61" i="85" a="1"/>
  <c r="G61" i="85" s="1"/>
  <c r="D61" i="85" a="1"/>
  <c r="P61" i="85" s="1"/>
  <c r="E59" i="85" a="1"/>
  <c r="E59" i="85" s="1"/>
  <c r="E58" i="85" a="1"/>
  <c r="E58" i="85" s="1"/>
  <c r="D54" i="85" a="1"/>
  <c r="D54" i="85" s="1"/>
  <c r="D53" i="85" a="1"/>
  <c r="D53" i="85" s="1"/>
  <c r="O47" i="85"/>
  <c r="D47" i="85"/>
  <c r="O46" i="85"/>
  <c r="D46" i="85"/>
  <c r="P45" i="85"/>
  <c r="O45" i="85"/>
  <c r="E45" i="85"/>
  <c r="D45" i="85"/>
  <c r="O44" i="85"/>
  <c r="D44" i="85"/>
  <c r="O43" i="85"/>
  <c r="D43" i="85"/>
  <c r="O42" i="85"/>
  <c r="D42" i="85"/>
  <c r="O41" i="85"/>
  <c r="D41" i="85"/>
  <c r="O40" i="85"/>
  <c r="D40" i="85"/>
  <c r="O26" i="85"/>
  <c r="D26" i="85"/>
  <c r="O25" i="85"/>
  <c r="D25" i="85"/>
  <c r="P24" i="85"/>
  <c r="O24" i="85"/>
  <c r="E24" i="85"/>
  <c r="D24" i="85"/>
  <c r="O23" i="85"/>
  <c r="D23" i="85"/>
  <c r="O22" i="85"/>
  <c r="D22" i="85"/>
  <c r="O21" i="85"/>
  <c r="D21" i="85"/>
  <c r="O20" i="85"/>
  <c r="D20" i="85"/>
  <c r="O19" i="85"/>
  <c r="D19" i="85"/>
  <c r="I14" i="85" a="1"/>
  <c r="I14" i="85" s="1"/>
  <c r="I13" i="85" a="1"/>
  <c r="I13" i="85" s="1"/>
  <c r="G13" i="85" a="1"/>
  <c r="F31" i="85" s="1"/>
  <c r="D13" i="85" a="1"/>
  <c r="D13" i="85" s="1"/>
  <c r="E11" i="85" a="1"/>
  <c r="E11" i="85" s="1"/>
  <c r="E10" i="85" a="1"/>
  <c r="E10" i="85" s="1"/>
  <c r="D6" i="85" a="1"/>
  <c r="D6" i="85" s="1"/>
  <c r="D5" i="85" a="1"/>
  <c r="D5" i="85" s="1"/>
  <c r="P292" i="84" a="1"/>
  <c r="P292" i="84" s="1"/>
  <c r="F292" i="84" a="1"/>
  <c r="F292" i="84" s="1"/>
  <c r="N289" i="84" a="1"/>
  <c r="N289" i="84" s="1"/>
  <c r="D289" i="84" a="1"/>
  <c r="D289" i="84" s="1"/>
  <c r="N285" i="84"/>
  <c r="D285" i="84"/>
  <c r="A285" i="84"/>
  <c r="N284" i="84"/>
  <c r="D284" i="84"/>
  <c r="O283" i="84"/>
  <c r="N283" i="84"/>
  <c r="E283" i="84"/>
  <c r="D283" i="84"/>
  <c r="N282" i="84"/>
  <c r="D282" i="84"/>
  <c r="N281" i="84"/>
  <c r="D281" i="84"/>
  <c r="N280" i="84"/>
  <c r="D280" i="84"/>
  <c r="N279" i="84"/>
  <c r="D279" i="84"/>
  <c r="N278" i="84"/>
  <c r="D278" i="84"/>
  <c r="I263" i="84" a="1"/>
  <c r="I263" i="84" s="1"/>
  <c r="I262" i="84" a="1"/>
  <c r="I262" i="84" s="1"/>
  <c r="G262" i="84" a="1"/>
  <c r="G262" i="84" s="1"/>
  <c r="D262" i="84" a="1"/>
  <c r="D262" i="84" s="1"/>
  <c r="E260" i="84" a="1"/>
  <c r="E260" i="84" s="1"/>
  <c r="E259" i="84" a="1"/>
  <c r="E259" i="84" s="1"/>
  <c r="D255" i="84" a="1"/>
  <c r="D255" i="84" s="1"/>
  <c r="D254" i="84" a="1"/>
  <c r="D254" i="84" s="1"/>
  <c r="N250" i="84"/>
  <c r="D250" i="84"/>
  <c r="N249" i="84"/>
  <c r="D249" i="84"/>
  <c r="N248" i="84"/>
  <c r="E248" i="84"/>
  <c r="D248" i="84"/>
  <c r="N247" i="84"/>
  <c r="D247" i="84"/>
  <c r="N246" i="84"/>
  <c r="D246" i="84"/>
  <c r="N245" i="84"/>
  <c r="D245" i="84"/>
  <c r="A245" i="84"/>
  <c r="N244" i="84"/>
  <c r="D244" i="84"/>
  <c r="N243" i="84"/>
  <c r="D243" i="84"/>
  <c r="N238" i="84"/>
  <c r="D238" i="84"/>
  <c r="N237" i="84"/>
  <c r="D237" i="84"/>
  <c r="O236" i="84"/>
  <c r="N236" i="84"/>
  <c r="E236" i="84"/>
  <c r="D236" i="84"/>
  <c r="N235" i="84"/>
  <c r="D235" i="84"/>
  <c r="N234" i="84"/>
  <c r="D234" i="84"/>
  <c r="N233" i="84"/>
  <c r="D233" i="84"/>
  <c r="N232" i="84"/>
  <c r="D232" i="84"/>
  <c r="N231" i="84"/>
  <c r="D231" i="84"/>
  <c r="J226" i="84" a="1"/>
  <c r="J226" i="84" s="1"/>
  <c r="I226" i="84" a="1"/>
  <c r="I226" i="84" s="1"/>
  <c r="J225" i="84" a="1"/>
  <c r="J225" i="84" s="1"/>
  <c r="I225" i="84" a="1"/>
  <c r="I225" i="84" s="1"/>
  <c r="G225" i="84" a="1"/>
  <c r="G225" i="84" s="1"/>
  <c r="D225" i="84" a="1"/>
  <c r="D225" i="84" s="1"/>
  <c r="E223" i="84" a="1"/>
  <c r="E223" i="84" s="1"/>
  <c r="E222" i="84" a="1"/>
  <c r="E222" i="84" s="1"/>
  <c r="D218" i="84" a="1"/>
  <c r="D218" i="84" s="1"/>
  <c r="D217" i="84" a="1"/>
  <c r="D217" i="84" s="1"/>
  <c r="A208" i="84"/>
  <c r="I193" i="84" a="1"/>
  <c r="I193" i="84" s="1"/>
  <c r="I192" i="84" a="1"/>
  <c r="I192" i="84" s="1"/>
  <c r="I191" i="84" a="1"/>
  <c r="I191" i="84" s="1"/>
  <c r="I190" i="84" a="1"/>
  <c r="I190" i="84" s="1"/>
  <c r="I189" i="84" a="1"/>
  <c r="I189" i="84" s="1"/>
  <c r="G189" i="84" a="1"/>
  <c r="G189" i="84" s="1"/>
  <c r="D189" i="84" a="1"/>
  <c r="D189" i="84" s="1"/>
  <c r="E187" i="84" a="1"/>
  <c r="E187" i="84" s="1"/>
  <c r="E186" i="84" a="1"/>
  <c r="E186" i="84" s="1"/>
  <c r="D182" i="84" a="1"/>
  <c r="D182" i="84" s="1"/>
  <c r="D181" i="84" a="1"/>
  <c r="D181" i="84" s="1"/>
  <c r="D180" i="84" a="1"/>
  <c r="D180" i="84" s="1"/>
  <c r="A171" i="84"/>
  <c r="H166" i="84"/>
  <c r="G166" i="84"/>
  <c r="F166" i="84"/>
  <c r="E166" i="84"/>
  <c r="D166" i="84"/>
  <c r="I161" i="84" a="1"/>
  <c r="I161" i="84" s="1"/>
  <c r="I160" i="84" a="1"/>
  <c r="I160" i="84" s="1"/>
  <c r="I159" i="84" a="1"/>
  <c r="I159" i="84" s="1"/>
  <c r="G159" i="84" a="1"/>
  <c r="G159" i="84" s="1"/>
  <c r="I166" i="84" s="1"/>
  <c r="D159" i="84" a="1"/>
  <c r="D159" i="84" s="1"/>
  <c r="E157" i="84" a="1"/>
  <c r="E157" i="84" s="1"/>
  <c r="E156" i="84" a="1"/>
  <c r="E156" i="84" s="1"/>
  <c r="D152" i="84" a="1"/>
  <c r="D152" i="84" s="1"/>
  <c r="D151" i="84" a="1"/>
  <c r="D151" i="84" s="1"/>
  <c r="D150" i="84" a="1"/>
  <c r="D150" i="84" s="1"/>
  <c r="I141" i="84" a="1"/>
  <c r="I141" i="84" s="1"/>
  <c r="I140" i="84" a="1"/>
  <c r="I140" i="84" s="1"/>
  <c r="I139" i="84" a="1"/>
  <c r="I139" i="84" s="1"/>
  <c r="G139" i="84" a="1"/>
  <c r="G139" i="84" s="1"/>
  <c r="D139" i="84" a="1"/>
  <c r="D139" i="84" s="1"/>
  <c r="E137" i="84" a="1"/>
  <c r="E137" i="84" s="1"/>
  <c r="E136" i="84" a="1"/>
  <c r="E136" i="84" s="1"/>
  <c r="D131" i="84" a="1"/>
  <c r="D131" i="84" s="1"/>
  <c r="D130" i="84" a="1"/>
  <c r="D130" i="84" s="1"/>
  <c r="E121" i="84"/>
  <c r="H116" i="84" a="1"/>
  <c r="H116" i="84" s="1"/>
  <c r="H115" i="84" a="1"/>
  <c r="H115" i="84" s="1"/>
  <c r="D115" i="84" a="1"/>
  <c r="D115" i="84" s="1"/>
  <c r="E113" i="84" a="1"/>
  <c r="E113" i="84" s="1"/>
  <c r="E112" i="84" a="1"/>
  <c r="E112" i="84" s="1"/>
  <c r="D108" i="84" a="1"/>
  <c r="D108" i="84" s="1"/>
  <c r="D107" i="84" a="1"/>
  <c r="D107" i="84" s="1"/>
  <c r="I83" i="84" a="1"/>
  <c r="I83" i="84" s="1"/>
  <c r="I82" i="84" a="1"/>
  <c r="I82" i="84" s="1"/>
  <c r="I81" i="84" a="1"/>
  <c r="I81" i="84" s="1"/>
  <c r="I80" i="84" a="1"/>
  <c r="I80" i="84" s="1"/>
  <c r="I79" i="84" a="1"/>
  <c r="I79" i="84" s="1"/>
  <c r="I78" i="84"/>
  <c r="G78" i="84" a="1"/>
  <c r="I93" i="84" s="1"/>
  <c r="D78" i="84" a="1"/>
  <c r="D78" i="84" s="1"/>
  <c r="E76" i="84" a="1"/>
  <c r="E76" i="84" s="1"/>
  <c r="E75" i="84" a="1"/>
  <c r="E75" i="84" s="1"/>
  <c r="D71" i="84" a="1"/>
  <c r="D71" i="84" s="1"/>
  <c r="D70" i="84" a="1"/>
  <c r="D70" i="84" s="1"/>
  <c r="D69" i="84" a="1"/>
  <c r="D69" i="84" s="1"/>
  <c r="I45" i="84" a="1"/>
  <c r="I45" i="84" s="1"/>
  <c r="I44" i="84" a="1"/>
  <c r="I44" i="84" s="1"/>
  <c r="I43" i="84" a="1"/>
  <c r="I43" i="84" s="1"/>
  <c r="I42" i="84" a="1"/>
  <c r="I42" i="84" s="1"/>
  <c r="G42" i="84" a="1"/>
  <c r="G42" i="84" s="1"/>
  <c r="I50" i="84" s="1"/>
  <c r="D42" i="84" a="1"/>
  <c r="D42" i="84" s="1"/>
  <c r="E40" i="84" a="1"/>
  <c r="E40" i="84" s="1"/>
  <c r="E39" i="84" a="1"/>
  <c r="E39" i="84" s="1"/>
  <c r="D34" i="84" a="1"/>
  <c r="D34" i="84" s="1"/>
  <c r="D33" i="84" a="1"/>
  <c r="D33" i="84" s="1"/>
  <c r="H14" i="84" a="1"/>
  <c r="H14" i="84" s="1"/>
  <c r="H13" i="84" a="1"/>
  <c r="H13" i="84" s="1"/>
  <c r="F13" i="84" a="1"/>
  <c r="F13" i="84" s="1"/>
  <c r="D13" i="84" a="1"/>
  <c r="D13" i="84" s="1"/>
  <c r="E11" i="84" a="1"/>
  <c r="E11" i="84" s="1"/>
  <c r="E10" i="84" a="1"/>
  <c r="E10" i="84" s="1"/>
  <c r="D6" i="84" a="1"/>
  <c r="D6" i="84" s="1"/>
  <c r="D5" i="84" a="1"/>
  <c r="D5" i="84" s="1"/>
  <c r="Q305" i="83" a="1"/>
  <c r="Q305" i="83" s="1"/>
  <c r="F305" i="83" a="1"/>
  <c r="F305" i="83" s="1"/>
  <c r="O302" i="83" a="1"/>
  <c r="O302" i="83" s="1"/>
  <c r="D302" i="83" a="1"/>
  <c r="D302" i="83" s="1"/>
  <c r="O298" i="83"/>
  <c r="D298" i="83"/>
  <c r="O297" i="83"/>
  <c r="D297" i="83"/>
  <c r="P296" i="83"/>
  <c r="O296" i="83"/>
  <c r="D296" i="83"/>
  <c r="O295" i="83"/>
  <c r="D295" i="83"/>
  <c r="O294" i="83"/>
  <c r="D294" i="83"/>
  <c r="O293" i="83"/>
  <c r="D293" i="83"/>
  <c r="O292" i="83"/>
  <c r="D292" i="83"/>
  <c r="O291" i="83"/>
  <c r="D291" i="83"/>
  <c r="O290" i="83"/>
  <c r="D290" i="83"/>
  <c r="A275" i="83"/>
  <c r="H270" i="83"/>
  <c r="G270" i="83"/>
  <c r="F270" i="83"/>
  <c r="E270" i="83"/>
  <c r="D270" i="83"/>
  <c r="J265" i="83" a="1"/>
  <c r="J265" i="83" s="1"/>
  <c r="J264" i="83" a="1"/>
  <c r="J264" i="83" s="1"/>
  <c r="J263" i="83" a="1"/>
  <c r="J263" i="83" s="1"/>
  <c r="J262" i="83" a="1"/>
  <c r="J262" i="83" s="1"/>
  <c r="J261" i="83" a="1"/>
  <c r="J261" i="83" s="1"/>
  <c r="J260" i="83" a="1"/>
  <c r="J260" i="83" s="1"/>
  <c r="J259" i="83" a="1"/>
  <c r="J259" i="83" s="1"/>
  <c r="J258" i="83" a="1"/>
  <c r="J258" i="83" s="1"/>
  <c r="H258" i="83" a="1"/>
  <c r="H258" i="83" s="1"/>
  <c r="D258" i="83" a="1"/>
  <c r="D258" i="83" s="1"/>
  <c r="E256" i="83" a="1"/>
  <c r="E256" i="83" s="1"/>
  <c r="E255" i="83" a="1"/>
  <c r="E255" i="83" s="1"/>
  <c r="D251" i="83" a="1"/>
  <c r="D251" i="83" s="1"/>
  <c r="D250" i="83" a="1"/>
  <c r="D250" i="83" s="1"/>
  <c r="D249" i="83" a="1"/>
  <c r="D249" i="83" s="1"/>
  <c r="O245" i="83"/>
  <c r="D245" i="83"/>
  <c r="O244" i="83"/>
  <c r="D244" i="83"/>
  <c r="P243" i="83"/>
  <c r="O243" i="83"/>
  <c r="E243" i="83"/>
  <c r="D243" i="83"/>
  <c r="O242" i="83"/>
  <c r="D242" i="83"/>
  <c r="O241" i="83"/>
  <c r="D241" i="83"/>
  <c r="O240" i="83"/>
  <c r="D240" i="83"/>
  <c r="O239" i="83"/>
  <c r="D239" i="83"/>
  <c r="O238" i="83"/>
  <c r="D238" i="83"/>
  <c r="O237" i="83"/>
  <c r="D237" i="83"/>
  <c r="T223" i="83"/>
  <c r="T220" i="83" a="1"/>
  <c r="T220" i="83" s="1"/>
  <c r="I220" i="83" a="1"/>
  <c r="I220" i="83" s="1"/>
  <c r="J219" i="83" a="1"/>
  <c r="J219" i="83" s="1"/>
  <c r="I219" i="83" a="1"/>
  <c r="I219" i="83" s="1"/>
  <c r="R218" i="83" a="1"/>
  <c r="R218" i="83" s="1"/>
  <c r="O218" i="83" a="1"/>
  <c r="O218" i="83" s="1"/>
  <c r="I218" i="83" a="1"/>
  <c r="I218" i="83" s="1"/>
  <c r="G218" i="83" a="1"/>
  <c r="G218" i="83" s="1"/>
  <c r="D218" i="83" a="1"/>
  <c r="D218" i="83" s="1"/>
  <c r="A217" i="83"/>
  <c r="E216" i="83" a="1"/>
  <c r="E216" i="83" s="1"/>
  <c r="E215" i="83" a="1"/>
  <c r="E215" i="83" s="1"/>
  <c r="D211" i="83" a="1"/>
  <c r="D211" i="83" s="1"/>
  <c r="D210" i="83" a="1"/>
  <c r="D210" i="83" s="1"/>
  <c r="O206" i="83"/>
  <c r="D206" i="83"/>
  <c r="O205" i="83"/>
  <c r="D205" i="83"/>
  <c r="O200" i="83"/>
  <c r="D200" i="83"/>
  <c r="O199" i="83"/>
  <c r="D199" i="83"/>
  <c r="I194" i="83" a="1"/>
  <c r="I194" i="83" s="1"/>
  <c r="I193" i="83" a="1"/>
  <c r="I193" i="83" s="1"/>
  <c r="I192" i="83" a="1"/>
  <c r="I192" i="83" s="1"/>
  <c r="G192" i="83" a="1"/>
  <c r="G192" i="83" s="1"/>
  <c r="D192" i="83" a="1"/>
  <c r="D192" i="83" s="1"/>
  <c r="E190" i="83" a="1"/>
  <c r="E190" i="83" s="1"/>
  <c r="E189" i="83" a="1"/>
  <c r="E189" i="83" s="1"/>
  <c r="D185" i="83" a="1"/>
  <c r="D185" i="83" s="1"/>
  <c r="D184" i="83" a="1"/>
  <c r="D184" i="83" s="1"/>
  <c r="D183" i="83" a="1"/>
  <c r="D183" i="83" s="1"/>
  <c r="O179" i="83"/>
  <c r="D179" i="83"/>
  <c r="P178" i="83"/>
  <c r="O178" i="83"/>
  <c r="E178" i="83"/>
  <c r="D178" i="83"/>
  <c r="A178" i="83"/>
  <c r="O177" i="83"/>
  <c r="D177" i="83"/>
  <c r="O176" i="83"/>
  <c r="D176" i="83"/>
  <c r="O175" i="83"/>
  <c r="D175" i="83"/>
  <c r="O174" i="83"/>
  <c r="D174" i="83"/>
  <c r="O173" i="83"/>
  <c r="D173" i="83"/>
  <c r="O168" i="83"/>
  <c r="D168" i="83"/>
  <c r="P167" i="83"/>
  <c r="O167" i="83"/>
  <c r="F167" i="83"/>
  <c r="E167" i="83"/>
  <c r="D167" i="83"/>
  <c r="Q166" i="83"/>
  <c r="O166" i="83"/>
  <c r="D166" i="83"/>
  <c r="Q165" i="83"/>
  <c r="O165" i="83"/>
  <c r="F165" i="83"/>
  <c r="D165" i="83"/>
  <c r="Q164" i="83"/>
  <c r="O164" i="83"/>
  <c r="F164" i="83"/>
  <c r="D164" i="83"/>
  <c r="Q163" i="83"/>
  <c r="O163" i="83"/>
  <c r="D163" i="83"/>
  <c r="O162" i="83"/>
  <c r="D162" i="83"/>
  <c r="O157" i="83"/>
  <c r="D157" i="83"/>
  <c r="P156" i="83"/>
  <c r="O156" i="83"/>
  <c r="D156" i="83"/>
  <c r="O155" i="83"/>
  <c r="D155" i="83"/>
  <c r="O154" i="83"/>
  <c r="D154" i="83"/>
  <c r="O153" i="83"/>
  <c r="D153" i="83"/>
  <c r="O152" i="83"/>
  <c r="D152" i="83"/>
  <c r="O151" i="83"/>
  <c r="D151" i="83"/>
  <c r="I146" i="83" a="1"/>
  <c r="I146" i="83" s="1"/>
  <c r="I145" i="83" a="1"/>
  <c r="I145" i="83" s="1"/>
  <c r="G145" i="83" a="1"/>
  <c r="G145" i="83" s="1"/>
  <c r="D145" i="83" a="1"/>
  <c r="D145" i="83" s="1"/>
  <c r="E143" i="83" a="1"/>
  <c r="E143" i="83" s="1"/>
  <c r="V173" i="83" s="1"/>
  <c r="E142" i="83" a="1"/>
  <c r="E142" i="83" s="1"/>
  <c r="D138" i="83" a="1"/>
  <c r="D138" i="83" s="1"/>
  <c r="D137" i="83" a="1"/>
  <c r="D137" i="83" s="1"/>
  <c r="I127" i="83" a="1"/>
  <c r="I127" i="83" s="1"/>
  <c r="I126" i="83" a="1"/>
  <c r="I126" i="83" s="1"/>
  <c r="G126" i="83" a="1"/>
  <c r="G126" i="83" s="1"/>
  <c r="D126" i="83" a="1"/>
  <c r="D126" i="83" s="1"/>
  <c r="E124" i="83" a="1"/>
  <c r="E124" i="83" s="1"/>
  <c r="T133" i="83" s="1"/>
  <c r="E123" i="83" a="1"/>
  <c r="E123" i="83" s="1"/>
  <c r="D119" i="83" a="1"/>
  <c r="D119" i="83" s="1"/>
  <c r="D118" i="83" a="1"/>
  <c r="D118" i="83" s="1"/>
  <c r="I94" i="83" a="1"/>
  <c r="I94" i="83" s="1"/>
  <c r="I93" i="83" a="1"/>
  <c r="I93" i="83" s="1"/>
  <c r="I92" i="83" a="1"/>
  <c r="I92" i="83" s="1"/>
  <c r="I91" i="83" a="1"/>
  <c r="I91" i="83" s="1"/>
  <c r="G91" i="83" a="1"/>
  <c r="G91" i="83" s="1"/>
  <c r="D91" i="83" a="1"/>
  <c r="D91" i="83" s="1"/>
  <c r="E89" i="83" a="1"/>
  <c r="E89" i="83" s="1"/>
  <c r="T114" i="83" s="1"/>
  <c r="S50" i="84" s="1"/>
  <c r="E88" i="83" a="1"/>
  <c r="E88" i="83" s="1"/>
  <c r="D84" i="83" a="1"/>
  <c r="D84" i="83" s="1"/>
  <c r="D83" i="83" a="1"/>
  <c r="D83" i="83" s="1"/>
  <c r="I68" i="83" a="1"/>
  <c r="I68" i="83" s="1"/>
  <c r="I64" i="83" a="1"/>
  <c r="I64" i="83" s="1"/>
  <c r="I63" i="83" a="1"/>
  <c r="I63" i="83" s="1"/>
  <c r="I62" i="83"/>
  <c r="D74" i="83" s="1"/>
  <c r="D93" i="84" s="1"/>
  <c r="G62" i="83" a="1"/>
  <c r="G62" i="83" s="1"/>
  <c r="D62" i="83" a="1"/>
  <c r="D62" i="83" s="1"/>
  <c r="E60" i="83" a="1"/>
  <c r="E60" i="83" s="1"/>
  <c r="E59" i="83" a="1"/>
  <c r="E59" i="83" s="1"/>
  <c r="D55" i="83" a="1"/>
  <c r="D55" i="83" s="1"/>
  <c r="D54" i="83" a="1"/>
  <c r="D54" i="83" s="1"/>
  <c r="T39" i="83"/>
  <c r="I38" i="83" a="1"/>
  <c r="I38" i="83" s="1"/>
  <c r="R37" i="83" a="1"/>
  <c r="R37" i="83" s="1"/>
  <c r="O37" i="83" a="1"/>
  <c r="O37" i="83" s="1"/>
  <c r="I37" i="83"/>
  <c r="D45" i="83" s="1"/>
  <c r="G37" i="83" a="1"/>
  <c r="G37" i="83" s="1"/>
  <c r="D37" i="83" a="1"/>
  <c r="D37" i="83" s="1"/>
  <c r="E35" i="83" a="1"/>
  <c r="E35" i="83" s="1"/>
  <c r="E34" i="83" a="1"/>
  <c r="E34" i="83" s="1"/>
  <c r="D30" i="83" a="1"/>
  <c r="D30" i="83" s="1"/>
  <c r="D29" i="83" a="1"/>
  <c r="D29" i="83" s="1"/>
  <c r="D28" i="83" a="1"/>
  <c r="D28" i="83" s="1"/>
  <c r="I14" i="83"/>
  <c r="G14" i="83" a="1"/>
  <c r="G14" i="83" s="1"/>
  <c r="D14" i="83" a="1"/>
  <c r="D14" i="83" s="1"/>
  <c r="E12" i="83" a="1"/>
  <c r="E12" i="83" s="1"/>
  <c r="T24" i="83" s="1"/>
  <c r="E11" i="83" a="1"/>
  <c r="E11" i="83" s="1"/>
  <c r="D7" i="83" a="1"/>
  <c r="D7" i="83" s="1"/>
  <c r="D6" i="83" a="1"/>
  <c r="D6" i="83" s="1"/>
  <c r="D5" i="83" a="1"/>
  <c r="D5" i="83" s="1"/>
  <c r="N118" i="82"/>
  <c r="E116" i="82"/>
  <c r="Q168" i="83" s="1"/>
  <c r="E115" i="82"/>
  <c r="F168" i="83" s="1"/>
  <c r="N113" i="82"/>
  <c r="E111" i="82"/>
  <c r="Q167" i="83" s="1"/>
  <c r="E110" i="82"/>
  <c r="N108" i="82"/>
  <c r="F69" i="87" s="1"/>
  <c r="D111" i="82"/>
  <c r="E106" i="82"/>
  <c r="E105" i="82"/>
  <c r="F166" i="83" s="1"/>
  <c r="N103" i="82"/>
  <c r="F68" i="87" s="1"/>
  <c r="D99" i="82"/>
  <c r="I96" i="82"/>
  <c r="H96" i="82"/>
  <c r="G96" i="82"/>
  <c r="F96" i="82"/>
  <c r="E96" i="82"/>
  <c r="N94" i="82"/>
  <c r="E91" i="82"/>
  <c r="N89" i="82"/>
  <c r="E86" i="82"/>
  <c r="N84" i="82"/>
  <c r="E81" i="82"/>
  <c r="F163" i="83" s="1"/>
  <c r="N79" i="82"/>
  <c r="F64" i="87" s="1"/>
  <c r="D75" i="82"/>
  <c r="F50" i="82"/>
  <c r="G41" i="13" a="1"/>
  <c r="G41" i="13" s="1"/>
  <c r="G40" i="13" a="1"/>
  <c r="G40" i="13" s="1"/>
  <c r="G39" i="13" a="1"/>
  <c r="G39" i="13" s="1"/>
  <c r="G38" i="13" a="1"/>
  <c r="G38" i="13" s="1"/>
  <c r="G37" i="13" a="1"/>
  <c r="G37" i="13" s="1"/>
  <c r="G36" i="13" a="1"/>
  <c r="G36" i="13" s="1"/>
  <c r="E218" i="124" a="1"/>
  <c r="E25" i="102"/>
  <c r="O42" i="125"/>
  <c r="E183" i="84" a="1"/>
  <c r="E7" i="116" a="1"/>
  <c r="E61" i="125" a="1"/>
  <c r="E56" i="83" a="1"/>
  <c r="E203" i="124" a="1"/>
  <c r="E35" i="84" a="1"/>
  <c r="E305" i="124" a="1"/>
  <c r="O79" i="125"/>
  <c r="L7" i="105" a="1"/>
  <c r="E7" i="112" a="1"/>
  <c r="E7" i="86" a="1"/>
  <c r="E538" i="124"/>
  <c r="E85" i="83" a="1"/>
  <c r="E121" i="92" a="1"/>
  <c r="E38" i="96" a="1"/>
  <c r="E7" i="98" a="1"/>
  <c r="E8" i="83" a="1"/>
  <c r="E72" i="84" a="1"/>
  <c r="E109" i="84" a="1"/>
  <c r="E31" i="92" a="1"/>
  <c r="E50" i="109" a="1"/>
  <c r="E37" i="88" a="1"/>
  <c r="E43" i="95" a="1"/>
  <c r="E139" i="83" a="1"/>
  <c r="E219" i="84" a="1"/>
  <c r="E57" i="92" a="1"/>
  <c r="E86" i="92" a="1"/>
  <c r="E7" i="125"/>
  <c r="E576" i="124" a="1"/>
  <c r="E31" i="83" a="1"/>
  <c r="E555" i="124"/>
  <c r="E32" i="89"/>
  <c r="E7" i="96" a="1"/>
  <c r="E252" i="83" a="1"/>
  <c r="E42" i="125"/>
  <c r="E166" i="124" a="1"/>
  <c r="E7" i="115" a="1"/>
  <c r="E83" i="99"/>
  <c r="E139" i="92" a="1"/>
  <c r="E55" i="85"/>
  <c r="E8" i="109" a="1"/>
  <c r="E7" i="97" a="1"/>
  <c r="E26" i="125" a="1"/>
  <c r="E256" i="84" a="1"/>
  <c r="E338" i="124" a="1"/>
  <c r="E153" i="84" a="1"/>
  <c r="E7" i="85" a="1"/>
  <c r="E609" i="124" a="1"/>
  <c r="O7" i="125"/>
  <c r="E400" i="124" a="1"/>
  <c r="E90" i="98" a="1"/>
  <c r="E186" i="83" a="1"/>
  <c r="E7" i="105" a="1"/>
  <c r="E79" i="125"/>
  <c r="E7" i="106" a="1"/>
  <c r="E27" i="115"/>
  <c r="E120" i="83" a="1"/>
  <c r="E101" i="124" a="1"/>
  <c r="E8" i="102"/>
  <c r="O26" i="125" a="1"/>
  <c r="E36" i="86" a="1"/>
  <c r="E7" i="99" a="1"/>
  <c r="E7" i="124" a="1"/>
  <c r="E7" i="89" a="1"/>
  <c r="E99" i="112" a="1"/>
  <c r="E7" i="88" a="1"/>
  <c r="E370" i="124" a="1"/>
  <c r="O61" i="125" a="1"/>
  <c r="E30" i="116" a="1"/>
  <c r="E7" i="84" a="1"/>
  <c r="E523" i="124"/>
  <c r="E212" i="83" a="1"/>
  <c r="L8" i="106" a="1"/>
  <c r="E118" i="98" a="1"/>
  <c r="E42" i="94" a="1"/>
  <c r="E49" i="99" a="1"/>
  <c r="O27" i="115"/>
  <c r="E433" i="124" a="1"/>
  <c r="N85" i="94" a="1"/>
  <c r="E7" i="87" a="1"/>
  <c r="E7" i="94" a="1"/>
  <c r="E273" i="124" a="1"/>
  <c r="E132" i="84" a="1"/>
  <c r="E37" i="90"/>
  <c r="E7" i="95" a="1"/>
  <c r="E7" i="90" a="1"/>
  <c r="E43" i="98" a="1"/>
  <c r="E8" i="92" a="1"/>
  <c r="E189" i="124" a="1"/>
  <c r="E91" i="87" a="1"/>
  <c r="I67" i="83" l="1"/>
  <c r="I69" i="92"/>
  <c r="H197" i="126"/>
  <c r="I177" i="126"/>
  <c r="H18" i="82" a="1"/>
  <c r="H18" i="82" s="1"/>
  <c r="H14" i="82" a="1"/>
  <c r="H14" i="82" s="1"/>
  <c r="T21" i="93" a="1"/>
  <c r="T21" i="93" s="1"/>
  <c r="S21" i="93" a="1"/>
  <c r="S21" i="93" s="1"/>
  <c r="W20" i="93" a="1"/>
  <c r="W20" i="93" s="1"/>
  <c r="P21" i="93" a="1"/>
  <c r="P21" i="93" s="1"/>
  <c r="L21" i="93" a="1"/>
  <c r="L21" i="93" s="1"/>
  <c r="P20" i="93" a="1"/>
  <c r="P20" i="93" s="1"/>
  <c r="Y21" i="93"/>
  <c r="J21" i="93" a="1"/>
  <c r="J21" i="93" s="1"/>
  <c r="W21" i="93" a="1"/>
  <c r="W21" i="93" s="1"/>
  <c r="F21" i="93"/>
  <c r="L20" i="93" a="1"/>
  <c r="L20" i="93" s="1"/>
  <c r="U21" i="93" a="1"/>
  <c r="U21" i="93" s="1"/>
  <c r="Z20" i="93"/>
  <c r="K20" i="93" a="1"/>
  <c r="K20" i="93" s="1"/>
  <c r="O19" i="93" a="1"/>
  <c r="O19" i="93" s="1"/>
  <c r="H21" i="93"/>
  <c r="Z19" i="93"/>
  <c r="J19" i="93" a="1"/>
  <c r="J19" i="93" s="1"/>
  <c r="N18" i="93" a="1"/>
  <c r="N18" i="93" s="1"/>
  <c r="R17" i="93" a="1"/>
  <c r="R17" i="93" s="1"/>
  <c r="F16" i="93"/>
  <c r="L15" i="93" a="1"/>
  <c r="L15" i="93" s="1"/>
  <c r="P14" i="93" a="1"/>
  <c r="P14" i="93" s="1"/>
  <c r="T13" i="93" a="1"/>
  <c r="T13" i="93" s="1"/>
  <c r="Y12" i="93"/>
  <c r="J12" i="93" a="1"/>
  <c r="J12" i="93" s="1"/>
  <c r="Y20" i="93"/>
  <c r="Y19" i="93"/>
  <c r="H19" i="93"/>
  <c r="M18" i="93" a="1"/>
  <c r="M18" i="93" s="1"/>
  <c r="Q17" i="93" a="1"/>
  <c r="Q17" i="93" s="1"/>
  <c r="U16" i="93" a="1"/>
  <c r="U16" i="93" s="1"/>
  <c r="Z15" i="93"/>
  <c r="K15" i="93" a="1"/>
  <c r="K15" i="93" s="1"/>
  <c r="O14" i="93" a="1"/>
  <c r="O14" i="93" s="1"/>
  <c r="S13" i="93" a="1"/>
  <c r="S13" i="93" s="1"/>
  <c r="W12" i="93" a="1"/>
  <c r="W12" i="93" s="1"/>
  <c r="H12" i="93"/>
  <c r="W19" i="93" a="1"/>
  <c r="W19" i="93" s="1"/>
  <c r="F19" i="93"/>
  <c r="L18" i="93" a="1"/>
  <c r="L18" i="93" s="1"/>
  <c r="P17" i="93" a="1"/>
  <c r="P17" i="93" s="1"/>
  <c r="T16" i="93" a="1"/>
  <c r="T16" i="93" s="1"/>
  <c r="Y15" i="93"/>
  <c r="J15" i="93" a="1"/>
  <c r="J15" i="93" s="1"/>
  <c r="N14" i="93" a="1"/>
  <c r="N14" i="93" s="1"/>
  <c r="R13" i="93" a="1"/>
  <c r="R13" i="93" s="1"/>
  <c r="F12" i="93"/>
  <c r="U20" i="93" a="1"/>
  <c r="U20" i="93" s="1"/>
  <c r="Z18" i="93"/>
  <c r="K18" i="93" a="1"/>
  <c r="K18" i="93" s="1"/>
  <c r="O17" i="93" a="1"/>
  <c r="O17" i="93" s="1"/>
  <c r="S16" i="93" a="1"/>
  <c r="S16" i="93" s="1"/>
  <c r="W15" i="93" a="1"/>
  <c r="W15" i="93" s="1"/>
  <c r="H15" i="93"/>
  <c r="M14" i="93" a="1"/>
  <c r="M14" i="93" s="1"/>
  <c r="Q13" i="93" a="1"/>
  <c r="Q13" i="93" s="1"/>
  <c r="U12" i="93" a="1"/>
  <c r="U12" i="93" s="1"/>
  <c r="T20" i="93" a="1"/>
  <c r="T20" i="93" s="1"/>
  <c r="U19" i="93" a="1"/>
  <c r="U19" i="93" s="1"/>
  <c r="Y18" i="93"/>
  <c r="J18" i="93" a="1"/>
  <c r="J18" i="93" s="1"/>
  <c r="N17" i="93" a="1"/>
  <c r="N17" i="93" s="1"/>
  <c r="R16" i="93" a="1"/>
  <c r="R16" i="93" s="1"/>
  <c r="F15" i="93"/>
  <c r="L14" i="93" a="1"/>
  <c r="L14" i="93" s="1"/>
  <c r="P13" i="93" a="1"/>
  <c r="P13" i="93" s="1"/>
  <c r="T12" i="93" a="1"/>
  <c r="T12" i="93" s="1"/>
  <c r="S20" i="93" a="1"/>
  <c r="S20" i="93" s="1"/>
  <c r="T19" i="93" a="1"/>
  <c r="T19" i="93" s="1"/>
  <c r="W18" i="93" a="1"/>
  <c r="W18" i="93" s="1"/>
  <c r="H18" i="93"/>
  <c r="M17" i="93" a="1"/>
  <c r="M17" i="93" s="1"/>
  <c r="Q16" i="93" a="1"/>
  <c r="Q16" i="93" s="1"/>
  <c r="U15" i="93" a="1"/>
  <c r="U15" i="93" s="1"/>
  <c r="Z14" i="93"/>
  <c r="K14" i="93" a="1"/>
  <c r="K14" i="93" s="1"/>
  <c r="O13" i="93" a="1"/>
  <c r="O13" i="93" s="1"/>
  <c r="S12" i="93" a="1"/>
  <c r="S12" i="93" s="1"/>
  <c r="R20" i="93" a="1"/>
  <c r="R20" i="93" s="1"/>
  <c r="S19" i="93" a="1"/>
  <c r="S19" i="93" s="1"/>
  <c r="F18" i="93"/>
  <c r="L17" i="93" a="1"/>
  <c r="L17" i="93" s="1"/>
  <c r="P16" i="93" a="1"/>
  <c r="P16" i="93" s="1"/>
  <c r="T15" i="93" a="1"/>
  <c r="T15" i="93" s="1"/>
  <c r="Y14" i="93"/>
  <c r="J14" i="93" a="1"/>
  <c r="J14" i="93" s="1"/>
  <c r="N13" i="93" a="1"/>
  <c r="N13" i="93" s="1"/>
  <c r="R12" i="93" a="1"/>
  <c r="R12" i="93" s="1"/>
  <c r="AG236" i="124" s="1" a="1"/>
  <c r="Z21" i="93"/>
  <c r="Q20" i="93" a="1"/>
  <c r="Q20" i="93" s="1"/>
  <c r="R19" i="93" a="1"/>
  <c r="R19" i="93" s="1"/>
  <c r="U18" i="93" a="1"/>
  <c r="U18" i="93" s="1"/>
  <c r="Z17" i="93"/>
  <c r="K17" i="93" a="1"/>
  <c r="K17" i="93" s="1"/>
  <c r="O16" i="93" a="1"/>
  <c r="O16" i="93" s="1"/>
  <c r="S15" i="93" a="1"/>
  <c r="S15" i="93" s="1"/>
  <c r="W14" i="93" a="1"/>
  <c r="W14" i="93" s="1"/>
  <c r="H14" i="93"/>
  <c r="M13" i="93" a="1"/>
  <c r="M13" i="93" s="1"/>
  <c r="Q12" i="93" a="1"/>
  <c r="Q12" i="93" s="1"/>
  <c r="R21" i="93" a="1"/>
  <c r="R21" i="93" s="1"/>
  <c r="O20" i="93" a="1"/>
  <c r="O20" i="93" s="1"/>
  <c r="Q19" i="93" a="1"/>
  <c r="Q19" i="93" s="1"/>
  <c r="T18" i="93" a="1"/>
  <c r="T18" i="93" s="1"/>
  <c r="Y17" i="93"/>
  <c r="J17" i="93" a="1"/>
  <c r="J17" i="93" s="1"/>
  <c r="N16" i="93" a="1"/>
  <c r="N16" i="93" s="1"/>
  <c r="R15" i="93" a="1"/>
  <c r="R15" i="93" s="1"/>
  <c r="F14" i="93"/>
  <c r="L13" i="93" a="1"/>
  <c r="L13" i="93" s="1"/>
  <c r="P12" i="93" a="1"/>
  <c r="P12" i="93" s="1"/>
  <c r="Q21" i="93" a="1"/>
  <c r="Q21" i="93" s="1"/>
  <c r="N20" i="93" a="1"/>
  <c r="N20" i="93" s="1"/>
  <c r="P19" i="93" a="1"/>
  <c r="P19" i="93" s="1"/>
  <c r="S18" i="93" a="1"/>
  <c r="S18" i="93" s="1"/>
  <c r="W17" i="93" a="1"/>
  <c r="W17" i="93" s="1"/>
  <c r="H17" i="93"/>
  <c r="M16" i="93" a="1"/>
  <c r="M16" i="93" s="1"/>
  <c r="Q15" i="93" a="1"/>
  <c r="Q15" i="93" s="1"/>
  <c r="U14" i="93" a="1"/>
  <c r="U14" i="93" s="1"/>
  <c r="Z13" i="93"/>
  <c r="K13" i="93" a="1"/>
  <c r="K13" i="93" s="1"/>
  <c r="O12" i="93" a="1"/>
  <c r="O12" i="93" s="1"/>
  <c r="O21" i="93" a="1"/>
  <c r="O21" i="93" s="1"/>
  <c r="M20" i="93" a="1"/>
  <c r="M20" i="93" s="1"/>
  <c r="N19" i="93" a="1"/>
  <c r="N19" i="93" s="1"/>
  <c r="R18" i="93" a="1"/>
  <c r="R18" i="93" s="1"/>
  <c r="F17" i="93"/>
  <c r="L16" i="93" a="1"/>
  <c r="L16" i="93" s="1"/>
  <c r="P15" i="93" a="1"/>
  <c r="P15" i="93" s="1"/>
  <c r="T14" i="93" a="1"/>
  <c r="T14" i="93" s="1"/>
  <c r="Y13" i="93"/>
  <c r="J13" i="93" a="1"/>
  <c r="J13" i="93" s="1"/>
  <c r="N12" i="93" a="1"/>
  <c r="N12" i="93" s="1"/>
  <c r="N21" i="93" a="1"/>
  <c r="N21" i="93" s="1"/>
  <c r="J20" i="93" a="1"/>
  <c r="J20" i="93" s="1"/>
  <c r="M19" i="93" a="1"/>
  <c r="M19" i="93" s="1"/>
  <c r="Q18" i="93" a="1"/>
  <c r="Q18" i="93" s="1"/>
  <c r="U17" i="93" a="1"/>
  <c r="U17" i="93" s="1"/>
  <c r="Z16" i="93"/>
  <c r="K16" i="93" a="1"/>
  <c r="K16" i="93" s="1"/>
  <c r="O15" i="93" a="1"/>
  <c r="O15" i="93" s="1"/>
  <c r="S14" i="93" a="1"/>
  <c r="S14" i="93" s="1"/>
  <c r="W13" i="93" a="1"/>
  <c r="W13" i="93" s="1"/>
  <c r="H13" i="93"/>
  <c r="M12" i="93" a="1"/>
  <c r="M12" i="93" s="1"/>
  <c r="M21" i="93" a="1"/>
  <c r="M21" i="93" s="1"/>
  <c r="H20" i="93"/>
  <c r="L19" i="93" a="1"/>
  <c r="L19" i="93" s="1"/>
  <c r="P18" i="93" a="1"/>
  <c r="P18" i="93" s="1"/>
  <c r="T17" i="93" a="1"/>
  <c r="T17" i="93" s="1"/>
  <c r="Y16" i="93"/>
  <c r="J16" i="93" a="1"/>
  <c r="J16" i="93" s="1"/>
  <c r="N15" i="93" a="1"/>
  <c r="N15" i="93" s="1"/>
  <c r="R14" i="93" a="1"/>
  <c r="R14" i="93" s="1"/>
  <c r="F13" i="93"/>
  <c r="L12" i="93" a="1"/>
  <c r="L12" i="93" s="1"/>
  <c r="U236" i="124" s="1" a="1"/>
  <c r="K21" i="93" a="1"/>
  <c r="K21" i="93" s="1"/>
  <c r="F20" i="93"/>
  <c r="K19" i="93" a="1"/>
  <c r="K19" i="93" s="1"/>
  <c r="O18" i="93" a="1"/>
  <c r="O18" i="93" s="1"/>
  <c r="S17" i="93" a="1"/>
  <c r="S17" i="93" s="1"/>
  <c r="W16" i="93" a="1"/>
  <c r="W16" i="93" s="1"/>
  <c r="H16" i="93"/>
  <c r="M15" i="93" a="1"/>
  <c r="M15" i="93" s="1"/>
  <c r="Q14" i="93" a="1"/>
  <c r="Q14" i="93" s="1"/>
  <c r="U13" i="93" a="1"/>
  <c r="U13" i="93" s="1"/>
  <c r="Z12" i="93"/>
  <c r="K12" i="93" a="1"/>
  <c r="K12" i="93" s="1"/>
  <c r="R40" i="92"/>
  <c r="D19" i="95" a="1"/>
  <c r="P33" i="93"/>
  <c r="P32" i="93"/>
  <c r="D60" i="94" a="1"/>
  <c r="D60" i="94" s="1"/>
  <c r="P29" i="93"/>
  <c r="D23" i="99" a="1"/>
  <c r="D23" i="99" s="1"/>
  <c r="D59" i="98" a="1"/>
  <c r="D59" i="98" s="1"/>
  <c r="P25" i="93"/>
  <c r="D19" i="94" a="1"/>
  <c r="P34" i="93"/>
  <c r="P31" i="93"/>
  <c r="P30" i="93"/>
  <c r="G183" i="126"/>
  <c r="P28" i="93"/>
  <c r="D19" i="98" a="1"/>
  <c r="P27" i="93"/>
  <c r="P26" i="93"/>
  <c r="D58" i="95" a="1"/>
  <c r="D58" i="95" s="1"/>
  <c r="G176" i="126"/>
  <c r="G175" i="126"/>
  <c r="G177" i="126"/>
  <c r="G174" i="126"/>
  <c r="AE252" i="124" s="1" a="1"/>
  <c r="AE252" i="124" s="1"/>
  <c r="I18" i="82" a="1"/>
  <c r="I18" i="82" s="1"/>
  <c r="I14" i="82" a="1"/>
  <c r="I14" i="82" s="1"/>
  <c r="E28" i="82" a="1"/>
  <c r="E28" i="82" s="1"/>
  <c r="I25" i="82" a="1"/>
  <c r="I25" i="82" s="1"/>
  <c r="H25" i="82" a="1"/>
  <c r="H25" i="82" s="1"/>
  <c r="G25" i="82" a="1"/>
  <c r="G25" i="82" s="1"/>
  <c r="F25" i="82" a="1"/>
  <c r="F25" i="82" s="1"/>
  <c r="E25" i="82" a="1"/>
  <c r="E25" i="82" s="1"/>
  <c r="I24" i="82" a="1"/>
  <c r="I24" i="82" s="1"/>
  <c r="H24" i="82" a="1"/>
  <c r="H24" i="82" s="1"/>
  <c r="G24" i="82" a="1"/>
  <c r="G24" i="82" s="1"/>
  <c r="F24" i="82" a="1"/>
  <c r="F24" i="82" s="1"/>
  <c r="I28" i="82" a="1"/>
  <c r="I28" i="82" s="1"/>
  <c r="E24" i="82" a="1"/>
  <c r="E24" i="82" s="1"/>
  <c r="H28" i="82" a="1"/>
  <c r="H28" i="82" s="1"/>
  <c r="G28" i="82" a="1"/>
  <c r="G28" i="82" s="1"/>
  <c r="F28" i="82" a="1"/>
  <c r="F28" i="82" s="1"/>
  <c r="I97" i="98"/>
  <c r="I33" i="125"/>
  <c r="E112" i="98"/>
  <c r="E75" i="99"/>
  <c r="E22" i="87" a="1"/>
  <c r="E22" i="87" s="1"/>
  <c r="E269" i="84" a="1"/>
  <c r="E269" i="84" s="1"/>
  <c r="E105" i="98"/>
  <c r="E68" i="99"/>
  <c r="I175" i="126"/>
  <c r="H195" i="126"/>
  <c r="E19" i="82" a="1"/>
  <c r="E19" i="82" s="1"/>
  <c r="E15" i="82" a="1"/>
  <c r="E15" i="82" s="1"/>
  <c r="E31" i="85" a="1"/>
  <c r="E31" i="85" s="1"/>
  <c r="E31" i="87" a="1"/>
  <c r="E31" i="87" s="1"/>
  <c r="E69" i="99"/>
  <c r="E106" i="98"/>
  <c r="G197" i="126"/>
  <c r="G195" i="126"/>
  <c r="G194" i="126"/>
  <c r="G196" i="126"/>
  <c r="I15" i="99"/>
  <c r="I69" i="125"/>
  <c r="M34" i="105" a="1"/>
  <c r="M34" i="105" s="1"/>
  <c r="L34" i="105" a="1"/>
  <c r="L34" i="105" s="1"/>
  <c r="G15" i="82" a="1"/>
  <c r="G15" i="82" s="1"/>
  <c r="G19" i="82" a="1"/>
  <c r="G19" i="82" s="1"/>
  <c r="E71" i="99"/>
  <c r="E108" i="98"/>
  <c r="I174" i="126"/>
  <c r="H194" i="126"/>
  <c r="M28" i="105" a="1"/>
  <c r="M28" i="105" s="1"/>
  <c r="X120" i="124" a="1"/>
  <c r="X120" i="124" s="1"/>
  <c r="H69" i="82"/>
  <c r="F19" i="82" a="1"/>
  <c r="F19" i="82" s="1"/>
  <c r="F15" i="82" a="1"/>
  <c r="F15" i="82" s="1"/>
  <c r="D31" i="85" a="1"/>
  <c r="D31" i="85" s="1"/>
  <c r="D31" i="87" a="1"/>
  <c r="D31" i="87" s="1"/>
  <c r="D269" i="84" a="1"/>
  <c r="D269" i="84" s="1"/>
  <c r="D22" i="87" a="1"/>
  <c r="D22" i="87" s="1"/>
  <c r="E107" i="98"/>
  <c r="E70" i="99"/>
  <c r="H15" i="82" a="1"/>
  <c r="H15" i="82" s="1"/>
  <c r="H19" i="82" a="1"/>
  <c r="H19" i="82" s="1"/>
  <c r="D110" i="92"/>
  <c r="D55" i="84"/>
  <c r="D109" i="83"/>
  <c r="E109" i="98"/>
  <c r="E72" i="99"/>
  <c r="I176" i="126"/>
  <c r="H196" i="126"/>
  <c r="I15" i="82" a="1"/>
  <c r="I15" i="82" s="1"/>
  <c r="I19" i="82" a="1"/>
  <c r="I19" i="82" s="1"/>
  <c r="M37" i="105" a="1"/>
  <c r="M37" i="105" s="1"/>
  <c r="L37" i="105" a="1"/>
  <c r="L37" i="105" s="1"/>
  <c r="M36" i="106" a="1"/>
  <c r="M36" i="106" s="1"/>
  <c r="L36" i="106" a="1"/>
  <c r="L36" i="106" s="1"/>
  <c r="G14" i="82"/>
  <c r="F14" i="82"/>
  <c r="E14" i="82"/>
  <c r="G18" i="82"/>
  <c r="F18" i="82"/>
  <c r="E18" i="82"/>
  <c r="H9" i="118" a="1"/>
  <c r="H9" i="118" s="1"/>
  <c r="H8" i="118" a="1"/>
  <c r="H8" i="118" s="1"/>
  <c r="H7" i="118" a="1"/>
  <c r="H7" i="118" s="1"/>
  <c r="F42" i="124" s="1" a="1"/>
  <c r="F42" i="124" s="1"/>
  <c r="E110" i="92"/>
  <c r="E109" i="83"/>
  <c r="G55" i="84"/>
  <c r="F55" i="84"/>
  <c r="H110" i="92"/>
  <c r="E55" i="84"/>
  <c r="G110" i="92"/>
  <c r="F110" i="92"/>
  <c r="H55" i="84"/>
  <c r="H109" i="83"/>
  <c r="G109" i="83"/>
  <c r="F109" i="83"/>
  <c r="E74" i="99"/>
  <c r="E111" i="98"/>
  <c r="J91" i="99"/>
  <c r="J87" i="125"/>
  <c r="K38" i="105" a="1"/>
  <c r="K38" i="105" s="1"/>
  <c r="M33" i="106" a="1"/>
  <c r="M33" i="106" s="1"/>
  <c r="M30" i="106" a="1"/>
  <c r="M30" i="106" s="1"/>
  <c r="E20" i="114"/>
  <c r="T14" i="115"/>
  <c r="M31" i="106" a="1"/>
  <c r="M31" i="106" s="1"/>
  <c r="O248" i="84"/>
  <c r="E296" i="83"/>
  <c r="E156" i="83"/>
  <c r="M34" i="106" a="1"/>
  <c r="M34" i="106" s="1"/>
  <c r="L34" i="106" a="1"/>
  <c r="L34" i="106" s="1"/>
  <c r="M31" i="105" a="1"/>
  <c r="M31" i="105" s="1"/>
  <c r="J39" i="106"/>
  <c r="I39" i="106"/>
  <c r="H39" i="106"/>
  <c r="G39" i="106"/>
  <c r="M25" i="106" a="1"/>
  <c r="M25" i="106" s="1"/>
  <c r="L25" i="106" a="1"/>
  <c r="L25" i="106" s="1"/>
  <c r="M28" i="106" a="1"/>
  <c r="M28" i="106" s="1"/>
  <c r="F33" i="87"/>
  <c r="F32" i="87"/>
  <c r="F35" i="87"/>
  <c r="F34" i="87"/>
  <c r="E110" i="98"/>
  <c r="E73" i="99"/>
  <c r="H26" i="106"/>
  <c r="G26" i="106"/>
  <c r="E38" i="106"/>
  <c r="E31" i="106"/>
  <c r="F484" i="124" a="1"/>
  <c r="F484" i="124" s="1"/>
  <c r="E65" i="82"/>
  <c r="I69" i="82"/>
  <c r="D230" i="83"/>
  <c r="I28" i="105" a="1"/>
  <c r="I28" i="105" s="1"/>
  <c r="I26" i="106"/>
  <c r="H34" i="106"/>
  <c r="M38" i="106" a="1"/>
  <c r="M38" i="106" s="1"/>
  <c r="J29" i="109" a="1"/>
  <c r="J29" i="109" s="1"/>
  <c r="AB123" i="124" a="1"/>
  <c r="AB123" i="124" s="1"/>
  <c r="E26" i="105"/>
  <c r="E38" i="105"/>
  <c r="J18" i="115" a="1"/>
  <c r="J18" i="115" s="1"/>
  <c r="L18" i="120"/>
  <c r="I32" i="124" a="1"/>
  <c r="I32" i="124" s="1"/>
  <c r="J32" i="124" s="1" a="1"/>
  <c r="J32" i="124" s="1"/>
  <c r="I31" i="124" a="1"/>
  <c r="I31" i="124" s="1"/>
  <c r="I30" i="124" a="1"/>
  <c r="I30" i="124" s="1"/>
  <c r="J30" i="124" s="1" a="1"/>
  <c r="J30" i="124" s="1"/>
  <c r="I28" i="124" a="1"/>
  <c r="I28" i="124" s="1"/>
  <c r="E58" i="124" a="1"/>
  <c r="E58" i="124" s="1"/>
  <c r="G63" i="124" s="1" a="1"/>
  <c r="G63" i="124" s="1"/>
  <c r="I24" i="124" a="1"/>
  <c r="I24" i="124" s="1"/>
  <c r="I23" i="124" a="1"/>
  <c r="I23" i="124" s="1"/>
  <c r="E39" i="124" a="1"/>
  <c r="E39" i="124" s="1"/>
  <c r="O232" i="83"/>
  <c r="D232" i="83"/>
  <c r="F65" i="82"/>
  <c r="E70" i="82"/>
  <c r="I29" i="105" a="1"/>
  <c r="I29" i="105" s="1"/>
  <c r="E33" i="105"/>
  <c r="J26" i="106"/>
  <c r="J34" i="106"/>
  <c r="T124" i="124" a="1"/>
  <c r="T124" i="124" s="1"/>
  <c r="AA252" i="124" a="1"/>
  <c r="AA252" i="124" s="1"/>
  <c r="I32" i="106"/>
  <c r="H32" i="106"/>
  <c r="G32" i="106"/>
  <c r="M25" i="105" a="1"/>
  <c r="M25" i="105" s="1"/>
  <c r="L25" i="105" a="1"/>
  <c r="L25" i="105" s="1"/>
  <c r="G65" i="82"/>
  <c r="F70" i="82"/>
  <c r="O230" i="83"/>
  <c r="P23" i="90"/>
  <c r="E25" i="105"/>
  <c r="H25" i="105" s="1" a="1"/>
  <c r="H25" i="105" s="1"/>
  <c r="J29" i="105" a="1"/>
  <c r="J29" i="105" s="1"/>
  <c r="K26" i="106"/>
  <c r="I25" i="124" a="1"/>
  <c r="I25" i="124" s="1"/>
  <c r="M25" i="124" s="1" a="1"/>
  <c r="M25" i="124" s="1"/>
  <c r="X126" i="124" a="1"/>
  <c r="X126" i="124" s="1"/>
  <c r="M33" i="105" a="1"/>
  <c r="M33" i="105" s="1"/>
  <c r="L33" i="105" a="1"/>
  <c r="L33" i="105" s="1"/>
  <c r="L242" i="126"/>
  <c r="N241" i="126" s="1"/>
  <c r="F153" i="124" a="1"/>
  <c r="F153" i="124" s="1"/>
  <c r="F152" i="124" a="1"/>
  <c r="F152" i="124" s="1"/>
  <c r="F151" i="124" a="1"/>
  <c r="F151" i="124" s="1"/>
  <c r="F150" i="124" a="1"/>
  <c r="F150" i="124" s="1"/>
  <c r="F149" i="124" a="1"/>
  <c r="F149" i="124" s="1"/>
  <c r="G149" i="124" s="1" a="1"/>
  <c r="G149" i="124" s="1"/>
  <c r="F148" i="124" a="1"/>
  <c r="F148" i="124" s="1"/>
  <c r="H65" i="82"/>
  <c r="G70" i="82"/>
  <c r="E28" i="90"/>
  <c r="K29" i="105" a="1"/>
  <c r="K29" i="105" s="1"/>
  <c r="I38" i="105" a="1"/>
  <c r="I38" i="105" s="1"/>
  <c r="I26" i="124" a="1"/>
  <c r="I26" i="124" s="1"/>
  <c r="AB126" i="124" a="1"/>
  <c r="AB126" i="124" s="1"/>
  <c r="G449" i="124" a="1"/>
  <c r="G449" i="124" s="1"/>
  <c r="H449" i="124" s="1" a="1"/>
  <c r="H449" i="124" s="1"/>
  <c r="I34" i="106"/>
  <c r="E36" i="106"/>
  <c r="E29" i="106"/>
  <c r="R19" i="120"/>
  <c r="I545" i="124" a="1"/>
  <c r="I545" i="124" s="1"/>
  <c r="E63" i="82"/>
  <c r="I65" i="82"/>
  <c r="H70" i="82"/>
  <c r="I20" i="104"/>
  <c r="O231" i="83"/>
  <c r="P28" i="90"/>
  <c r="J38" i="105" a="1"/>
  <c r="J38" i="105" s="1"/>
  <c r="E27" i="106"/>
  <c r="D21" i="112" a="1"/>
  <c r="J163" i="112" a="1"/>
  <c r="J163" i="112" s="1"/>
  <c r="I27" i="124" a="1"/>
  <c r="I27" i="124" s="1"/>
  <c r="P127" i="124" a="1"/>
  <c r="P127" i="124" s="1"/>
  <c r="H40" i="106"/>
  <c r="G40" i="106"/>
  <c r="F496" i="124" a="1"/>
  <c r="F496" i="124" s="1"/>
  <c r="F63" i="82"/>
  <c r="G25" i="88" s="1"/>
  <c r="E68" i="82"/>
  <c r="I70" i="82"/>
  <c r="H26" i="105" a="1"/>
  <c r="H26" i="105" s="1"/>
  <c r="H34" i="105" a="1"/>
  <c r="H34" i="105" s="1"/>
  <c r="E28" i="106"/>
  <c r="J40" i="106"/>
  <c r="E21" i="112" a="1"/>
  <c r="I29" i="124" a="1"/>
  <c r="I29" i="124" s="1"/>
  <c r="X127" i="124" a="1"/>
  <c r="X127" i="124" s="1"/>
  <c r="G39" i="105" a="1"/>
  <c r="G39" i="105" s="1"/>
  <c r="G36" i="105" a="1"/>
  <c r="G36" i="105" s="1"/>
  <c r="K34" i="105" a="1"/>
  <c r="K34" i="105" s="1"/>
  <c r="G33" i="105" a="1"/>
  <c r="G33" i="105" s="1"/>
  <c r="G30" i="105" a="1"/>
  <c r="G30" i="105" s="1"/>
  <c r="K28" i="105" a="1"/>
  <c r="K28" i="105" s="1"/>
  <c r="J25" i="105" a="1"/>
  <c r="J25" i="105" s="1"/>
  <c r="J34" i="105" a="1"/>
  <c r="J34" i="105" s="1"/>
  <c r="K31" i="105" a="1"/>
  <c r="K31" i="105" s="1"/>
  <c r="J28" i="105" a="1"/>
  <c r="J28" i="105" s="1"/>
  <c r="I25" i="105" a="1"/>
  <c r="I25" i="105" s="1"/>
  <c r="G34" i="105" a="1"/>
  <c r="G34" i="105" s="1"/>
  <c r="H31" i="105" a="1"/>
  <c r="H31" i="105" s="1"/>
  <c r="G28" i="105" a="1"/>
  <c r="G28" i="105" s="1"/>
  <c r="K26" i="105" a="1"/>
  <c r="K26" i="105" s="1"/>
  <c r="H38" i="105" a="1"/>
  <c r="H38" i="105" s="1"/>
  <c r="H35" i="105" a="1"/>
  <c r="H35" i="105" s="1"/>
  <c r="I32" i="105" a="1"/>
  <c r="I32" i="105" s="1"/>
  <c r="H29" i="105" a="1"/>
  <c r="H29" i="105" s="1"/>
  <c r="G26" i="105" a="1"/>
  <c r="G26" i="105" s="1"/>
  <c r="G38" i="105" a="1"/>
  <c r="G38" i="105" s="1"/>
  <c r="G35" i="105" a="1"/>
  <c r="G35" i="105" s="1"/>
  <c r="H32" i="105" a="1"/>
  <c r="H32" i="105" s="1"/>
  <c r="G29" i="105" a="1"/>
  <c r="G29" i="105" s="1"/>
  <c r="K27" i="105" a="1"/>
  <c r="K27" i="105" s="1"/>
  <c r="K39" i="105" a="1"/>
  <c r="K39" i="105" s="1"/>
  <c r="K36" i="105" a="1"/>
  <c r="K36" i="105" s="1"/>
  <c r="K33" i="105" a="1"/>
  <c r="K33" i="105" s="1"/>
  <c r="G32" i="105" a="1"/>
  <c r="G32" i="105" s="1"/>
  <c r="K30" i="105" a="1"/>
  <c r="K30" i="105" s="1"/>
  <c r="J27" i="105" a="1"/>
  <c r="J27" i="105" s="1"/>
  <c r="J39" i="105" a="1"/>
  <c r="J39" i="105" s="1"/>
  <c r="J36" i="105" a="1"/>
  <c r="J36" i="105" s="1"/>
  <c r="J33" i="105" a="1"/>
  <c r="J33" i="105" s="1"/>
  <c r="J30" i="105" a="1"/>
  <c r="J30" i="105" s="1"/>
  <c r="I27" i="105" a="1"/>
  <c r="I27" i="105" s="1"/>
  <c r="I39" i="105" a="1"/>
  <c r="I39" i="105" s="1"/>
  <c r="I36" i="105" a="1"/>
  <c r="I36" i="105" s="1"/>
  <c r="I33" i="105" a="1"/>
  <c r="I33" i="105" s="1"/>
  <c r="I30" i="105" a="1"/>
  <c r="I30" i="105" s="1"/>
  <c r="H27" i="105" a="1"/>
  <c r="H27" i="105" s="1"/>
  <c r="H39" i="105" a="1"/>
  <c r="H39" i="105" s="1"/>
  <c r="H36" i="105" a="1"/>
  <c r="H36" i="105" s="1"/>
  <c r="H33" i="105" a="1"/>
  <c r="H33" i="105" s="1"/>
  <c r="H30" i="105" a="1"/>
  <c r="H30" i="105" s="1"/>
  <c r="G27" i="105" a="1"/>
  <c r="G27" i="105" s="1"/>
  <c r="K25" i="105" a="1"/>
  <c r="K25" i="105" s="1"/>
  <c r="R12" i="120"/>
  <c r="G63" i="82"/>
  <c r="H25" i="88" s="1"/>
  <c r="F68" i="82"/>
  <c r="R25" i="88" s="1"/>
  <c r="D79" i="82"/>
  <c r="I26" i="105" a="1"/>
  <c r="I26" i="105" s="1"/>
  <c r="I34" i="105" a="1"/>
  <c r="I34" i="105" s="1"/>
  <c r="I15" i="102" a="1"/>
  <c r="I15" i="102" s="1"/>
  <c r="H63" i="82"/>
  <c r="I25" i="88" s="1"/>
  <c r="G68" i="82"/>
  <c r="S25" i="88" s="1"/>
  <c r="D84" i="82"/>
  <c r="J26" i="105" a="1"/>
  <c r="J26" i="105" s="1"/>
  <c r="I35" i="105" a="1"/>
  <c r="I35" i="105" s="1"/>
  <c r="J32" i="106"/>
  <c r="J165" i="112" a="1"/>
  <c r="J165" i="112" s="1"/>
  <c r="M30" i="105" a="1"/>
  <c r="M30" i="105" s="1"/>
  <c r="L13" i="120"/>
  <c r="D12" i="121"/>
  <c r="D137" i="124" s="1"/>
  <c r="F137" i="124" s="1" a="1"/>
  <c r="F137" i="124" s="1"/>
  <c r="D140" i="124"/>
  <c r="F140" i="124" s="1" a="1"/>
  <c r="F140" i="124" s="1"/>
  <c r="F483" i="124" a="1"/>
  <c r="F483" i="124" s="1"/>
  <c r="D285" i="124" a="1"/>
  <c r="I63" i="82"/>
  <c r="J25" i="88" s="1"/>
  <c r="H68" i="82"/>
  <c r="T25" i="88" s="1"/>
  <c r="D89" i="82"/>
  <c r="F31" i="87"/>
  <c r="G31" i="105" a="1"/>
  <c r="G31" i="105" s="1"/>
  <c r="J35" i="105" a="1"/>
  <c r="J35" i="105" s="1"/>
  <c r="K32" i="106"/>
  <c r="G37" i="106"/>
  <c r="E22" i="109"/>
  <c r="J22" i="109" s="1" a="1"/>
  <c r="J22" i="109" s="1"/>
  <c r="J30" i="109" a="1"/>
  <c r="J30" i="109" s="1"/>
  <c r="J26" i="109" a="1"/>
  <c r="J26" i="109" s="1"/>
  <c r="J25" i="109" a="1"/>
  <c r="J25" i="109" s="1"/>
  <c r="J24" i="109" a="1"/>
  <c r="J24" i="109" s="1"/>
  <c r="J23" i="109" a="1"/>
  <c r="J23" i="109" s="1"/>
  <c r="D138" i="124"/>
  <c r="F138" i="124" s="1" a="1"/>
  <c r="F138" i="124" s="1"/>
  <c r="G468" i="124" a="1"/>
  <c r="G468" i="124" s="1"/>
  <c r="H468" i="124" s="1" a="1"/>
  <c r="H468" i="124" s="1"/>
  <c r="L38" i="105" a="1"/>
  <c r="L38" i="105" s="1"/>
  <c r="J166" i="112" a="1"/>
  <c r="J166" i="112" s="1"/>
  <c r="J133" i="112" a="1"/>
  <c r="J133" i="112" s="1"/>
  <c r="D116" i="112" a="1"/>
  <c r="D116" i="112" s="1"/>
  <c r="J116" i="112" s="1" a="1"/>
  <c r="J116" i="112" s="1"/>
  <c r="J136" i="112" a="1"/>
  <c r="J136" i="112" s="1"/>
  <c r="J127" i="112" a="1"/>
  <c r="J127" i="112" s="1"/>
  <c r="J178" i="112" a="1"/>
  <c r="J178" i="112" s="1"/>
  <c r="J126" i="112" a="1"/>
  <c r="J126" i="112" s="1"/>
  <c r="J119" i="112" a="1"/>
  <c r="J119" i="112" s="1"/>
  <c r="J125" i="112" a="1"/>
  <c r="J125" i="112" s="1"/>
  <c r="J118" i="112" a="1"/>
  <c r="J118" i="112" s="1"/>
  <c r="D59" i="112" a="1"/>
  <c r="J144" i="112" a="1"/>
  <c r="J144" i="112" s="1"/>
  <c r="J124" i="112" a="1"/>
  <c r="J124" i="112" s="1"/>
  <c r="J117" i="112" a="1"/>
  <c r="J117" i="112" s="1"/>
  <c r="G454" i="124" a="1"/>
  <c r="G454" i="124" s="1"/>
  <c r="G453" i="124" a="1"/>
  <c r="G453" i="124" s="1"/>
  <c r="G452" i="124" a="1"/>
  <c r="G452" i="124" s="1"/>
  <c r="G451" i="124" a="1"/>
  <c r="G451" i="124" s="1"/>
  <c r="G448" i="124" a="1"/>
  <c r="G448" i="124" s="1"/>
  <c r="G447" i="124" a="1"/>
  <c r="G447" i="124" s="1"/>
  <c r="G446" i="124" a="1"/>
  <c r="G446" i="124" s="1"/>
  <c r="G445" i="124" a="1"/>
  <c r="G445" i="124" s="1"/>
  <c r="H445" i="124" s="1" a="1"/>
  <c r="H445" i="124" s="1"/>
  <c r="O90" i="126"/>
  <c r="Q89" i="126" s="1"/>
  <c r="T128" i="124" a="1"/>
  <c r="T128" i="124" s="1"/>
  <c r="P125" i="124" a="1"/>
  <c r="P125" i="124" s="1"/>
  <c r="F125" i="124" s="1"/>
  <c r="X121" i="124" a="1"/>
  <c r="X121" i="124" s="1"/>
  <c r="P128" i="124" a="1"/>
  <c r="P128" i="124" s="1"/>
  <c r="AB124" i="124" a="1"/>
  <c r="AB124" i="124" s="1"/>
  <c r="T121" i="124" a="1"/>
  <c r="T121" i="124" s="1"/>
  <c r="P120" i="124" a="1"/>
  <c r="P120" i="124" s="1"/>
  <c r="AB127" i="124" a="1"/>
  <c r="AB127" i="124" s="1"/>
  <c r="X124" i="124" a="1"/>
  <c r="X124" i="124" s="1"/>
  <c r="P121" i="124" a="1"/>
  <c r="P121" i="124" s="1"/>
  <c r="F121" i="124" s="1"/>
  <c r="G121" i="124" s="1" a="1"/>
  <c r="G121" i="124" s="1"/>
  <c r="T127" i="124" a="1"/>
  <c r="T127" i="124" s="1"/>
  <c r="P124" i="124" a="1"/>
  <c r="P124" i="124" s="1"/>
  <c r="AB129" i="124" a="1"/>
  <c r="AB129" i="124" s="1"/>
  <c r="T126" i="124" a="1"/>
  <c r="T126" i="124" s="1"/>
  <c r="P123" i="124" a="1"/>
  <c r="P123" i="124" s="1"/>
  <c r="X129" i="124" a="1"/>
  <c r="X129" i="124" s="1"/>
  <c r="F129" i="124" s="1"/>
  <c r="G129" i="124" s="1" a="1"/>
  <c r="G129" i="124" s="1"/>
  <c r="P126" i="124" a="1"/>
  <c r="P126" i="124" s="1"/>
  <c r="AB122" i="124" a="1"/>
  <c r="AB122" i="124" s="1"/>
  <c r="T129" i="124" a="1"/>
  <c r="T129" i="124" s="1"/>
  <c r="AB125" i="124" a="1"/>
  <c r="AB125" i="124" s="1"/>
  <c r="X122" i="124" a="1"/>
  <c r="X122" i="124" s="1"/>
  <c r="P129" i="124" a="1"/>
  <c r="P129" i="124" s="1"/>
  <c r="X125" i="124" a="1"/>
  <c r="X125" i="124" s="1"/>
  <c r="T122" i="124" a="1"/>
  <c r="T122" i="124" s="1"/>
  <c r="T120" i="124" a="1"/>
  <c r="T120" i="124" s="1"/>
  <c r="AB128" i="124" a="1"/>
  <c r="AB128" i="124" s="1"/>
  <c r="T125" i="124" a="1"/>
  <c r="T125" i="124" s="1"/>
  <c r="P122" i="124" a="1"/>
  <c r="P122" i="124" s="1"/>
  <c r="X128" i="124" a="1"/>
  <c r="X128" i="124" s="1"/>
  <c r="AB121" i="124" a="1"/>
  <c r="AB121" i="124" s="1"/>
  <c r="P19" i="89"/>
  <c r="E173" i="83"/>
  <c r="E19" i="89"/>
  <c r="P162" i="83"/>
  <c r="P51" i="88"/>
  <c r="E151" i="83"/>
  <c r="E23" i="90"/>
  <c r="P31" i="88"/>
  <c r="P290" i="83"/>
  <c r="P25" i="88"/>
  <c r="O228" i="83"/>
  <c r="E25" i="88"/>
  <c r="D228" i="83"/>
  <c r="P24" i="89"/>
  <c r="P237" i="83"/>
  <c r="E24" i="89"/>
  <c r="E237" i="83"/>
  <c r="P173" i="83"/>
  <c r="E64" i="82"/>
  <c r="I68" i="82"/>
  <c r="U25" i="88" s="1"/>
  <c r="D94" i="82"/>
  <c r="D47" i="121"/>
  <c r="D494" i="124" s="1"/>
  <c r="F494" i="124" s="1" a="1"/>
  <c r="F494" i="124" s="1"/>
  <c r="G494" i="124" s="1" a="1"/>
  <c r="G494" i="124" s="1"/>
  <c r="E31" i="88"/>
  <c r="I31" i="105" a="1"/>
  <c r="I31" i="105" s="1"/>
  <c r="K35" i="105" a="1"/>
  <c r="K35" i="105" s="1"/>
  <c r="H37" i="106"/>
  <c r="J138" i="112" a="1"/>
  <c r="J138" i="112" s="1"/>
  <c r="E76" i="124" a="1"/>
  <c r="E76" i="124" s="1"/>
  <c r="J87" i="124" s="1" a="1"/>
  <c r="J87" i="124" s="1"/>
  <c r="D139" i="124"/>
  <c r="F139" i="124" s="1" a="1"/>
  <c r="F139" i="124" s="1"/>
  <c r="G139" i="124" s="1" a="1"/>
  <c r="G139" i="124" s="1"/>
  <c r="K39" i="106" a="1"/>
  <c r="K39" i="106" s="1"/>
  <c r="J35" i="106"/>
  <c r="I35" i="106"/>
  <c r="H35" i="106"/>
  <c r="G35" i="106"/>
  <c r="M27" i="106" a="1"/>
  <c r="M27" i="106" s="1"/>
  <c r="L27" i="106" a="1"/>
  <c r="L27" i="106" s="1"/>
  <c r="I17" i="113"/>
  <c r="E59" i="112" a="1"/>
  <c r="F482" i="124" a="1"/>
  <c r="F482" i="124" s="1"/>
  <c r="F64" i="82"/>
  <c r="E69" i="82"/>
  <c r="D103" i="82"/>
  <c r="J31" i="105" a="1"/>
  <c r="J31" i="105" s="1"/>
  <c r="M35" i="105" a="1"/>
  <c r="M35" i="105" s="1"/>
  <c r="E25" i="106"/>
  <c r="E33" i="106"/>
  <c r="I37" i="106"/>
  <c r="Q252" i="124"/>
  <c r="S252" i="124" s="1" a="1"/>
  <c r="S252" i="124" s="1"/>
  <c r="S255" i="124" a="1"/>
  <c r="S255" i="124" s="1"/>
  <c r="S260" i="124" a="1"/>
  <c r="S260" i="124" s="1"/>
  <c r="S256" i="124" a="1"/>
  <c r="S256" i="124" s="1"/>
  <c r="S259" i="124" a="1"/>
  <c r="S259" i="124" s="1"/>
  <c r="L10" i="120"/>
  <c r="O15" i="120"/>
  <c r="F495" i="124" a="1"/>
  <c r="F495" i="124" s="1"/>
  <c r="E317" i="124" a="1"/>
  <c r="E317" i="124" s="1"/>
  <c r="E316" i="124" a="1"/>
  <c r="E316" i="124" s="1"/>
  <c r="E315" i="124" a="1"/>
  <c r="E315" i="124" s="1"/>
  <c r="G64" i="82"/>
  <c r="F69" i="82"/>
  <c r="P151" i="83"/>
  <c r="J32" i="105" a="1"/>
  <c r="J32" i="105" s="1"/>
  <c r="J120" i="112" a="1"/>
  <c r="J120" i="112" s="1"/>
  <c r="AB120" i="124" a="1"/>
  <c r="AB120" i="124" s="1"/>
  <c r="F120" i="124" s="1"/>
  <c r="G120" i="124" s="1" a="1"/>
  <c r="G120" i="124" s="1"/>
  <c r="J37" i="106"/>
  <c r="M36" i="105" a="1"/>
  <c r="M36" i="105" s="1"/>
  <c r="L36" i="105" a="1"/>
  <c r="L36" i="105" s="1"/>
  <c r="M39" i="106" a="1"/>
  <c r="M39" i="106" s="1"/>
  <c r="O10" i="120"/>
  <c r="G391" i="124" a="1"/>
  <c r="G391" i="124" s="1"/>
  <c r="H391" i="124" s="1" a="1"/>
  <c r="H391" i="124" s="1"/>
  <c r="G390" i="124" a="1"/>
  <c r="G390" i="124" s="1"/>
  <c r="G389" i="124" a="1"/>
  <c r="G389" i="124" s="1"/>
  <c r="G388" i="124" a="1"/>
  <c r="G388" i="124" s="1"/>
  <c r="G387" i="124" a="1"/>
  <c r="G387" i="124" s="1"/>
  <c r="G383" i="124" a="1"/>
  <c r="G383" i="124" s="1"/>
  <c r="G382" i="124" a="1"/>
  <c r="G382" i="124" s="1"/>
  <c r="H64" i="82"/>
  <c r="G69" i="82"/>
  <c r="D113" i="82"/>
  <c r="E162" i="83"/>
  <c r="E51" i="88"/>
  <c r="J14" i="115" a="1"/>
  <c r="J14" i="115" s="1"/>
  <c r="K32" i="105" a="1"/>
  <c r="K32" i="105" s="1"/>
  <c r="L29" i="106" a="1"/>
  <c r="L29" i="106" s="1"/>
  <c r="J27" i="109" a="1"/>
  <c r="J27" i="109" s="1"/>
  <c r="D157" i="112" a="1"/>
  <c r="D157" i="112" s="1"/>
  <c r="J157" i="112" s="1" a="1"/>
  <c r="J157" i="112" s="1"/>
  <c r="T123" i="124" a="1"/>
  <c r="T123" i="124" s="1"/>
  <c r="D178" i="124"/>
  <c r="F178" i="124" s="1" a="1"/>
  <c r="F178" i="124" s="1"/>
  <c r="G178" i="124" s="1" a="1"/>
  <c r="G178" i="124" s="1"/>
  <c r="G385" i="124" a="1"/>
  <c r="G385" i="124" s="1"/>
  <c r="L27" i="105" a="1"/>
  <c r="L27" i="105" s="1"/>
  <c r="G472" i="124" a="1"/>
  <c r="G472" i="124" s="1"/>
  <c r="G471" i="124" a="1"/>
  <c r="G471" i="124" s="1"/>
  <c r="G470" i="124" a="1"/>
  <c r="G470" i="124" s="1"/>
  <c r="G467" i="124" a="1"/>
  <c r="G467" i="124" s="1"/>
  <c r="H467" i="124" s="1" a="1"/>
  <c r="H467" i="124" s="1"/>
  <c r="G466" i="124" a="1"/>
  <c r="G466" i="124" s="1"/>
  <c r="H466" i="124" s="1" a="1"/>
  <c r="H466" i="124" s="1"/>
  <c r="G465" i="124" a="1"/>
  <c r="G465" i="124" s="1"/>
  <c r="G464" i="124" a="1"/>
  <c r="G464" i="124" s="1"/>
  <c r="H464" i="124" s="1" a="1"/>
  <c r="H464" i="124" s="1"/>
  <c r="G463" i="124" a="1"/>
  <c r="G463" i="124" s="1"/>
  <c r="I64" i="82"/>
  <c r="D118" i="82"/>
  <c r="D229" i="83"/>
  <c r="J15" i="115" a="1"/>
  <c r="J15" i="115" s="1"/>
  <c r="H28" i="105" a="1"/>
  <c r="H28" i="105" s="1"/>
  <c r="E37" i="105"/>
  <c r="H37" i="105" s="1" a="1"/>
  <c r="H37" i="105" s="1"/>
  <c r="E30" i="106"/>
  <c r="G34" i="106"/>
  <c r="J28" i="109" a="1"/>
  <c r="J28" i="109" s="1"/>
  <c r="J121" i="112" a="1"/>
  <c r="J121" i="112" s="1"/>
  <c r="E157" i="112" a="1"/>
  <c r="E157" i="112" s="1"/>
  <c r="X123" i="124" a="1"/>
  <c r="X123" i="124" s="1"/>
  <c r="D179" i="124"/>
  <c r="F179" i="124" s="1" a="1"/>
  <c r="F179" i="124" s="1"/>
  <c r="S261" i="124" a="1"/>
  <c r="S261" i="124" s="1"/>
  <c r="G386" i="124" a="1"/>
  <c r="G386" i="124" s="1"/>
  <c r="J386" i="124" s="1" a="1"/>
  <c r="J386" i="124" s="1"/>
  <c r="AE255" i="124" a="1"/>
  <c r="AE255" i="124" s="1"/>
  <c r="AA259" i="124" a="1"/>
  <c r="AA259" i="124" s="1"/>
  <c r="I18" i="104"/>
  <c r="L32" i="106" s="1" a="1"/>
  <c r="L32" i="106" s="1"/>
  <c r="Q32" i="106" s="1" a="1"/>
  <c r="Q32" i="106" s="1"/>
  <c r="W256" i="124" a="1"/>
  <c r="W256" i="124" s="1"/>
  <c r="AE259" i="124" a="1"/>
  <c r="AE259" i="124" s="1"/>
  <c r="AA256" i="124" a="1"/>
  <c r="AA256" i="124" s="1"/>
  <c r="I19" i="104"/>
  <c r="AE256" i="124" a="1"/>
  <c r="AE256" i="124" s="1"/>
  <c r="I21" i="104"/>
  <c r="W254" i="124" a="1"/>
  <c r="W254" i="124" s="1"/>
  <c r="W261" i="124" a="1"/>
  <c r="W261" i="124" s="1"/>
  <c r="AA261" i="124" a="1"/>
  <c r="AA261" i="124" s="1"/>
  <c r="AA258" i="124" a="1"/>
  <c r="AA258" i="124" s="1"/>
  <c r="W255" i="124" a="1"/>
  <c r="W255" i="124" s="1"/>
  <c r="AE258" i="124" a="1"/>
  <c r="AE258" i="124" s="1"/>
  <c r="J16" i="115" a="1"/>
  <c r="J16" i="115" s="1"/>
  <c r="J17" i="115" a="1"/>
  <c r="J17" i="115" s="1"/>
  <c r="O35" i="125" a="1"/>
  <c r="O35" i="125" s="1"/>
  <c r="S48" i="125" s="1"/>
  <c r="K40" i="106" a="1"/>
  <c r="K40" i="106" s="1"/>
  <c r="G483" i="124" a="1"/>
  <c r="G483" i="124" s="1"/>
  <c r="J624" i="124" a="1"/>
  <c r="J624" i="124" s="1"/>
  <c r="J42" i="124" a="1"/>
  <c r="J42" i="124" s="1"/>
  <c r="G47" i="124" a="1"/>
  <c r="G47" i="124" s="1"/>
  <c r="G495" i="124" a="1"/>
  <c r="G495" i="124" s="1"/>
  <c r="G496" i="124" a="1"/>
  <c r="G496" i="124" s="1"/>
  <c r="G179" i="124" a="1"/>
  <c r="G179" i="124" s="1"/>
  <c r="G484" i="124" a="1"/>
  <c r="G484" i="124" s="1"/>
  <c r="G70" i="124" a="1"/>
  <c r="G70" i="124" s="1"/>
  <c r="G177" i="124" a="1"/>
  <c r="G177" i="124" s="1"/>
  <c r="I140" i="124" a="1"/>
  <c r="I140" i="124" s="1"/>
  <c r="J50" i="124" a="1"/>
  <c r="J50" i="124" s="1"/>
  <c r="G481" i="124" a="1"/>
  <c r="G481" i="124" s="1"/>
  <c r="E35" i="125" a="1"/>
  <c r="E35" i="125" s="1"/>
  <c r="I48" i="125" s="1"/>
  <c r="I495" i="124" a="1"/>
  <c r="I495" i="124" s="1"/>
  <c r="E499" i="124" s="1"/>
  <c r="G138" i="124" a="1"/>
  <c r="G138" i="124" s="1"/>
  <c r="E61" i="125"/>
  <c r="O61" i="125"/>
  <c r="E26" i="125"/>
  <c r="O26" i="125"/>
  <c r="P19" i="125"/>
  <c r="F19" i="125"/>
  <c r="P90" i="125"/>
  <c r="F90" i="125"/>
  <c r="F132" i="124"/>
  <c r="F143" i="124"/>
  <c r="F131" i="124"/>
  <c r="F160" i="124"/>
  <c r="G148" i="124" a="1"/>
  <c r="G148" i="124" s="1"/>
  <c r="F74" i="125"/>
  <c r="F55" i="125"/>
  <c r="I150" i="124" a="1"/>
  <c r="I150" i="124" s="1"/>
  <c r="J46" i="124" a="1"/>
  <c r="J46" i="124" s="1"/>
  <c r="G137" i="124" a="1"/>
  <c r="G137" i="124" s="1"/>
  <c r="E182" i="124"/>
  <c r="E101" i="124"/>
  <c r="E189" i="124"/>
  <c r="E273" i="124"/>
  <c r="E7" i="124"/>
  <c r="E166" i="124"/>
  <c r="E338" i="124"/>
  <c r="E400" i="124"/>
  <c r="E370" i="124"/>
  <c r="E203" i="124"/>
  <c r="E218" i="124"/>
  <c r="E433" i="124"/>
  <c r="E305" i="124"/>
  <c r="E576" i="124"/>
  <c r="E609" i="124"/>
  <c r="J80" i="124" a="1"/>
  <c r="J80" i="124" s="1"/>
  <c r="G80" i="124" a="1"/>
  <c r="G80" i="124" s="1"/>
  <c r="J49" i="124" a="1"/>
  <c r="J49" i="124" s="1"/>
  <c r="J43" i="124" a="1"/>
  <c r="J43" i="124" s="1"/>
  <c r="J51" i="124" a="1"/>
  <c r="J51" i="124" s="1"/>
  <c r="I153" i="124" a="1"/>
  <c r="I153" i="124" s="1"/>
  <c r="G66" i="124" a="1"/>
  <c r="G66" i="124" s="1"/>
  <c r="G69" i="124" a="1"/>
  <c r="G69" i="124" s="1"/>
  <c r="J65" i="124" a="1"/>
  <c r="J65" i="124" s="1"/>
  <c r="G62" i="124" a="1"/>
  <c r="G62" i="124" s="1"/>
  <c r="J68" i="124" a="1"/>
  <c r="J68" i="124" s="1"/>
  <c r="G65" i="124" a="1"/>
  <c r="G65" i="124" s="1"/>
  <c r="G64" i="124" a="1"/>
  <c r="G64" i="124" s="1"/>
  <c r="J63" i="124" a="1"/>
  <c r="J63" i="124" s="1"/>
  <c r="I139" i="124" a="1"/>
  <c r="I139" i="124" s="1"/>
  <c r="G150" i="124" a="1"/>
  <c r="G150" i="124" s="1"/>
  <c r="G140" i="124" a="1"/>
  <c r="G140" i="124" s="1"/>
  <c r="G151" i="124" a="1"/>
  <c r="G151" i="124" s="1"/>
  <c r="I151" i="124" a="1"/>
  <c r="I151" i="124" s="1"/>
  <c r="N588" i="124"/>
  <c r="F588" i="124"/>
  <c r="I152" i="124" a="1"/>
  <c r="I152" i="124" s="1"/>
  <c r="G152" i="124" a="1"/>
  <c r="G152" i="124" s="1"/>
  <c r="J44" i="124" a="1"/>
  <c r="J44" i="124" s="1"/>
  <c r="J25" i="124" a="1"/>
  <c r="J25" i="124" s="1"/>
  <c r="J47" i="124" a="1"/>
  <c r="J47" i="124" s="1"/>
  <c r="G51" i="124" a="1"/>
  <c r="G51" i="124" s="1"/>
  <c r="G82" i="124" a="1"/>
  <c r="G82" i="124" s="1"/>
  <c r="F127" i="124"/>
  <c r="G153" i="124" a="1"/>
  <c r="G153" i="124" s="1"/>
  <c r="F90" i="124"/>
  <c r="K357" i="124" a="1"/>
  <c r="K357" i="124" s="1"/>
  <c r="K352" i="124" a="1"/>
  <c r="K352" i="124" s="1"/>
  <c r="K356" i="124" a="1"/>
  <c r="K356" i="124" s="1"/>
  <c r="K355" i="124" a="1"/>
  <c r="K355" i="124" s="1"/>
  <c r="K358" i="124" a="1"/>
  <c r="K358" i="124" s="1"/>
  <c r="J416" i="124" a="1"/>
  <c r="J416" i="124" s="1"/>
  <c r="J420" i="124" a="1"/>
  <c r="J420" i="124" s="1"/>
  <c r="J415" i="124" a="1"/>
  <c r="J415" i="124" s="1"/>
  <c r="J419" i="124" a="1"/>
  <c r="J419" i="124" s="1"/>
  <c r="J423" i="124" a="1"/>
  <c r="J423" i="124" s="1"/>
  <c r="J417" i="124" a="1"/>
  <c r="J417" i="124" s="1"/>
  <c r="F533" i="124"/>
  <c r="J28" i="124" a="1"/>
  <c r="J28" i="124" s="1"/>
  <c r="G45" i="124" a="1"/>
  <c r="G45" i="124" s="1"/>
  <c r="G48" i="124" a="1"/>
  <c r="G48" i="124" s="1"/>
  <c r="F394" i="124"/>
  <c r="I482" i="124" a="1"/>
  <c r="I482" i="124" s="1"/>
  <c r="G482" i="124" a="1"/>
  <c r="G482" i="124" s="1"/>
  <c r="G485" i="124" a="1"/>
  <c r="G485" i="124" s="1"/>
  <c r="F517" i="124"/>
  <c r="F72" i="124"/>
  <c r="J79" i="124" a="1"/>
  <c r="J79" i="124" s="1"/>
  <c r="F91" i="124"/>
  <c r="K420" i="124"/>
  <c r="K415" i="124"/>
  <c r="K419" i="124"/>
  <c r="K423" i="124"/>
  <c r="K414" i="124"/>
  <c r="K421" i="124"/>
  <c r="K416" i="124"/>
  <c r="M26" i="124" a="1"/>
  <c r="M26" i="124" s="1"/>
  <c r="J45" i="124" a="1"/>
  <c r="J45" i="124" s="1"/>
  <c r="J48" i="124" a="1"/>
  <c r="J48" i="124" s="1"/>
  <c r="J64" i="124" a="1"/>
  <c r="J64" i="124" s="1"/>
  <c r="G68" i="124" a="1"/>
  <c r="G68" i="124" s="1"/>
  <c r="K360" i="124" a="1"/>
  <c r="K360" i="124" s="1"/>
  <c r="F53" i="124"/>
  <c r="F73" i="124"/>
  <c r="F93" i="124"/>
  <c r="F657" i="124"/>
  <c r="F656" i="124"/>
  <c r="F654" i="124"/>
  <c r="F636" i="124"/>
  <c r="F653" i="124"/>
  <c r="F635" i="124"/>
  <c r="F155" i="124"/>
  <c r="G315" i="124"/>
  <c r="F311" i="124"/>
  <c r="G43" i="124" a="1"/>
  <c r="G43" i="124" s="1"/>
  <c r="G49" i="124" a="1"/>
  <c r="G49" i="124" s="1"/>
  <c r="K353" i="124" a="1"/>
  <c r="K353" i="124" s="1"/>
  <c r="J390" i="124" a="1"/>
  <c r="J390" i="124" s="1"/>
  <c r="J383" i="124" a="1"/>
  <c r="J383" i="124" s="1"/>
  <c r="J385" i="124" a="1"/>
  <c r="J385" i="124" s="1"/>
  <c r="J387" i="124" a="1"/>
  <c r="J387" i="124" s="1"/>
  <c r="H388" i="124" a="1"/>
  <c r="H388" i="124" s="1"/>
  <c r="J24" i="124" a="1"/>
  <c r="J24" i="124" s="1"/>
  <c r="G46" i="124" a="1"/>
  <c r="G46" i="124" s="1"/>
  <c r="F54" i="124"/>
  <c r="F94" i="124"/>
  <c r="F156" i="124"/>
  <c r="K417" i="124"/>
  <c r="F499" i="124"/>
  <c r="F488" i="124"/>
  <c r="F332" i="124"/>
  <c r="F516" i="124"/>
  <c r="F393" i="124"/>
  <c r="F363" i="124"/>
  <c r="F264" i="124"/>
  <c r="F498" i="124"/>
  <c r="F487" i="124"/>
  <c r="F475" i="124"/>
  <c r="F457" i="124"/>
  <c r="F426" i="124"/>
  <c r="F331" i="124"/>
  <c r="F548" i="124"/>
  <c r="F362" i="124"/>
  <c r="F263" i="124"/>
  <c r="F474" i="124"/>
  <c r="F456" i="124"/>
  <c r="F425" i="124"/>
  <c r="F570" i="124"/>
  <c r="F299" i="124"/>
  <c r="F298" i="124"/>
  <c r="F267" i="124"/>
  <c r="K354" i="124" a="1"/>
  <c r="K354" i="124" s="1"/>
  <c r="J389" i="124" a="1"/>
  <c r="J389" i="124" s="1"/>
  <c r="J391" i="124" a="1"/>
  <c r="J391" i="124" s="1"/>
  <c r="H389" i="124" a="1"/>
  <c r="H389" i="124" s="1"/>
  <c r="J384" i="124" a="1"/>
  <c r="J384" i="124" s="1"/>
  <c r="J418" i="124" a="1"/>
  <c r="J418" i="124" s="1"/>
  <c r="J29" i="124" a="1"/>
  <c r="J29" i="124" s="1"/>
  <c r="J31" i="124" a="1"/>
  <c r="J31" i="124" s="1"/>
  <c r="F142" i="124"/>
  <c r="F159" i="124"/>
  <c r="F182" i="124"/>
  <c r="K418" i="124"/>
  <c r="M27" i="124" a="1"/>
  <c r="M27" i="124" s="1"/>
  <c r="F34" i="124"/>
  <c r="G50" i="124" a="1"/>
  <c r="G50" i="124" s="1"/>
  <c r="F266" i="124"/>
  <c r="H465" i="124" a="1"/>
  <c r="H465" i="124" s="1"/>
  <c r="H463" i="124" a="1"/>
  <c r="H463" i="124" s="1"/>
  <c r="E548" i="124" a="1"/>
  <c r="E548" i="124" s="1"/>
  <c r="G44" i="124" a="1"/>
  <c r="G44" i="124" s="1"/>
  <c r="H446" i="124" a="1"/>
  <c r="H446" i="124" s="1"/>
  <c r="H448" i="124" a="1"/>
  <c r="H448" i="124" s="1"/>
  <c r="H450" i="124" a="1"/>
  <c r="H450" i="124" s="1"/>
  <c r="H447" i="124" a="1"/>
  <c r="H447" i="124" s="1"/>
  <c r="G42" i="124" a="1"/>
  <c r="G42" i="124" s="1"/>
  <c r="J66" i="124" a="1"/>
  <c r="J66" i="124" s="1"/>
  <c r="G85" i="124" a="1"/>
  <c r="G85" i="124" s="1"/>
  <c r="I484" i="124" a="1"/>
  <c r="I484" i="124" s="1"/>
  <c r="J648" i="124" a="1"/>
  <c r="J648" i="124" s="1"/>
  <c r="J642" i="124" a="1"/>
  <c r="J642" i="124" s="1"/>
  <c r="K510" i="124" a="1"/>
  <c r="K510" i="124" s="1"/>
  <c r="J649" i="124" a="1"/>
  <c r="J649" i="124" s="1"/>
  <c r="J643" i="124" a="1"/>
  <c r="J643" i="124" s="1"/>
  <c r="J447" i="124" a="1"/>
  <c r="J447" i="124" s="1"/>
  <c r="J465" i="124" a="1"/>
  <c r="J465" i="124" s="1"/>
  <c r="K512" i="124" a="1"/>
  <c r="K512" i="124" s="1"/>
  <c r="J644" i="124" a="1"/>
  <c r="J644" i="124" s="1"/>
  <c r="J651" i="124" a="1"/>
  <c r="J651" i="124" s="1"/>
  <c r="J627" i="124" a="1"/>
  <c r="J627" i="124" s="1"/>
  <c r="K506" i="124" a="1"/>
  <c r="K506" i="124" s="1"/>
  <c r="K513" i="124" a="1"/>
  <c r="K513" i="124" s="1"/>
  <c r="J645" i="124" a="1"/>
  <c r="J645" i="124" s="1"/>
  <c r="J628" i="124" a="1"/>
  <c r="J628" i="124" s="1"/>
  <c r="J450" i="124" a="1"/>
  <c r="J450" i="124" s="1"/>
  <c r="J468" i="124" a="1"/>
  <c r="J468" i="124" s="1"/>
  <c r="K507" i="124" a="1"/>
  <c r="K507" i="124" s="1"/>
  <c r="K514" i="124" a="1"/>
  <c r="K514" i="124" s="1"/>
  <c r="J646" i="124" a="1"/>
  <c r="J646" i="124" s="1"/>
  <c r="J629" i="124" a="1"/>
  <c r="J629" i="124" s="1"/>
  <c r="J647" i="124" a="1"/>
  <c r="J647" i="124" s="1"/>
  <c r="L14" i="120"/>
  <c r="O14" i="120"/>
  <c r="L17" i="120"/>
  <c r="O17" i="120"/>
  <c r="L15" i="120"/>
  <c r="L16" i="120"/>
  <c r="R13" i="120"/>
  <c r="O16" i="120"/>
  <c r="L19" i="120"/>
  <c r="E7" i="116"/>
  <c r="E30" i="116"/>
  <c r="P48" i="116"/>
  <c r="F48" i="116"/>
  <c r="E7" i="115"/>
  <c r="E99" i="112"/>
  <c r="E7" i="112"/>
  <c r="F192" i="112"/>
  <c r="F151" i="112"/>
  <c r="J127" i="110" a="1"/>
  <c r="J127" i="110" s="1"/>
  <c r="L127" i="110" a="1"/>
  <c r="L127" i="110" s="1"/>
  <c r="I127" i="110" a="1"/>
  <c r="I127" i="110" s="1"/>
  <c r="K127" i="110" a="1"/>
  <c r="K127" i="110" s="1"/>
  <c r="F134" i="110" a="1"/>
  <c r="F134" i="110" s="1"/>
  <c r="G134" i="110" a="1"/>
  <c r="G134" i="110" s="1"/>
  <c r="H134" i="110" a="1"/>
  <c r="H134" i="110" s="1"/>
  <c r="E134" i="110" a="1"/>
  <c r="E134" i="110" s="1"/>
  <c r="I120" i="110" a="1"/>
  <c r="I120" i="110" s="1"/>
  <c r="L120" i="110" a="1"/>
  <c r="L120" i="110" s="1"/>
  <c r="J120" i="110" a="1"/>
  <c r="J120" i="110" s="1"/>
  <c r="K120" i="110" a="1"/>
  <c r="K120" i="110" s="1"/>
  <c r="F131" i="110" a="1"/>
  <c r="F131" i="110" s="1"/>
  <c r="E131" i="110" a="1"/>
  <c r="E131" i="110" s="1"/>
  <c r="H131" i="110" a="1"/>
  <c r="H131" i="110" s="1"/>
  <c r="G131" i="110" a="1"/>
  <c r="G131" i="110" s="1"/>
  <c r="K134" i="110" a="1"/>
  <c r="K134" i="110" s="1"/>
  <c r="L134" i="110" a="1"/>
  <c r="L134" i="110" s="1"/>
  <c r="J134" i="110" a="1"/>
  <c r="J134" i="110" s="1"/>
  <c r="N134" i="110" s="1" a="1"/>
  <c r="N134" i="110" s="1"/>
  <c r="I134" i="110" a="1"/>
  <c r="I134" i="110" s="1"/>
  <c r="H138" i="110" a="1"/>
  <c r="H138" i="110" s="1"/>
  <c r="E138" i="110" a="1"/>
  <c r="E138" i="110" s="1"/>
  <c r="F138" i="110" a="1"/>
  <c r="F138" i="110" s="1"/>
  <c r="G138" i="110" a="1"/>
  <c r="G138" i="110" s="1"/>
  <c r="I113" i="110" a="1"/>
  <c r="I113" i="110" s="1"/>
  <c r="K113" i="110" a="1"/>
  <c r="K113" i="110" s="1"/>
  <c r="L113" i="110" a="1"/>
  <c r="L113" i="110" s="1"/>
  <c r="J113" i="110" a="1"/>
  <c r="J113" i="110" s="1"/>
  <c r="N113" i="110" s="1" a="1"/>
  <c r="N113" i="110" s="1"/>
  <c r="H124" i="110" a="1"/>
  <c r="H124" i="110" s="1"/>
  <c r="G124" i="110" a="1"/>
  <c r="G124" i="110" s="1"/>
  <c r="F124" i="110" a="1"/>
  <c r="F124" i="110" s="1"/>
  <c r="E124" i="110" a="1"/>
  <c r="E124" i="110" s="1"/>
  <c r="G111" i="110" a="1"/>
  <c r="G111" i="110" s="1"/>
  <c r="O111" i="110" s="1" a="1"/>
  <c r="O111" i="110" s="1"/>
  <c r="G112" i="110" a="1"/>
  <c r="G112" i="110" s="1"/>
  <c r="O112" i="110" s="1" a="1"/>
  <c r="O112" i="110" s="1"/>
  <c r="E110" i="110" a="1"/>
  <c r="E110" i="110" s="1"/>
  <c r="M110" i="110" s="1" a="1"/>
  <c r="M110" i="110" s="1"/>
  <c r="F111" i="110" a="1"/>
  <c r="F111" i="110" s="1"/>
  <c r="N111" i="110" s="1" a="1"/>
  <c r="N111" i="110" s="1"/>
  <c r="E112" i="110" a="1"/>
  <c r="E112" i="110" s="1"/>
  <c r="M112" i="110" s="1" a="1"/>
  <c r="M112" i="110" s="1"/>
  <c r="G110" i="110" a="1"/>
  <c r="G110" i="110" s="1"/>
  <c r="O110" i="110" s="1" a="1"/>
  <c r="O110" i="110" s="1"/>
  <c r="F110" i="110" a="1"/>
  <c r="F110" i="110" s="1"/>
  <c r="N110" i="110" s="1" a="1"/>
  <c r="N110" i="110" s="1"/>
  <c r="E111" i="110" a="1"/>
  <c r="E111" i="110" s="1"/>
  <c r="M111" i="110" s="1" a="1"/>
  <c r="M111" i="110" s="1"/>
  <c r="H110" i="110" a="1"/>
  <c r="H110" i="110" s="1"/>
  <c r="P110" i="110" s="1" a="1"/>
  <c r="P110" i="110" s="1"/>
  <c r="H112" i="110" a="1"/>
  <c r="H112" i="110" s="1"/>
  <c r="P112" i="110" s="1" a="1"/>
  <c r="P112" i="110" s="1"/>
  <c r="F112" i="110" a="1"/>
  <c r="F112" i="110" s="1"/>
  <c r="N112" i="110" s="1" a="1"/>
  <c r="N112" i="110" s="1"/>
  <c r="H111" i="110" a="1"/>
  <c r="H111" i="110" s="1"/>
  <c r="P111" i="110" s="1" a="1"/>
  <c r="P111" i="110" s="1"/>
  <c r="L119" i="110" a="1"/>
  <c r="L119" i="110" s="1"/>
  <c r="K119" i="110" a="1"/>
  <c r="K119" i="110" s="1"/>
  <c r="J119" i="110" a="1"/>
  <c r="J119" i="110" s="1"/>
  <c r="I119" i="110" a="1"/>
  <c r="I119" i="110" s="1"/>
  <c r="E127" i="110" a="1"/>
  <c r="E127" i="110" s="1"/>
  <c r="H127" i="110" a="1"/>
  <c r="H127" i="110" s="1"/>
  <c r="G127" i="110" a="1"/>
  <c r="G127" i="110" s="1"/>
  <c r="F127" i="110" a="1"/>
  <c r="F127" i="110" s="1"/>
  <c r="G141" i="110" a="1"/>
  <c r="G141" i="110" s="1"/>
  <c r="E141" i="110" a="1"/>
  <c r="E141" i="110" s="1"/>
  <c r="F141" i="110" a="1"/>
  <c r="F141" i="110" s="1"/>
  <c r="H141" i="110" a="1"/>
  <c r="H141" i="110" s="1"/>
  <c r="L141" i="110" a="1"/>
  <c r="L141" i="110" s="1"/>
  <c r="K141" i="110" a="1"/>
  <c r="K141" i="110" s="1"/>
  <c r="J141" i="110" a="1"/>
  <c r="J141" i="110" s="1"/>
  <c r="I141" i="110" a="1"/>
  <c r="I141" i="110" s="1"/>
  <c r="F117" i="110" a="1"/>
  <c r="F117" i="110" s="1"/>
  <c r="H117" i="110" a="1"/>
  <c r="H117" i="110" s="1"/>
  <c r="G117" i="110" a="1"/>
  <c r="G117" i="110" s="1"/>
  <c r="E117" i="110" a="1"/>
  <c r="E117" i="110" s="1"/>
  <c r="I124" i="110" a="1"/>
  <c r="I124" i="110" s="1"/>
  <c r="K124" i="110" a="1"/>
  <c r="K124" i="110" s="1"/>
  <c r="L124" i="110" a="1"/>
  <c r="L124" i="110" s="1"/>
  <c r="J124" i="110" a="1"/>
  <c r="J124" i="110" s="1"/>
  <c r="K117" i="110" a="1"/>
  <c r="K117" i="110" s="1"/>
  <c r="J117" i="110" a="1"/>
  <c r="J117" i="110" s="1"/>
  <c r="I117" i="110" a="1"/>
  <c r="I117" i="110" s="1"/>
  <c r="L117" i="110" a="1"/>
  <c r="L117" i="110" s="1"/>
  <c r="L135" i="110" a="1"/>
  <c r="L135" i="110" s="1"/>
  <c r="K135" i="110" a="1"/>
  <c r="K135" i="110" s="1"/>
  <c r="O135" i="110" s="1" a="1"/>
  <c r="O135" i="110" s="1"/>
  <c r="J135" i="110" a="1"/>
  <c r="J135" i="110" s="1"/>
  <c r="I135" i="110" a="1"/>
  <c r="I135" i="110" s="1"/>
  <c r="L114" i="110" a="1"/>
  <c r="L114" i="110" s="1"/>
  <c r="I114" i="110" a="1"/>
  <c r="I114" i="110" s="1"/>
  <c r="K114" i="110" a="1"/>
  <c r="K114" i="110" s="1"/>
  <c r="J114" i="110" a="1"/>
  <c r="J114" i="110" s="1"/>
  <c r="K121" i="110" a="1"/>
  <c r="K121" i="110" s="1"/>
  <c r="I121" i="110" a="1"/>
  <c r="I121" i="110" s="1"/>
  <c r="L121" i="110" a="1"/>
  <c r="L121" i="110" s="1"/>
  <c r="J121" i="110" a="1"/>
  <c r="J121" i="110" s="1"/>
  <c r="J142" i="110" a="1"/>
  <c r="J142" i="110" s="1"/>
  <c r="K142" i="110" a="1"/>
  <c r="K142" i="110" s="1"/>
  <c r="I142" i="110" a="1"/>
  <c r="I142" i="110" s="1"/>
  <c r="L142" i="110" a="1"/>
  <c r="L142" i="110" s="1"/>
  <c r="F132" i="110" a="1"/>
  <c r="F132" i="110" s="1"/>
  <c r="E132" i="110" a="1"/>
  <c r="E132" i="110" s="1"/>
  <c r="H132" i="110" a="1"/>
  <c r="H132" i="110" s="1"/>
  <c r="G132" i="110" a="1"/>
  <c r="G132" i="110" s="1"/>
  <c r="J125" i="110" a="1"/>
  <c r="J125" i="110" s="1"/>
  <c r="N125" i="110" s="1" a="1"/>
  <c r="N125" i="110" s="1"/>
  <c r="I125" i="110" a="1"/>
  <c r="I125" i="110" s="1"/>
  <c r="L125" i="110" a="1"/>
  <c r="L125" i="110" s="1"/>
  <c r="K125" i="110" a="1"/>
  <c r="K125" i="110" s="1"/>
  <c r="G129" i="110" a="1"/>
  <c r="G129" i="110" s="1"/>
  <c r="F129" i="110" a="1"/>
  <c r="F129" i="110" s="1"/>
  <c r="H129" i="110" a="1"/>
  <c r="H129" i="110" s="1"/>
  <c r="E129" i="110" a="1"/>
  <c r="E129" i="110" s="1"/>
  <c r="L132" i="110" a="1"/>
  <c r="L132" i="110" s="1"/>
  <c r="J132" i="110" a="1"/>
  <c r="J132" i="110" s="1"/>
  <c r="I132" i="110" a="1"/>
  <c r="I132" i="110" s="1"/>
  <c r="K132" i="110" a="1"/>
  <c r="K132" i="110" s="1"/>
  <c r="G136" i="110" a="1"/>
  <c r="G136" i="110" s="1"/>
  <c r="H136" i="110" a="1"/>
  <c r="H136" i="110" s="1"/>
  <c r="E136" i="110" a="1"/>
  <c r="E136" i="110" s="1"/>
  <c r="F136" i="110" a="1"/>
  <c r="F136" i="110" s="1"/>
  <c r="H143" i="110" a="1"/>
  <c r="H143" i="110" s="1"/>
  <c r="E143" i="110" a="1"/>
  <c r="E143" i="110" s="1"/>
  <c r="F143" i="110" a="1"/>
  <c r="F143" i="110" s="1"/>
  <c r="G143" i="110" a="1"/>
  <c r="G143" i="110" s="1"/>
  <c r="I118" i="110" a="1"/>
  <c r="I118" i="110" s="1"/>
  <c r="L118" i="110" a="1"/>
  <c r="L118" i="110" s="1"/>
  <c r="K118" i="110" a="1"/>
  <c r="K118" i="110" s="1"/>
  <c r="J118" i="110" a="1"/>
  <c r="J118" i="110" s="1"/>
  <c r="H122" i="110" a="1"/>
  <c r="H122" i="110" s="1"/>
  <c r="E122" i="110" a="1"/>
  <c r="E122" i="110" s="1"/>
  <c r="F122" i="110" a="1"/>
  <c r="F122" i="110" s="1"/>
  <c r="G122" i="110" a="1"/>
  <c r="G122" i="110" s="1"/>
  <c r="I129" i="110" a="1"/>
  <c r="I129" i="110" s="1"/>
  <c r="L129" i="110" a="1"/>
  <c r="L129" i="110" s="1"/>
  <c r="K129" i="110" a="1"/>
  <c r="K129" i="110" s="1"/>
  <c r="J129" i="110" a="1"/>
  <c r="J129" i="110" s="1"/>
  <c r="L136" i="110" a="1"/>
  <c r="L136" i="110" s="1"/>
  <c r="I136" i="110" a="1"/>
  <c r="I136" i="110" s="1"/>
  <c r="K136" i="110" a="1"/>
  <c r="K136" i="110" s="1"/>
  <c r="J136" i="110" a="1"/>
  <c r="J136" i="110" s="1"/>
  <c r="I139" i="110" a="1"/>
  <c r="I139" i="110" s="1"/>
  <c r="K139" i="110" a="1"/>
  <c r="K139" i="110" s="1"/>
  <c r="J139" i="110" a="1"/>
  <c r="J139" i="110" s="1"/>
  <c r="L139" i="110" a="1"/>
  <c r="L139" i="110" s="1"/>
  <c r="J115" i="110" a="1"/>
  <c r="J115" i="110" s="1"/>
  <c r="L115" i="110" a="1"/>
  <c r="L115" i="110" s="1"/>
  <c r="K115" i="110" a="1"/>
  <c r="K115" i="110" s="1"/>
  <c r="O115" i="110" s="1" a="1"/>
  <c r="O115" i="110" s="1"/>
  <c r="I115" i="110" a="1"/>
  <c r="I115" i="110" s="1"/>
  <c r="K122" i="110" a="1"/>
  <c r="K122" i="110" s="1"/>
  <c r="J122" i="110" a="1"/>
  <c r="J122" i="110" s="1"/>
  <c r="L122" i="110" a="1"/>
  <c r="L122" i="110" s="1"/>
  <c r="I122" i="110" a="1"/>
  <c r="I122" i="110" s="1"/>
  <c r="E126" i="110" a="1"/>
  <c r="E126" i="110" s="1"/>
  <c r="H126" i="110" a="1"/>
  <c r="H126" i="110" s="1"/>
  <c r="G126" i="110" a="1"/>
  <c r="G126" i="110" s="1"/>
  <c r="F126" i="110" a="1"/>
  <c r="F126" i="110" s="1"/>
  <c r="G133" i="110" a="1"/>
  <c r="G133" i="110" s="1"/>
  <c r="E133" i="110" a="1"/>
  <c r="E133" i="110" s="1"/>
  <c r="H133" i="110" a="1"/>
  <c r="H133" i="110" s="1"/>
  <c r="F133" i="110" a="1"/>
  <c r="F133" i="110" s="1"/>
  <c r="F119" i="110" a="1"/>
  <c r="F119" i="110" s="1"/>
  <c r="E119" i="110" a="1"/>
  <c r="E119" i="110" s="1"/>
  <c r="H119" i="110" a="1"/>
  <c r="H119" i="110" s="1"/>
  <c r="G119" i="110" a="1"/>
  <c r="G119" i="110" s="1"/>
  <c r="J126" i="110" a="1"/>
  <c r="J126" i="110" s="1"/>
  <c r="K126" i="110" a="1"/>
  <c r="K126" i="110" s="1"/>
  <c r="L126" i="110" a="1"/>
  <c r="L126" i="110" s="1"/>
  <c r="I126" i="110" a="1"/>
  <c r="I126" i="110" s="1"/>
  <c r="H140" i="110" a="1"/>
  <c r="H140" i="110" s="1"/>
  <c r="G140" i="110" a="1"/>
  <c r="G140" i="110" s="1"/>
  <c r="F140" i="110" a="1"/>
  <c r="F140" i="110" s="1"/>
  <c r="E140" i="110" a="1"/>
  <c r="E140" i="110" s="1"/>
  <c r="G150" i="110" a="1"/>
  <c r="G150" i="110" s="1"/>
  <c r="F150" i="110" a="1"/>
  <c r="F150" i="110" s="1"/>
  <c r="H150" i="110" a="1"/>
  <c r="H150" i="110" s="1"/>
  <c r="E150" i="110" a="1"/>
  <c r="E150" i="110" s="1"/>
  <c r="H137" i="110" a="1"/>
  <c r="H137" i="110" s="1"/>
  <c r="F137" i="110" a="1"/>
  <c r="F137" i="110" s="1"/>
  <c r="G137" i="110" a="1"/>
  <c r="G137" i="110" s="1"/>
  <c r="E137" i="110" a="1"/>
  <c r="E137" i="110" s="1"/>
  <c r="I140" i="110" a="1"/>
  <c r="I140" i="110" s="1"/>
  <c r="J140" i="110" a="1"/>
  <c r="J140" i="110" s="1"/>
  <c r="K140" i="110" a="1"/>
  <c r="K140" i="110" s="1"/>
  <c r="L140" i="110" a="1"/>
  <c r="L140" i="110" s="1"/>
  <c r="E113" i="110" a="1"/>
  <c r="E113" i="110" s="1"/>
  <c r="H113" i="110" a="1"/>
  <c r="H113" i="110" s="1"/>
  <c r="G118" i="110" a="1"/>
  <c r="G118" i="110" s="1"/>
  <c r="F118" i="110" a="1"/>
  <c r="F118" i="110" s="1"/>
  <c r="E118" i="110" a="1"/>
  <c r="E118" i="110" s="1"/>
  <c r="E123" i="110" a="1"/>
  <c r="E123" i="110" s="1"/>
  <c r="F123" i="110" a="1"/>
  <c r="F123" i="110" s="1"/>
  <c r="H123" i="110" a="1"/>
  <c r="H123" i="110" s="1"/>
  <c r="G123" i="110" a="1"/>
  <c r="G123" i="110" s="1"/>
  <c r="L143" i="110" a="1"/>
  <c r="L143" i="110" s="1"/>
  <c r="J143" i="110" a="1"/>
  <c r="J143" i="110" s="1"/>
  <c r="N143" i="110" s="1" a="1"/>
  <c r="N143" i="110" s="1"/>
  <c r="I143" i="110" a="1"/>
  <c r="I143" i="110" s="1"/>
  <c r="K143" i="110" a="1"/>
  <c r="K143" i="110" s="1"/>
  <c r="E146" i="110" a="1"/>
  <c r="E146" i="110" s="1"/>
  <c r="F146" i="110" a="1"/>
  <c r="F146" i="110" s="1"/>
  <c r="G146" i="110" a="1"/>
  <c r="G146" i="110" s="1"/>
  <c r="D108" i="110"/>
  <c r="D106" i="110"/>
  <c r="K123" i="110" a="1"/>
  <c r="K123" i="110" s="1"/>
  <c r="J123" i="110" a="1"/>
  <c r="J123" i="110" s="1"/>
  <c r="I123" i="110" a="1"/>
  <c r="I123" i="110" s="1"/>
  <c r="K128" i="110" a="1"/>
  <c r="K128" i="110" s="1"/>
  <c r="L128" i="110" a="1"/>
  <c r="L128" i="110" s="1"/>
  <c r="J128" i="110" a="1"/>
  <c r="J128" i="110" s="1"/>
  <c r="L133" i="110" a="1"/>
  <c r="L133" i="110" s="1"/>
  <c r="K133" i="110" a="1"/>
  <c r="K133" i="110" s="1"/>
  <c r="J133" i="110" a="1"/>
  <c r="J133" i="110" s="1"/>
  <c r="I133" i="110" a="1"/>
  <c r="I133" i="110" s="1"/>
  <c r="I138" i="110" a="1"/>
  <c r="I138" i="110" s="1"/>
  <c r="K138" i="110" a="1"/>
  <c r="K138" i="110" s="1"/>
  <c r="O138" i="110" s="1" a="1"/>
  <c r="O138" i="110" s="1"/>
  <c r="J138" i="110" a="1"/>
  <c r="J138" i="110" s="1"/>
  <c r="N138" i="110" s="1" a="1"/>
  <c r="N138" i="110" s="1"/>
  <c r="L146" i="110" a="1"/>
  <c r="L146" i="110" s="1"/>
  <c r="P146" i="110" s="1" a="1"/>
  <c r="P146" i="110" s="1"/>
  <c r="I146" i="110" a="1"/>
  <c r="I146" i="110" s="1"/>
  <c r="J146" i="110" a="1"/>
  <c r="J146" i="110" s="1"/>
  <c r="K146" i="110" a="1"/>
  <c r="K146" i="110" s="1"/>
  <c r="K149" i="110" a="1"/>
  <c r="K149" i="110" s="1"/>
  <c r="J149" i="110" a="1"/>
  <c r="J149" i="110" s="1"/>
  <c r="I149" i="110" a="1"/>
  <c r="I149" i="110" s="1"/>
  <c r="L149" i="110" a="1"/>
  <c r="L149" i="110" s="1"/>
  <c r="F115" i="110" a="1"/>
  <c r="F115" i="110" s="1"/>
  <c r="H118" i="110" a="1"/>
  <c r="H118" i="110" s="1"/>
  <c r="H121" i="110" a="1"/>
  <c r="H121" i="110" s="1"/>
  <c r="F121" i="110" a="1"/>
  <c r="F121" i="110" s="1"/>
  <c r="E121" i="110" a="1"/>
  <c r="E121" i="110" s="1"/>
  <c r="F153" i="110" a="1"/>
  <c r="F153" i="110" s="1"/>
  <c r="E153" i="110" a="1"/>
  <c r="E153" i="110" s="1"/>
  <c r="H153" i="110" a="1"/>
  <c r="H153" i="110" s="1"/>
  <c r="H156" i="110" a="1"/>
  <c r="H156" i="110" s="1"/>
  <c r="G156" i="110" a="1"/>
  <c r="G156" i="110" s="1"/>
  <c r="F156" i="110" a="1"/>
  <c r="F156" i="110" s="1"/>
  <c r="E156" i="110" a="1"/>
  <c r="E156" i="110" s="1"/>
  <c r="I159" i="110" a="1"/>
  <c r="I159" i="110" s="1"/>
  <c r="L159" i="110" a="1"/>
  <c r="L159" i="110" s="1"/>
  <c r="K159" i="110" a="1"/>
  <c r="K159" i="110" s="1"/>
  <c r="J159" i="110" a="1"/>
  <c r="J159" i="110" s="1"/>
  <c r="L138" i="110" a="1"/>
  <c r="L138" i="110" s="1"/>
  <c r="P138" i="110" s="1" a="1"/>
  <c r="P138" i="110" s="1"/>
  <c r="G153" i="110" a="1"/>
  <c r="G153" i="110" s="1"/>
  <c r="F116" i="110" a="1"/>
  <c r="F116" i="110" s="1"/>
  <c r="G116" i="110" a="1"/>
  <c r="G116" i="110" s="1"/>
  <c r="E116" i="110" a="1"/>
  <c r="E116" i="110" s="1"/>
  <c r="F147" i="110" a="1"/>
  <c r="F147" i="110" s="1"/>
  <c r="E147" i="110" a="1"/>
  <c r="E147" i="110" s="1"/>
  <c r="G147" i="110" a="1"/>
  <c r="G147" i="110" s="1"/>
  <c r="J156" i="110" a="1"/>
  <c r="J156" i="110" s="1"/>
  <c r="I156" i="110" a="1"/>
  <c r="I156" i="110" s="1"/>
  <c r="K156" i="110" a="1"/>
  <c r="K156" i="110" s="1"/>
  <c r="L156" i="110" a="1"/>
  <c r="L156" i="110" s="1"/>
  <c r="I116" i="110" a="1"/>
  <c r="I116" i="110" s="1"/>
  <c r="L116" i="110" a="1"/>
  <c r="L116" i="110" s="1"/>
  <c r="P116" i="110" s="1" a="1"/>
  <c r="P116" i="110" s="1"/>
  <c r="J116" i="110" a="1"/>
  <c r="J116" i="110" s="1"/>
  <c r="J131" i="110" a="1"/>
  <c r="J131" i="110" s="1"/>
  <c r="N131" i="110" s="1" a="1"/>
  <c r="N131" i="110" s="1"/>
  <c r="I131" i="110" a="1"/>
  <c r="I131" i="110" s="1"/>
  <c r="K131" i="110" a="1"/>
  <c r="K131" i="110" s="1"/>
  <c r="O131" i="110" s="1" a="1"/>
  <c r="O131" i="110" s="1"/>
  <c r="L131" i="110" a="1"/>
  <c r="L131" i="110" s="1"/>
  <c r="P131" i="110" s="1" a="1"/>
  <c r="P131" i="110" s="1"/>
  <c r="E144" i="110" a="1"/>
  <c r="E144" i="110" s="1"/>
  <c r="G144" i="110" a="1"/>
  <c r="G144" i="110" s="1"/>
  <c r="F144" i="110" a="1"/>
  <c r="F144" i="110" s="1"/>
  <c r="H144" i="110" a="1"/>
  <c r="H144" i="110" s="1"/>
  <c r="J147" i="110" a="1"/>
  <c r="J147" i="110" s="1"/>
  <c r="I147" i="110" a="1"/>
  <c r="I147" i="110" s="1"/>
  <c r="L147" i="110" a="1"/>
  <c r="L147" i="110" s="1"/>
  <c r="L153" i="110" a="1"/>
  <c r="L153" i="110" s="1"/>
  <c r="I153" i="110" a="1"/>
  <c r="I153" i="110" s="1"/>
  <c r="K153" i="110" a="1"/>
  <c r="K153" i="110" s="1"/>
  <c r="J153" i="110" a="1"/>
  <c r="J153" i="110" s="1"/>
  <c r="E114" i="110" a="1"/>
  <c r="E114" i="110" s="1"/>
  <c r="G114" i="110" a="1"/>
  <c r="G114" i="110" s="1"/>
  <c r="F114" i="110" a="1"/>
  <c r="F114" i="110" s="1"/>
  <c r="G139" i="110" a="1"/>
  <c r="G139" i="110" s="1"/>
  <c r="F139" i="110" a="1"/>
  <c r="F139" i="110" s="1"/>
  <c r="H139" i="110" a="1"/>
  <c r="H139" i="110" s="1"/>
  <c r="E139" i="110" a="1"/>
  <c r="E139" i="110" s="1"/>
  <c r="L150" i="110" a="1"/>
  <c r="L150" i="110" s="1"/>
  <c r="K150" i="110" a="1"/>
  <c r="K150" i="110" s="1"/>
  <c r="J150" i="110" a="1"/>
  <c r="J150" i="110" s="1"/>
  <c r="I150" i="110" a="1"/>
  <c r="I150" i="110" s="1"/>
  <c r="H157" i="110" a="1"/>
  <c r="H157" i="110" s="1"/>
  <c r="P157" i="110" s="1" a="1"/>
  <c r="P157" i="110" s="1"/>
  <c r="G157" i="110" a="1"/>
  <c r="G157" i="110" s="1"/>
  <c r="F157" i="110" a="1"/>
  <c r="F157" i="110" s="1"/>
  <c r="E157" i="110" a="1"/>
  <c r="E157" i="110" s="1"/>
  <c r="E160" i="110" a="1"/>
  <c r="E160" i="110" s="1"/>
  <c r="H160" i="110" a="1"/>
  <c r="H160" i="110" s="1"/>
  <c r="G160" i="110" a="1"/>
  <c r="G160" i="110" s="1"/>
  <c r="F160" i="110" a="1"/>
  <c r="F160" i="110" s="1"/>
  <c r="D112" i="110"/>
  <c r="D111" i="110"/>
  <c r="D110" i="110"/>
  <c r="F70" i="109" s="1" a="1"/>
  <c r="F70" i="109" s="1"/>
  <c r="K144" i="110" a="1"/>
  <c r="K144" i="110" s="1"/>
  <c r="L144" i="110" a="1"/>
  <c r="L144" i="110" s="1"/>
  <c r="I144" i="110" a="1"/>
  <c r="I144" i="110" s="1"/>
  <c r="J144" i="110" a="1"/>
  <c r="J144" i="110" s="1"/>
  <c r="L160" i="110" a="1"/>
  <c r="L160" i="110" s="1"/>
  <c r="K160" i="110" a="1"/>
  <c r="K160" i="110" s="1"/>
  <c r="J160" i="110" a="1"/>
  <c r="J160" i="110" s="1"/>
  <c r="I160" i="110" a="1"/>
  <c r="I160" i="110" s="1"/>
  <c r="H142" i="110" a="1"/>
  <c r="H142" i="110" s="1"/>
  <c r="G142" i="110" a="1"/>
  <c r="G142" i="110" s="1"/>
  <c r="F142" i="110" a="1"/>
  <c r="F142" i="110" s="1"/>
  <c r="E142" i="110" a="1"/>
  <c r="E142" i="110" s="1"/>
  <c r="G113" i="110" a="1"/>
  <c r="G113" i="110" s="1"/>
  <c r="H147" i="110" a="1"/>
  <c r="H147" i="110" s="1"/>
  <c r="F148" i="110" a="1"/>
  <c r="F148" i="110" s="1"/>
  <c r="G148" i="110" a="1"/>
  <c r="G148" i="110" s="1"/>
  <c r="H148" i="110" a="1"/>
  <c r="H148" i="110" s="1"/>
  <c r="E148" i="110" a="1"/>
  <c r="E148" i="110" s="1"/>
  <c r="E151" i="110" a="1"/>
  <c r="E151" i="110" s="1"/>
  <c r="F151" i="110" a="1"/>
  <c r="F151" i="110" s="1"/>
  <c r="H151" i="110" a="1"/>
  <c r="H151" i="110" s="1"/>
  <c r="F161" i="110" a="1"/>
  <c r="F161" i="110" s="1"/>
  <c r="H161" i="110" a="1"/>
  <c r="H161" i="110" s="1"/>
  <c r="G161" i="110" a="1"/>
  <c r="G161" i="110" s="1"/>
  <c r="E161" i="110" a="1"/>
  <c r="E161" i="110" s="1"/>
  <c r="K116" i="110" a="1"/>
  <c r="K116" i="110" s="1"/>
  <c r="L123" i="110" a="1"/>
  <c r="L123" i="110" s="1"/>
  <c r="P123" i="110" s="1" a="1"/>
  <c r="P123" i="110" s="1"/>
  <c r="K147" i="110" a="1"/>
  <c r="K147" i="110" s="1"/>
  <c r="J137" i="110" a="1"/>
  <c r="J137" i="110" s="1"/>
  <c r="I137" i="110" a="1"/>
  <c r="I137" i="110" s="1"/>
  <c r="K137" i="110" a="1"/>
  <c r="K137" i="110" s="1"/>
  <c r="O137" i="110" s="1" a="1"/>
  <c r="O137" i="110" s="1"/>
  <c r="L137" i="110" a="1"/>
  <c r="L137" i="110" s="1"/>
  <c r="E145" i="110" a="1"/>
  <c r="E145" i="110" s="1"/>
  <c r="F145" i="110" a="1"/>
  <c r="F145" i="110" s="1"/>
  <c r="H145" i="110" a="1"/>
  <c r="H145" i="110" s="1"/>
  <c r="G145" i="110" a="1"/>
  <c r="G145" i="110" s="1"/>
  <c r="L151" i="110" a="1"/>
  <c r="L151" i="110" s="1"/>
  <c r="K151" i="110" a="1"/>
  <c r="K151" i="110" s="1"/>
  <c r="O151" i="110" s="1" a="1"/>
  <c r="O151" i="110" s="1"/>
  <c r="J151" i="110" a="1"/>
  <c r="J151" i="110" s="1"/>
  <c r="I151" i="110" a="1"/>
  <c r="I151" i="110" s="1"/>
  <c r="J161" i="110" a="1"/>
  <c r="J161" i="110" s="1"/>
  <c r="I161" i="110" a="1"/>
  <c r="I161" i="110" s="1"/>
  <c r="L161" i="110" a="1"/>
  <c r="L161" i="110" s="1"/>
  <c r="K161" i="110" a="1"/>
  <c r="K161" i="110" s="1"/>
  <c r="E135" i="110" a="1"/>
  <c r="E135" i="110" s="1"/>
  <c r="F135" i="110" a="1"/>
  <c r="F135" i="110" s="1"/>
  <c r="H135" i="110" a="1"/>
  <c r="H135" i="110" s="1"/>
  <c r="K148" i="110" a="1"/>
  <c r="K148" i="110" s="1"/>
  <c r="J148" i="110" a="1"/>
  <c r="J148" i="110" s="1"/>
  <c r="I148" i="110" a="1"/>
  <c r="I148" i="110" s="1"/>
  <c r="L148" i="110" a="1"/>
  <c r="L148" i="110" s="1"/>
  <c r="H158" i="110" a="1"/>
  <c r="H158" i="110" s="1"/>
  <c r="G158" i="110" a="1"/>
  <c r="G158" i="110" s="1"/>
  <c r="F158" i="110" a="1"/>
  <c r="F158" i="110" s="1"/>
  <c r="E158" i="110" a="1"/>
  <c r="E158" i="110" s="1"/>
  <c r="E115" i="110" a="1"/>
  <c r="E115" i="110" s="1"/>
  <c r="H115" i="110" a="1"/>
  <c r="H115" i="110" s="1"/>
  <c r="G120" i="110" a="1"/>
  <c r="G120" i="110" s="1"/>
  <c r="H120" i="110" a="1"/>
  <c r="H120" i="110" s="1"/>
  <c r="F120" i="110" a="1"/>
  <c r="F120" i="110" s="1"/>
  <c r="E120" i="110" a="1"/>
  <c r="E120" i="110" s="1"/>
  <c r="H125" i="110" a="1"/>
  <c r="H125" i="110" s="1"/>
  <c r="G125" i="110" a="1"/>
  <c r="G125" i="110" s="1"/>
  <c r="E125" i="110" a="1"/>
  <c r="E125" i="110" s="1"/>
  <c r="E130" i="110" a="1"/>
  <c r="E130" i="110" s="1"/>
  <c r="G130" i="110" a="1"/>
  <c r="G130" i="110" s="1"/>
  <c r="F130" i="110" a="1"/>
  <c r="F130" i="110" s="1"/>
  <c r="I145" i="110" a="1"/>
  <c r="I145" i="110" s="1"/>
  <c r="L145" i="110" a="1"/>
  <c r="L145" i="110" s="1"/>
  <c r="K145" i="110" a="1"/>
  <c r="K145" i="110" s="1"/>
  <c r="J145" i="110" a="1"/>
  <c r="J145" i="110" s="1"/>
  <c r="H114" i="110" a="1"/>
  <c r="H114" i="110" s="1"/>
  <c r="L130" i="110" a="1"/>
  <c r="L130" i="110" s="1"/>
  <c r="P130" i="110" s="1" a="1"/>
  <c r="P130" i="110" s="1"/>
  <c r="J130" i="110" a="1"/>
  <c r="J130" i="110" s="1"/>
  <c r="K130" i="110" a="1"/>
  <c r="K130" i="110" s="1"/>
  <c r="I130" i="110" a="1"/>
  <c r="I130" i="110" s="1"/>
  <c r="G155" i="110" a="1"/>
  <c r="G155" i="110" s="1"/>
  <c r="F155" i="110" a="1"/>
  <c r="F155" i="110" s="1"/>
  <c r="H155" i="110" a="1"/>
  <c r="H155" i="110" s="1"/>
  <c r="E155" i="110" a="1"/>
  <c r="E155" i="110" s="1"/>
  <c r="K158" i="110" a="1"/>
  <c r="K158" i="110" s="1"/>
  <c r="J158" i="110" a="1"/>
  <c r="J158" i="110" s="1"/>
  <c r="I158" i="110" a="1"/>
  <c r="I158" i="110" s="1"/>
  <c r="L158" i="110" a="1"/>
  <c r="L158" i="110" s="1"/>
  <c r="I128" i="110" a="1"/>
  <c r="I128" i="110" s="1"/>
  <c r="G128" i="110" a="1"/>
  <c r="G128" i="110" s="1"/>
  <c r="H128" i="110" a="1"/>
  <c r="H128" i="110" s="1"/>
  <c r="F128" i="110" a="1"/>
  <c r="F128" i="110" s="1"/>
  <c r="E128" i="110" a="1"/>
  <c r="E128" i="110" s="1"/>
  <c r="I152" i="110" a="1"/>
  <c r="I152" i="110" s="1"/>
  <c r="L152" i="110" a="1"/>
  <c r="L152" i="110" s="1"/>
  <c r="K152" i="110" a="1"/>
  <c r="K152" i="110" s="1"/>
  <c r="J152" i="110" a="1"/>
  <c r="J152" i="110" s="1"/>
  <c r="J155" i="110" a="1"/>
  <c r="J155" i="110" s="1"/>
  <c r="L155" i="110" a="1"/>
  <c r="L155" i="110" s="1"/>
  <c r="K155" i="110" a="1"/>
  <c r="K155" i="110" s="1"/>
  <c r="I155" i="110" a="1"/>
  <c r="I155" i="110" s="1"/>
  <c r="G121" i="110" a="1"/>
  <c r="G121" i="110" s="1"/>
  <c r="H159" i="110" a="1"/>
  <c r="H159" i="110" s="1"/>
  <c r="E159" i="110" a="1"/>
  <c r="E159" i="110" s="1"/>
  <c r="F159" i="110" a="1"/>
  <c r="F159" i="110" s="1"/>
  <c r="G149" i="110" a="1"/>
  <c r="G149" i="110" s="1"/>
  <c r="F149" i="110" a="1"/>
  <c r="F149" i="110" s="1"/>
  <c r="E149" i="110" a="1"/>
  <c r="E149" i="110" s="1"/>
  <c r="H149" i="110" a="1"/>
  <c r="H149" i="110" s="1"/>
  <c r="H154" i="110" a="1"/>
  <c r="H154" i="110" s="1"/>
  <c r="G154" i="110" a="1"/>
  <c r="G154" i="110" s="1"/>
  <c r="F154" i="110" a="1"/>
  <c r="F154" i="110" s="1"/>
  <c r="I154" i="110" a="1"/>
  <c r="I154" i="110" s="1"/>
  <c r="J154" i="110" a="1"/>
  <c r="J154" i="110" s="1"/>
  <c r="L154" i="110" a="1"/>
  <c r="L154" i="110" s="1"/>
  <c r="K154" i="110" a="1"/>
  <c r="K154" i="110" s="1"/>
  <c r="H152" i="110" a="1"/>
  <c r="H152" i="110" s="1"/>
  <c r="G152" i="110" a="1"/>
  <c r="G152" i="110" s="1"/>
  <c r="F152" i="110" a="1"/>
  <c r="F152" i="110" s="1"/>
  <c r="K157" i="110" a="1"/>
  <c r="K157" i="110" s="1"/>
  <c r="O157" i="110" s="1" a="1"/>
  <c r="O157" i="110" s="1"/>
  <c r="J157" i="110" a="1"/>
  <c r="J157" i="110" s="1"/>
  <c r="I157" i="110" a="1"/>
  <c r="I157" i="110" s="1"/>
  <c r="G159" i="110" a="1"/>
  <c r="G159" i="110" s="1"/>
  <c r="E8" i="109"/>
  <c r="E50" i="109"/>
  <c r="D36" i="109" a="1"/>
  <c r="I26" i="109"/>
  <c r="K28" i="109" a="1"/>
  <c r="K28" i="109" s="1"/>
  <c r="L28" i="109" s="1"/>
  <c r="I24" i="109"/>
  <c r="I31" i="109"/>
  <c r="K26" i="109" a="1"/>
  <c r="K26" i="109" s="1"/>
  <c r="L26" i="109" s="1"/>
  <c r="I29" i="109"/>
  <c r="K24" i="109" a="1"/>
  <c r="K24" i="109" s="1"/>
  <c r="L24" i="109" s="1"/>
  <c r="K31" i="109" a="1"/>
  <c r="K31" i="109" s="1"/>
  <c r="L31" i="109" s="1"/>
  <c r="I27" i="109"/>
  <c r="K27" i="109" a="1"/>
  <c r="K27" i="109" s="1"/>
  <c r="L27" i="109" s="1"/>
  <c r="K29" i="109" a="1"/>
  <c r="K29" i="109" s="1"/>
  <c r="L29" i="109" s="1"/>
  <c r="I25" i="109"/>
  <c r="K25" i="109" a="1"/>
  <c r="K25" i="109" s="1"/>
  <c r="L25" i="109" s="1"/>
  <c r="I23" i="109"/>
  <c r="I30" i="109"/>
  <c r="K23" i="109" a="1"/>
  <c r="K23" i="109" s="1"/>
  <c r="L23" i="109" s="1"/>
  <c r="K30" i="109" a="1"/>
  <c r="K30" i="109" s="1"/>
  <c r="L30" i="109" s="1"/>
  <c r="I28" i="109"/>
  <c r="E7" i="106"/>
  <c r="L8" i="106"/>
  <c r="F58" i="106"/>
  <c r="F49" i="106"/>
  <c r="F57" i="106"/>
  <c r="F46" i="106"/>
  <c r="F56" i="106"/>
  <c r="F45" i="106"/>
  <c r="F55" i="106"/>
  <c r="F44" i="106"/>
  <c r="F52" i="106"/>
  <c r="F43" i="106"/>
  <c r="F51" i="106"/>
  <c r="F50" i="106"/>
  <c r="D39" i="106"/>
  <c r="L39" i="106" s="1" a="1"/>
  <c r="L39" i="106" s="1"/>
  <c r="D42" i="106"/>
  <c r="D30" i="106"/>
  <c r="L30" i="106" s="1" a="1"/>
  <c r="L30" i="106" s="1"/>
  <c r="D37" i="106"/>
  <c r="L37" i="106" s="1" a="1"/>
  <c r="L37" i="106" s="1"/>
  <c r="D28" i="106"/>
  <c r="L28" i="106" s="1" a="1"/>
  <c r="L28" i="106" s="1"/>
  <c r="D35" i="106"/>
  <c r="L35" i="106" s="1" a="1"/>
  <c r="L35" i="106" s="1"/>
  <c r="D26" i="106"/>
  <c r="L26" i="106" s="1" a="1"/>
  <c r="L26" i="106" s="1"/>
  <c r="D33" i="106"/>
  <c r="L33" i="106" s="1" a="1"/>
  <c r="L33" i="106" s="1"/>
  <c r="Q34" i="106" a="1"/>
  <c r="Q34" i="106" s="1"/>
  <c r="D40" i="106"/>
  <c r="L40" i="106" s="1" a="1"/>
  <c r="L40" i="106" s="1"/>
  <c r="D31" i="106"/>
  <c r="L31" i="106" s="1" a="1"/>
  <c r="L31" i="106" s="1"/>
  <c r="D38" i="106"/>
  <c r="L38" i="106" s="1" a="1"/>
  <c r="L38" i="106" s="1"/>
  <c r="D48" i="106"/>
  <c r="E7" i="105"/>
  <c r="L7" i="105"/>
  <c r="Q34" i="105" a="1"/>
  <c r="Q34" i="105" s="1"/>
  <c r="P34" i="105" a="1"/>
  <c r="P34" i="105" s="1"/>
  <c r="O34" i="105" a="1"/>
  <c r="O34" i="105" s="1"/>
  <c r="N34" i="105" a="1"/>
  <c r="N34" i="105" s="1"/>
  <c r="F70" i="105"/>
  <c r="F61" i="105"/>
  <c r="F51" i="105"/>
  <c r="F69" i="105"/>
  <c r="F50" i="105"/>
  <c r="F58" i="105"/>
  <c r="F68" i="105"/>
  <c r="F49" i="105"/>
  <c r="F57" i="105"/>
  <c r="F67" i="105"/>
  <c r="F56" i="105"/>
  <c r="F46" i="105"/>
  <c r="F64" i="105"/>
  <c r="F55" i="105"/>
  <c r="F45" i="105"/>
  <c r="F63" i="105"/>
  <c r="F44" i="105"/>
  <c r="F62" i="105"/>
  <c r="F52" i="105"/>
  <c r="F43" i="105"/>
  <c r="N36" i="105" a="1"/>
  <c r="N36" i="105" s="1"/>
  <c r="Q36" i="105" a="1"/>
  <c r="Q36" i="105" s="1"/>
  <c r="P36" i="105" a="1"/>
  <c r="P36" i="105" s="1"/>
  <c r="D30" i="105"/>
  <c r="D39" i="105"/>
  <c r="L39" i="105" s="1" a="1"/>
  <c r="L39" i="105" s="1"/>
  <c r="Q35" i="105" a="1"/>
  <c r="Q35" i="105" s="1"/>
  <c r="D54" i="105"/>
  <c r="D29" i="105"/>
  <c r="L29" i="105" s="1" a="1"/>
  <c r="L29" i="105" s="1"/>
  <c r="O36" i="105" a="1"/>
  <c r="O36" i="105" s="1"/>
  <c r="D28" i="105"/>
  <c r="L28" i="105" s="1" a="1"/>
  <c r="L28" i="105" s="1"/>
  <c r="D48" i="105"/>
  <c r="D32" i="105"/>
  <c r="L32" i="105" s="1" a="1"/>
  <c r="L32" i="105" s="1"/>
  <c r="D31" i="105"/>
  <c r="L31" i="105" s="1" a="1"/>
  <c r="L31" i="105" s="1"/>
  <c r="D26" i="105"/>
  <c r="L26" i="105" s="1" a="1"/>
  <c r="L26" i="105" s="1"/>
  <c r="N27" i="105" a="1"/>
  <c r="N27" i="105" s="1"/>
  <c r="D42" i="105"/>
  <c r="I17" i="104"/>
  <c r="E18" i="102" a="1"/>
  <c r="E18" i="102" s="1"/>
  <c r="I57" i="99"/>
  <c r="G37" i="82"/>
  <c r="F121" i="84" s="1"/>
  <c r="G41" i="82"/>
  <c r="P121" i="84" s="1"/>
  <c r="I37" i="82"/>
  <c r="H121" i="84" s="1"/>
  <c r="E54" i="82"/>
  <c r="H37" i="82"/>
  <c r="G121" i="84" s="1"/>
  <c r="F41" i="82"/>
  <c r="O121" i="84" s="1"/>
  <c r="H41" i="82"/>
  <c r="Q121" i="84" s="1"/>
  <c r="I41" i="82"/>
  <c r="R121" i="84" s="1"/>
  <c r="E53" i="82"/>
  <c r="J44" i="90"/>
  <c r="E49" i="99"/>
  <c r="E7" i="99"/>
  <c r="F112" i="98" a="1"/>
  <c r="F112" i="98" s="1"/>
  <c r="E144" i="98" s="1"/>
  <c r="F105" i="98" a="1"/>
  <c r="F105" i="98" s="1"/>
  <c r="E137" i="98" s="1"/>
  <c r="F107" i="98" a="1"/>
  <c r="F107" i="98" s="1"/>
  <c r="E139" i="98" s="1"/>
  <c r="F108" i="98" a="1"/>
  <c r="F108" i="98" s="1"/>
  <c r="E140" i="98" s="1"/>
  <c r="F109" i="98" a="1"/>
  <c r="F109" i="98" s="1"/>
  <c r="E141" i="98" s="1"/>
  <c r="F110" i="98" a="1"/>
  <c r="F110" i="98" s="1"/>
  <c r="E142" i="98" s="1"/>
  <c r="F111" i="98" a="1"/>
  <c r="F111" i="98" s="1"/>
  <c r="E143" i="98" s="1"/>
  <c r="E43" i="98"/>
  <c r="E118" i="98"/>
  <c r="E7" i="98"/>
  <c r="E90" i="98"/>
  <c r="F79" i="98"/>
  <c r="G59" i="98"/>
  <c r="E41" i="82"/>
  <c r="N121" i="84" s="1"/>
  <c r="D40" i="93"/>
  <c r="E7" i="97"/>
  <c r="E38" i="96"/>
  <c r="E7" i="96"/>
  <c r="E7" i="95"/>
  <c r="E43" i="95"/>
  <c r="F78" i="95"/>
  <c r="F58" i="95"/>
  <c r="E37" i="82"/>
  <c r="D121" i="84" s="1"/>
  <c r="E42" i="94"/>
  <c r="N85" i="94"/>
  <c r="E7" i="94"/>
  <c r="F60" i="94"/>
  <c r="O110" i="94"/>
  <c r="O182" i="92"/>
  <c r="R180" i="92"/>
  <c r="X13" i="93"/>
  <c r="X12" i="93"/>
  <c r="E8" i="92"/>
  <c r="E31" i="92"/>
  <c r="E57" i="92"/>
  <c r="E139" i="92"/>
  <c r="E121" i="92"/>
  <c r="E86" i="92"/>
  <c r="I115" i="92"/>
  <c r="R115" i="92"/>
  <c r="R24" i="92"/>
  <c r="I24" i="92"/>
  <c r="I132" i="92"/>
  <c r="R132" i="92"/>
  <c r="M50" i="92" a="1"/>
  <c r="M50" i="92" s="1"/>
  <c r="D75" i="92"/>
  <c r="I170" i="92"/>
  <c r="G148" i="92"/>
  <c r="I160" i="92" s="1"/>
  <c r="I165" i="92"/>
  <c r="R170" i="92"/>
  <c r="F182" i="92"/>
  <c r="R80" i="92"/>
  <c r="I180" i="92"/>
  <c r="R165" i="92"/>
  <c r="E40" i="82"/>
  <c r="I36" i="82"/>
  <c r="H36" i="82"/>
  <c r="F40" i="82"/>
  <c r="G36" i="82"/>
  <c r="F36" i="82"/>
  <c r="G40" i="82"/>
  <c r="I40" i="82"/>
  <c r="E36" i="82"/>
  <c r="H40" i="82"/>
  <c r="V23" i="90"/>
  <c r="E7" i="90"/>
  <c r="Q26" i="89"/>
  <c r="V24" i="89"/>
  <c r="V19" i="89"/>
  <c r="K24" i="89"/>
  <c r="F26" i="89"/>
  <c r="Q47" i="90"/>
  <c r="F47" i="90"/>
  <c r="V28" i="90"/>
  <c r="K28" i="90"/>
  <c r="F30" i="90"/>
  <c r="K23" i="90"/>
  <c r="E7" i="89"/>
  <c r="Q45" i="89"/>
  <c r="F45" i="89"/>
  <c r="K19" i="89"/>
  <c r="D38" i="89"/>
  <c r="O38" i="89" s="1"/>
  <c r="I55" i="84"/>
  <c r="E7" i="88"/>
  <c r="E37" i="88"/>
  <c r="K31" i="88"/>
  <c r="V31" i="88"/>
  <c r="K52" i="87"/>
  <c r="G13" i="88"/>
  <c r="V51" i="88"/>
  <c r="V25" i="88"/>
  <c r="I171" i="84"/>
  <c r="V52" i="87"/>
  <c r="K51" i="88"/>
  <c r="F53" i="88"/>
  <c r="E91" i="87"/>
  <c r="E7" i="87"/>
  <c r="Q115" i="87"/>
  <c r="K76" i="87"/>
  <c r="V76" i="87"/>
  <c r="F115" i="87"/>
  <c r="F85" i="87"/>
  <c r="Q85" i="87"/>
  <c r="Q148" i="87"/>
  <c r="K106" i="87"/>
  <c r="K146" i="87"/>
  <c r="K142" i="87"/>
  <c r="V106" i="87"/>
  <c r="F148" i="87"/>
  <c r="K145" i="87"/>
  <c r="K143" i="87"/>
  <c r="K139" i="87"/>
  <c r="V139" i="87"/>
  <c r="K144" i="87"/>
  <c r="K140" i="87"/>
  <c r="K141" i="87"/>
  <c r="G127" i="87"/>
  <c r="G13" i="87"/>
  <c r="G162" i="83"/>
  <c r="E36" i="86"/>
  <c r="E7" i="86"/>
  <c r="K29" i="86"/>
  <c r="V29" i="86"/>
  <c r="K23" i="86"/>
  <c r="V23" i="86"/>
  <c r="V49" i="86"/>
  <c r="Q52" i="86"/>
  <c r="F52" i="86"/>
  <c r="K49" i="86"/>
  <c r="I95" i="82"/>
  <c r="E7" i="85"/>
  <c r="K40" i="85"/>
  <c r="Q49" i="85"/>
  <c r="V40" i="85"/>
  <c r="F49" i="85"/>
  <c r="Q68" i="85"/>
  <c r="F68" i="85"/>
  <c r="E119" i="82"/>
  <c r="G13" i="85"/>
  <c r="D61" i="85"/>
  <c r="O61" i="85" s="1"/>
  <c r="E132" i="84"/>
  <c r="E153" i="84"/>
  <c r="E219" i="84"/>
  <c r="E7" i="84"/>
  <c r="E109" i="84"/>
  <c r="E183" i="84"/>
  <c r="E256" i="84"/>
  <c r="E35" i="84"/>
  <c r="E72" i="84"/>
  <c r="S213" i="84"/>
  <c r="I213" i="84"/>
  <c r="I29" i="84"/>
  <c r="S29" i="84"/>
  <c r="S176" i="84"/>
  <c r="I176" i="84"/>
  <c r="P287" i="84"/>
  <c r="F287" i="84"/>
  <c r="I146" i="84"/>
  <c r="S146" i="84"/>
  <c r="I103" i="84"/>
  <c r="S103" i="84"/>
  <c r="S126" i="84"/>
  <c r="I126" i="84"/>
  <c r="I65" i="84"/>
  <c r="S65" i="84"/>
  <c r="I98" i="84"/>
  <c r="S121" i="84"/>
  <c r="I203" i="84"/>
  <c r="S208" i="84"/>
  <c r="S203" i="84"/>
  <c r="K173" i="83"/>
  <c r="G78" i="84"/>
  <c r="I114" i="83"/>
  <c r="S88" i="84"/>
  <c r="S98" i="84"/>
  <c r="I88" i="84"/>
  <c r="I133" i="83"/>
  <c r="I121" i="84"/>
  <c r="I24" i="83"/>
  <c r="I208" i="84"/>
  <c r="I198" i="84"/>
  <c r="E120" i="83"/>
  <c r="E8" i="83"/>
  <c r="E139" i="83"/>
  <c r="E85" i="83"/>
  <c r="E252" i="83"/>
  <c r="E31" i="83"/>
  <c r="E56" i="83"/>
  <c r="E186" i="83"/>
  <c r="E212" i="83"/>
  <c r="V205" i="83"/>
  <c r="K206" i="83"/>
  <c r="V206" i="83"/>
  <c r="K205" i="83"/>
  <c r="T79" i="83"/>
  <c r="I79" i="83"/>
  <c r="I60" i="84" s="1"/>
  <c r="I119" i="82"/>
  <c r="H119" i="82"/>
  <c r="F119" i="82"/>
  <c r="Q300" i="83"/>
  <c r="F300" i="83"/>
  <c r="K151" i="83"/>
  <c r="V152" i="83"/>
  <c r="K237" i="83"/>
  <c r="V237" i="83"/>
  <c r="I45" i="83"/>
  <c r="O50" i="83" a="1"/>
  <c r="O50" i="83" s="1"/>
  <c r="N88" i="84" s="1"/>
  <c r="R162" i="83"/>
  <c r="F95" i="82"/>
  <c r="I120" i="82"/>
  <c r="G95" i="82"/>
  <c r="H95" i="82"/>
  <c r="D110" i="82"/>
  <c r="D90" i="82"/>
  <c r="G119" i="82"/>
  <c r="D109" i="82"/>
  <c r="D80" i="82"/>
  <c r="D81" i="82"/>
  <c r="D92" i="82"/>
  <c r="E120" i="82"/>
  <c r="F120" i="82"/>
  <c r="D104" i="82"/>
  <c r="D114" i="82"/>
  <c r="G120" i="82"/>
  <c r="E95" i="82"/>
  <c r="H120" i="82"/>
  <c r="I42" i="13"/>
  <c r="G88" i="124" l="1" a="1"/>
  <c r="G88" i="124" s="1"/>
  <c r="J70" i="124" a="1"/>
  <c r="J70" i="124" s="1"/>
  <c r="I149" i="124" a="1"/>
  <c r="I149" i="124" s="1"/>
  <c r="G67" i="124" a="1"/>
  <c r="G67" i="124" s="1"/>
  <c r="W260" i="124" a="1"/>
  <c r="W260" i="124" s="1"/>
  <c r="H231" i="84" a="1"/>
  <c r="H231" i="84" s="1"/>
  <c r="H232" i="84" a="1"/>
  <c r="H232" i="84" s="1"/>
  <c r="H233" i="84" a="1"/>
  <c r="H233" i="84" s="1"/>
  <c r="H234" i="84" a="1"/>
  <c r="H234" i="84" s="1"/>
  <c r="J173" i="112" a="1"/>
  <c r="J173" i="112" s="1"/>
  <c r="E67" i="87"/>
  <c r="P199" i="83"/>
  <c r="E199" i="83"/>
  <c r="J168" i="112" a="1"/>
  <c r="J168" i="112" s="1"/>
  <c r="J185" i="112" a="1"/>
  <c r="J185" i="112" s="1"/>
  <c r="J132" i="112" a="1"/>
  <c r="J132" i="112" s="1"/>
  <c r="K37" i="105" a="1"/>
  <c r="K37" i="105" s="1"/>
  <c r="M100" i="92"/>
  <c r="O99" i="83"/>
  <c r="N19" i="84"/>
  <c r="N29" i="84" s="1" a="1"/>
  <c r="N29" i="84" s="1"/>
  <c r="N105" i="92"/>
  <c r="O98" i="84"/>
  <c r="P104" i="83"/>
  <c r="G165" i="92"/>
  <c r="G171" i="84"/>
  <c r="G275" i="83"/>
  <c r="V13" i="93"/>
  <c r="V21" i="93"/>
  <c r="X21" i="93" s="1"/>
  <c r="R19" i="83"/>
  <c r="R24" i="83" s="1" a="1"/>
  <c r="R24" i="83" s="1"/>
  <c r="R79" i="83" s="1" a="1"/>
  <c r="R79" i="83" s="1"/>
  <c r="P19" i="92"/>
  <c r="P24" i="92" s="1" a="1"/>
  <c r="P24" i="92" s="1"/>
  <c r="P80" i="92" s="1" a="1"/>
  <c r="P80" i="92" s="1"/>
  <c r="J84" i="124" a="1"/>
  <c r="J84" i="124" s="1"/>
  <c r="J86" i="124" a="1"/>
  <c r="J86" i="124" s="1"/>
  <c r="J177" i="112" a="1"/>
  <c r="J177" i="112" s="1"/>
  <c r="S238" i="84" a="1"/>
  <c r="S238" i="84" s="1"/>
  <c r="S235" i="84" a="1"/>
  <c r="S235" i="84" s="1"/>
  <c r="S237" i="84" a="1"/>
  <c r="S237" i="84" s="1"/>
  <c r="S236" i="84" a="1"/>
  <c r="S236" i="84" s="1"/>
  <c r="G25" i="105" a="1"/>
  <c r="G25" i="105" s="1"/>
  <c r="J122" i="112" a="1"/>
  <c r="J122" i="112" s="1"/>
  <c r="N100" i="92"/>
  <c r="P99" i="83"/>
  <c r="O19" i="84"/>
  <c r="O29" i="84" s="1" a="1"/>
  <c r="O29" i="84" s="1"/>
  <c r="S232" i="84" a="1"/>
  <c r="S232" i="84" s="1"/>
  <c r="S231" i="84" a="1"/>
  <c r="S231" i="84" s="1"/>
  <c r="S234" i="84" a="1"/>
  <c r="S234" i="84" s="1"/>
  <c r="S233" i="84" a="1"/>
  <c r="S233" i="84" s="1"/>
  <c r="H165" i="92"/>
  <c r="H275" i="83"/>
  <c r="H203" i="84"/>
  <c r="V236" i="124" a="1"/>
  <c r="V236" i="124" s="1"/>
  <c r="D19" i="92"/>
  <c r="D24" i="92" s="1" a="1"/>
  <c r="D24" i="92" s="1"/>
  <c r="D19" i="83"/>
  <c r="D24" i="83" s="1" a="1"/>
  <c r="D24" i="83" s="1"/>
  <c r="G81" i="124" a="1"/>
  <c r="G81" i="124" s="1"/>
  <c r="G83" i="124" a="1"/>
  <c r="G83" i="124" s="1"/>
  <c r="J67" i="124" a="1"/>
  <c r="J67" i="124" s="1"/>
  <c r="W253" i="124" a="1"/>
  <c r="W253" i="124" s="1"/>
  <c r="H33" i="106"/>
  <c r="G33" i="106"/>
  <c r="K33" i="106"/>
  <c r="J33" i="106"/>
  <c r="I33" i="106"/>
  <c r="F154" i="83" a="1"/>
  <c r="F232" i="84" a="1"/>
  <c r="F232" i="84" s="1"/>
  <c r="F199" i="83" a="1"/>
  <c r="F231" i="84" a="1"/>
  <c r="F231" i="84" s="1"/>
  <c r="F233" i="84" a="1"/>
  <c r="F233" i="84" s="1"/>
  <c r="F234" i="84" a="1"/>
  <c r="F234" i="84" s="1"/>
  <c r="F153" i="83" a="1"/>
  <c r="F152" i="83" a="1"/>
  <c r="J135" i="112" a="1"/>
  <c r="J135" i="112" s="1"/>
  <c r="J123" i="112" a="1"/>
  <c r="J123" i="112" s="1"/>
  <c r="G37" i="105" a="1"/>
  <c r="G37" i="105" s="1"/>
  <c r="J237" i="84" a="1"/>
  <c r="J237" i="84" s="1"/>
  <c r="J236" i="84" a="1"/>
  <c r="J236" i="84" s="1"/>
  <c r="J235" i="84" a="1"/>
  <c r="J235" i="84" s="1"/>
  <c r="J238" i="84" a="1"/>
  <c r="J238" i="84" s="1"/>
  <c r="O100" i="92"/>
  <c r="P19" i="84"/>
  <c r="P29" i="84" s="1" a="1"/>
  <c r="P29" i="84" s="1"/>
  <c r="Q99" i="83"/>
  <c r="D170" i="92"/>
  <c r="N208" i="84"/>
  <c r="D285" i="83"/>
  <c r="D208" i="84"/>
  <c r="V18" i="93"/>
  <c r="X18" i="93" s="1"/>
  <c r="K25" i="106"/>
  <c r="J25" i="106"/>
  <c r="G25" i="106"/>
  <c r="I25" i="106"/>
  <c r="H25" i="106"/>
  <c r="J161" i="112" a="1"/>
  <c r="J161" i="112" s="1"/>
  <c r="J175" i="112" a="1"/>
  <c r="J175" i="112" s="1"/>
  <c r="F151" i="83" a="1"/>
  <c r="F25" i="88"/>
  <c r="R238" i="84" a="1"/>
  <c r="R238" i="84" s="1"/>
  <c r="R235" i="84" a="1"/>
  <c r="R235" i="84" s="1"/>
  <c r="R237" i="84" a="1"/>
  <c r="R237" i="84" s="1"/>
  <c r="R236" i="84" a="1"/>
  <c r="R236" i="84" s="1"/>
  <c r="J158" i="112" a="1"/>
  <c r="J158" i="112" s="1"/>
  <c r="F71" i="109" a="1"/>
  <c r="F71" i="109" s="1"/>
  <c r="D100" i="92"/>
  <c r="D19" i="84"/>
  <c r="D29" i="84" s="1" a="1"/>
  <c r="D29" i="84" s="1"/>
  <c r="D99" i="83"/>
  <c r="O208" i="84"/>
  <c r="E208" i="84"/>
  <c r="E285" i="83"/>
  <c r="D19" i="98"/>
  <c r="F19" i="98" s="1" a="1"/>
  <c r="F19" i="98" s="1"/>
  <c r="G19" i="98" s="1" a="1"/>
  <c r="G19" i="98" s="1"/>
  <c r="F35" i="98" a="1"/>
  <c r="F35" i="98" s="1"/>
  <c r="G35" i="98" s="1" a="1"/>
  <c r="G35" i="98" s="1"/>
  <c r="F28" i="98" a="1"/>
  <c r="F28" i="98" s="1"/>
  <c r="G28" i="98" s="1" a="1"/>
  <c r="G28" i="98" s="1"/>
  <c r="F21" i="98" a="1"/>
  <c r="F21" i="98" s="1"/>
  <c r="G21" i="98" s="1" a="1"/>
  <c r="G21" i="98" s="1"/>
  <c r="F31" i="98" a="1"/>
  <c r="F31" i="98" s="1"/>
  <c r="G31" i="98" s="1" a="1"/>
  <c r="G31" i="98" s="1"/>
  <c r="F24" i="98" a="1"/>
  <c r="F24" i="98" s="1"/>
  <c r="G24" i="98" s="1" a="1"/>
  <c r="G24" i="98" s="1"/>
  <c r="F37" i="98" a="1"/>
  <c r="F37" i="98" s="1"/>
  <c r="G37" i="98" s="1" a="1"/>
  <c r="G37" i="98" s="1"/>
  <c r="F30" i="98" a="1"/>
  <c r="F30" i="98" s="1"/>
  <c r="G30" i="98" s="1" a="1"/>
  <c r="G30" i="98" s="1"/>
  <c r="F23" i="98" a="1"/>
  <c r="F23" i="98" s="1"/>
  <c r="G23" i="98" s="1" a="1"/>
  <c r="G23" i="98" s="1"/>
  <c r="F36" i="98" a="1"/>
  <c r="F36" i="98" s="1"/>
  <c r="G36" i="98" s="1" a="1"/>
  <c r="G36" i="98" s="1"/>
  <c r="F29" i="98" a="1"/>
  <c r="F29" i="98" s="1"/>
  <c r="G29" i="98" s="1" a="1"/>
  <c r="G29" i="98" s="1"/>
  <c r="F22" i="98" a="1"/>
  <c r="F22" i="98" s="1"/>
  <c r="G22" i="98" s="1" a="1"/>
  <c r="G22" i="98" s="1"/>
  <c r="F25" i="98" a="1"/>
  <c r="F25" i="98" s="1"/>
  <c r="G25" i="98" s="1" a="1"/>
  <c r="G25" i="98" s="1"/>
  <c r="F20" i="98" a="1"/>
  <c r="F20" i="98" s="1"/>
  <c r="G20" i="98" s="1" a="1"/>
  <c r="G20" i="98" s="1"/>
  <c r="F34" i="98" a="1"/>
  <c r="F34" i="98" s="1"/>
  <c r="G34" i="98" s="1" a="1"/>
  <c r="G34" i="98" s="1"/>
  <c r="F33" i="98" a="1"/>
  <c r="F33" i="98" s="1"/>
  <c r="G33" i="98" s="1" a="1"/>
  <c r="G33" i="98" s="1"/>
  <c r="F32" i="98" a="1"/>
  <c r="F32" i="98" s="1"/>
  <c r="G32" i="98" s="1" a="1"/>
  <c r="G32" i="98" s="1"/>
  <c r="F27" i="98" a="1"/>
  <c r="F27" i="98" s="1"/>
  <c r="G27" i="98" s="1" a="1"/>
  <c r="G27" i="98" s="1"/>
  <c r="F26" i="98" a="1"/>
  <c r="F26" i="98" s="1"/>
  <c r="G26" i="98" s="1" a="1"/>
  <c r="G26" i="98" s="1"/>
  <c r="D19" i="95"/>
  <c r="F19" i="95" s="1" a="1"/>
  <c r="F19" i="95" s="1"/>
  <c r="F31" i="95" a="1"/>
  <c r="F31" i="95" s="1"/>
  <c r="F30" i="95" a="1"/>
  <c r="F30" i="95" s="1"/>
  <c r="F27" i="95" a="1"/>
  <c r="F27" i="95" s="1"/>
  <c r="F37" i="95" a="1"/>
  <c r="F37" i="95" s="1"/>
  <c r="F23" i="95" a="1"/>
  <c r="F23" i="95" s="1"/>
  <c r="F35" i="95" a="1"/>
  <c r="F35" i="95" s="1"/>
  <c r="F22" i="95" a="1"/>
  <c r="F22" i="95" s="1"/>
  <c r="F34" i="95" a="1"/>
  <c r="F34" i="95" s="1"/>
  <c r="F21" i="95" a="1"/>
  <c r="F21" i="95" s="1"/>
  <c r="F33" i="95" a="1"/>
  <c r="F33" i="95" s="1"/>
  <c r="F20" i="95" a="1"/>
  <c r="F20" i="95" s="1"/>
  <c r="F32" i="95" a="1"/>
  <c r="F32" i="95" s="1"/>
  <c r="F36" i="95" a="1"/>
  <c r="F36" i="95" s="1"/>
  <c r="F29" i="95" a="1"/>
  <c r="F29" i="95" s="1"/>
  <c r="F28" i="95" a="1"/>
  <c r="F28" i="95" s="1"/>
  <c r="F26" i="95" a="1"/>
  <c r="F26" i="95" s="1"/>
  <c r="F25" i="95" a="1"/>
  <c r="F25" i="95" s="1"/>
  <c r="F24" i="95" a="1"/>
  <c r="F24" i="95" s="1"/>
  <c r="AG236" i="124"/>
  <c r="L30" i="105" a="1"/>
  <c r="L30" i="105" s="1"/>
  <c r="Q30" i="105" s="1" a="1"/>
  <c r="Q30" i="105" s="1"/>
  <c r="P76" i="87"/>
  <c r="E163" i="83"/>
  <c r="P174" i="83"/>
  <c r="P52" i="87"/>
  <c r="P40" i="87"/>
  <c r="O278" i="84"/>
  <c r="P139" i="87"/>
  <c r="E64" i="87"/>
  <c r="E52" i="87"/>
  <c r="E40" i="87"/>
  <c r="P40" i="85"/>
  <c r="P19" i="85"/>
  <c r="P163" i="83"/>
  <c r="E40" i="85"/>
  <c r="E19" i="85"/>
  <c r="E278" i="84"/>
  <c r="E231" i="84"/>
  <c r="E76" i="87"/>
  <c r="E139" i="87"/>
  <c r="P291" i="83"/>
  <c r="O243" i="84"/>
  <c r="P152" i="83"/>
  <c r="D82" i="82"/>
  <c r="E291" i="83"/>
  <c r="E127" i="87"/>
  <c r="E243" i="84"/>
  <c r="P238" i="83"/>
  <c r="P106" i="87"/>
  <c r="E238" i="83"/>
  <c r="E174" i="83"/>
  <c r="E106" i="87"/>
  <c r="O231" i="84"/>
  <c r="E152" i="83"/>
  <c r="E21" i="112"/>
  <c r="H21" i="112" s="1" a="1"/>
  <c r="H21" i="112" s="1"/>
  <c r="H53" i="112" a="1"/>
  <c r="H53" i="112" s="1"/>
  <c r="H45" i="112" a="1"/>
  <c r="H45" i="112" s="1"/>
  <c r="H37" i="112" a="1"/>
  <c r="H37" i="112" s="1"/>
  <c r="H29" i="112" a="1"/>
  <c r="H29" i="112" s="1"/>
  <c r="H22" i="112" a="1"/>
  <c r="H22" i="112" s="1"/>
  <c r="H48" i="112" a="1"/>
  <c r="H48" i="112" s="1"/>
  <c r="H40" i="112" a="1"/>
  <c r="H40" i="112" s="1"/>
  <c r="H33" i="112" a="1"/>
  <c r="H33" i="112" s="1"/>
  <c r="H25" i="112" a="1"/>
  <c r="H25" i="112" s="1"/>
  <c r="H47" i="112" a="1"/>
  <c r="H47" i="112" s="1"/>
  <c r="H39" i="112" a="1"/>
  <c r="H39" i="112" s="1"/>
  <c r="H31" i="112" a="1"/>
  <c r="H31" i="112" s="1"/>
  <c r="H24" i="112" a="1"/>
  <c r="H24" i="112" s="1"/>
  <c r="H54" i="112" a="1"/>
  <c r="H54" i="112" s="1"/>
  <c r="H46" i="112" a="1"/>
  <c r="H46" i="112" s="1"/>
  <c r="H38" i="112" a="1"/>
  <c r="H38" i="112" s="1"/>
  <c r="H30" i="112" a="1"/>
  <c r="H30" i="112" s="1"/>
  <c r="H23" i="112" a="1"/>
  <c r="H23" i="112" s="1"/>
  <c r="H34" i="112" a="1"/>
  <c r="H34" i="112" s="1"/>
  <c r="H52" i="112" a="1"/>
  <c r="H52" i="112" s="1"/>
  <c r="H51" i="112" a="1"/>
  <c r="H51" i="112" s="1"/>
  <c r="H28" i="112" a="1"/>
  <c r="H28" i="112" s="1"/>
  <c r="H27" i="112" a="1"/>
  <c r="H27" i="112" s="1"/>
  <c r="H50" i="112" a="1"/>
  <c r="H50" i="112" s="1"/>
  <c r="H26" i="112" a="1"/>
  <c r="H26" i="112" s="1"/>
  <c r="H44" i="112" a="1"/>
  <c r="H44" i="112" s="1"/>
  <c r="H42" i="112" a="1"/>
  <c r="H42" i="112" s="1"/>
  <c r="H41" i="112" a="1"/>
  <c r="H41" i="112" s="1"/>
  <c r="H36" i="112" a="1"/>
  <c r="H36" i="112" s="1"/>
  <c r="H35" i="112" a="1"/>
  <c r="H35" i="112" s="1"/>
  <c r="I238" i="84" a="1"/>
  <c r="I238" i="84" s="1"/>
  <c r="I237" i="84" a="1"/>
  <c r="I237" i="84" s="1"/>
  <c r="I236" i="84" a="1"/>
  <c r="I236" i="84" s="1"/>
  <c r="I235" i="84" a="1"/>
  <c r="I235" i="84" s="1"/>
  <c r="E100" i="92"/>
  <c r="E99" i="83"/>
  <c r="E19" i="84"/>
  <c r="E29" i="84" s="1" a="1"/>
  <c r="E29" i="84" s="1"/>
  <c r="F285" i="83"/>
  <c r="F208" i="84"/>
  <c r="U236" i="124"/>
  <c r="V19" i="93"/>
  <c r="X19" i="93" s="1"/>
  <c r="E19" i="92"/>
  <c r="E24" i="92" s="1" a="1"/>
  <c r="E24" i="92" s="1"/>
  <c r="E80" i="92" s="1" a="1"/>
  <c r="E80" i="92" s="1"/>
  <c r="E19" i="83"/>
  <c r="E24" i="83" s="1" a="1"/>
  <c r="E24" i="83" s="1"/>
  <c r="E79" i="83" s="1" a="1"/>
  <c r="E79" i="83" s="1"/>
  <c r="G86" i="124" a="1"/>
  <c r="G86" i="124" s="1"/>
  <c r="J88" i="124" a="1"/>
  <c r="J88" i="124" s="1"/>
  <c r="J159" i="112" a="1"/>
  <c r="J159" i="112" s="1"/>
  <c r="I37" i="105" a="1"/>
  <c r="I37" i="105" s="1"/>
  <c r="F100" i="92"/>
  <c r="F19" i="84"/>
  <c r="F29" i="84" s="1" a="1"/>
  <c r="F29" i="84" s="1"/>
  <c r="F99" i="83"/>
  <c r="P105" i="92"/>
  <c r="Q98" i="84"/>
  <c r="R104" i="83"/>
  <c r="G285" i="83"/>
  <c r="G208" i="84"/>
  <c r="Q208" i="84"/>
  <c r="AD236" i="124" a="1"/>
  <c r="AD236" i="124" s="1"/>
  <c r="V14" i="93"/>
  <c r="V15" i="93"/>
  <c r="X15" i="93" s="1"/>
  <c r="F19" i="92"/>
  <c r="F24" i="92" s="1" a="1"/>
  <c r="F24" i="92" s="1"/>
  <c r="F80" i="92" s="1" a="1"/>
  <c r="F80" i="92" s="1"/>
  <c r="F19" i="83"/>
  <c r="F24" i="83" s="1" a="1"/>
  <c r="F24" i="83" s="1"/>
  <c r="F79" i="83" s="1" a="1"/>
  <c r="F79" i="83" s="1"/>
  <c r="H30" i="106"/>
  <c r="G30" i="106"/>
  <c r="K30" i="106"/>
  <c r="J30" i="106"/>
  <c r="I30" i="106"/>
  <c r="P46" i="85"/>
  <c r="P145" i="87"/>
  <c r="E46" i="87"/>
  <c r="P82" i="87"/>
  <c r="E70" i="87"/>
  <c r="P58" i="87"/>
  <c r="P46" i="87"/>
  <c r="O249" i="84"/>
  <c r="P168" i="83"/>
  <c r="P112" i="87"/>
  <c r="E82" i="87"/>
  <c r="O237" i="84"/>
  <c r="P244" i="83"/>
  <c r="P179" i="83"/>
  <c r="P297" i="83"/>
  <c r="E244" i="83"/>
  <c r="E168" i="83"/>
  <c r="E58" i="87"/>
  <c r="E249" i="84"/>
  <c r="E297" i="83"/>
  <c r="P25" i="85"/>
  <c r="E179" i="83"/>
  <c r="E112" i="87"/>
  <c r="O284" i="84"/>
  <c r="E157" i="83"/>
  <c r="E133" i="87"/>
  <c r="D115" i="82"/>
  <c r="E145" i="87"/>
  <c r="E284" i="84"/>
  <c r="E237" i="84"/>
  <c r="E25" i="85"/>
  <c r="P157" i="83"/>
  <c r="E46" i="85"/>
  <c r="D116" i="82"/>
  <c r="P80" i="87"/>
  <c r="E68" i="87"/>
  <c r="O247" i="84"/>
  <c r="P56" i="87"/>
  <c r="P44" i="87"/>
  <c r="O282" i="84"/>
  <c r="E166" i="83"/>
  <c r="P143" i="87"/>
  <c r="E56" i="87"/>
  <c r="E44" i="87"/>
  <c r="E80" i="87"/>
  <c r="E131" i="87"/>
  <c r="P44" i="85"/>
  <c r="P23" i="85"/>
  <c r="O235" i="84"/>
  <c r="E44" i="85"/>
  <c r="E23" i="85"/>
  <c r="D106" i="82"/>
  <c r="E282" i="84"/>
  <c r="P155" i="83"/>
  <c r="E143" i="87"/>
  <c r="D105" i="82"/>
  <c r="P110" i="87"/>
  <c r="E155" i="83"/>
  <c r="E242" i="83"/>
  <c r="E295" i="83"/>
  <c r="E110" i="87"/>
  <c r="P177" i="83"/>
  <c r="E235" i="84"/>
  <c r="E177" i="83"/>
  <c r="P166" i="83"/>
  <c r="E247" i="84"/>
  <c r="P295" i="83"/>
  <c r="P242" i="83"/>
  <c r="K28" i="106"/>
  <c r="H28" i="106"/>
  <c r="J28" i="106"/>
  <c r="I28" i="106"/>
  <c r="G28" i="106"/>
  <c r="F69" i="109" a="1"/>
  <c r="F69" i="109" s="1"/>
  <c r="G105" i="92"/>
  <c r="G98" i="84"/>
  <c r="G104" i="83"/>
  <c r="F106" i="98" a="1"/>
  <c r="F106" i="98" s="1"/>
  <c r="E138" i="98" s="1"/>
  <c r="H208" i="84"/>
  <c r="H285" i="83"/>
  <c r="R236" i="124" a="1"/>
  <c r="R236" i="124" s="1"/>
  <c r="AL236" i="124" a="1"/>
  <c r="AL236" i="124" s="1"/>
  <c r="P19" i="83"/>
  <c r="P24" i="83" s="1" a="1"/>
  <c r="P24" i="83" s="1"/>
  <c r="P79" i="83" s="1" a="1"/>
  <c r="P79" i="83" s="1"/>
  <c r="P114" i="83" s="1" a="1"/>
  <c r="P114" i="83" s="1"/>
  <c r="N19" i="92"/>
  <c r="N24" i="92" s="1" a="1"/>
  <c r="N24" i="92" s="1"/>
  <c r="N80" i="92" s="1" a="1"/>
  <c r="N80" i="92" s="1"/>
  <c r="N115" i="92" s="1" a="1"/>
  <c r="N115" i="92" s="1"/>
  <c r="N132" i="92" s="1" a="1"/>
  <c r="N132" i="92" s="1"/>
  <c r="M80" i="92" a="1"/>
  <c r="M80" i="92" s="1"/>
  <c r="J85" i="124" a="1"/>
  <c r="J85" i="124" s="1"/>
  <c r="G87" i="124" a="1"/>
  <c r="G87" i="124" s="1"/>
  <c r="R231" i="84" a="1"/>
  <c r="R231" i="84" s="1"/>
  <c r="R234" i="84" a="1"/>
  <c r="R234" i="84" s="1"/>
  <c r="R232" i="84" a="1"/>
  <c r="R232" i="84" s="1"/>
  <c r="R233" i="84" a="1"/>
  <c r="R233" i="84" s="1"/>
  <c r="Q153" i="83" a="1"/>
  <c r="Q152" i="83" a="1"/>
  <c r="Q199" i="83" a="1"/>
  <c r="P234" i="84" a="1"/>
  <c r="P234" i="84" s="1"/>
  <c r="P233" i="84" a="1"/>
  <c r="P233" i="84" s="1"/>
  <c r="P232" i="84" a="1"/>
  <c r="P232" i="84" s="1"/>
  <c r="Q154" i="83" a="1"/>
  <c r="P231" i="84" a="1"/>
  <c r="P231" i="84" s="1"/>
  <c r="J176" i="112" a="1"/>
  <c r="J176" i="112" s="1"/>
  <c r="J37" i="105" a="1"/>
  <c r="J37" i="105" s="1"/>
  <c r="D21" i="112"/>
  <c r="G187" i="112" a="1"/>
  <c r="G187" i="112" s="1"/>
  <c r="G176" i="112" a="1"/>
  <c r="G176" i="112" s="1"/>
  <c r="G143" i="112" a="1"/>
  <c r="G143" i="112" s="1"/>
  <c r="G124" i="112" a="1"/>
  <c r="G124" i="112" s="1"/>
  <c r="G117" i="112" a="1"/>
  <c r="G117" i="112" s="1"/>
  <c r="G54" i="112" a="1"/>
  <c r="G54" i="112" s="1"/>
  <c r="G46" i="112" a="1"/>
  <c r="G46" i="112" s="1"/>
  <c r="G38" i="112" a="1"/>
  <c r="G38" i="112" s="1"/>
  <c r="G30" i="112" a="1"/>
  <c r="G30" i="112" s="1"/>
  <c r="G23" i="112" a="1"/>
  <c r="G23" i="112" s="1"/>
  <c r="G186" i="112" a="1"/>
  <c r="G186" i="112" s="1"/>
  <c r="G166" i="112" a="1"/>
  <c r="G166" i="112" s="1"/>
  <c r="G159" i="112" a="1"/>
  <c r="G159" i="112" s="1"/>
  <c r="G142" i="112" a="1"/>
  <c r="G142" i="112" s="1"/>
  <c r="G133" i="112" a="1"/>
  <c r="G133" i="112" s="1"/>
  <c r="G175" i="112" a="1"/>
  <c r="G175" i="112" s="1"/>
  <c r="I175" i="112" s="1"/>
  <c r="K175" i="112" s="1" a="1"/>
  <c r="K175" i="112" s="1"/>
  <c r="G183" i="112" a="1"/>
  <c r="G183" i="112" s="1"/>
  <c r="G174" i="112" a="1"/>
  <c r="G174" i="112" s="1"/>
  <c r="G139" i="112" a="1"/>
  <c r="G139" i="112" s="1"/>
  <c r="G131" i="112" a="1"/>
  <c r="G131" i="112" s="1"/>
  <c r="G122" i="112" a="1"/>
  <c r="G122" i="112" s="1"/>
  <c r="G52" i="112" a="1"/>
  <c r="G52" i="112" s="1"/>
  <c r="I52" i="112" s="1" a="1"/>
  <c r="I52" i="112" s="1"/>
  <c r="H147" i="112" s="1"/>
  <c r="G44" i="112" a="1"/>
  <c r="G44" i="112" s="1"/>
  <c r="I44" i="112" s="1" a="1"/>
  <c r="I44" i="112" s="1"/>
  <c r="H139" i="112" s="1"/>
  <c r="G36" i="112" a="1"/>
  <c r="G36" i="112" s="1"/>
  <c r="I36" i="112" s="1" a="1"/>
  <c r="I36" i="112" s="1"/>
  <c r="H131" i="112" s="1"/>
  <c r="G28" i="112" a="1"/>
  <c r="G28" i="112" s="1"/>
  <c r="I28" i="112" s="1" a="1"/>
  <c r="I28" i="112" s="1"/>
  <c r="H123" i="112" s="1"/>
  <c r="G171" i="112" a="1"/>
  <c r="G171" i="112" s="1"/>
  <c r="G149" i="112" a="1"/>
  <c r="G149" i="112" s="1"/>
  <c r="G120" i="112" a="1"/>
  <c r="G120" i="112" s="1"/>
  <c r="G50" i="112" a="1"/>
  <c r="G50" i="112" s="1"/>
  <c r="I50" i="112" s="1" a="1"/>
  <c r="I50" i="112" s="1"/>
  <c r="H145" i="112" s="1"/>
  <c r="G41" i="112" a="1"/>
  <c r="G41" i="112" s="1"/>
  <c r="I41" i="112" s="1" a="1"/>
  <c r="I41" i="112" s="1"/>
  <c r="H136" i="112" s="1"/>
  <c r="I136" i="112" s="1"/>
  <c r="G34" i="112" a="1"/>
  <c r="G34" i="112" s="1"/>
  <c r="I34" i="112" s="1" a="1"/>
  <c r="I34" i="112" s="1"/>
  <c r="H129" i="112" s="1"/>
  <c r="G26" i="112" a="1"/>
  <c r="G26" i="112" s="1"/>
  <c r="I26" i="112" s="1" a="1"/>
  <c r="I26" i="112" s="1"/>
  <c r="H121" i="112" s="1"/>
  <c r="I121" i="112" s="1"/>
  <c r="G170" i="112" a="1"/>
  <c r="G170" i="112" s="1"/>
  <c r="G162" i="112" a="1"/>
  <c r="G162" i="112" s="1"/>
  <c r="G148" i="112" a="1"/>
  <c r="G148" i="112" s="1"/>
  <c r="G136" i="112" a="1"/>
  <c r="G136" i="112" s="1"/>
  <c r="G178" i="112" a="1"/>
  <c r="G178" i="112" s="1"/>
  <c r="G169" i="112" a="1"/>
  <c r="G169" i="112" s="1"/>
  <c r="G147" i="112" a="1"/>
  <c r="G147" i="112" s="1"/>
  <c r="G126" i="112" a="1"/>
  <c r="G126" i="112" s="1"/>
  <c r="G119" i="112" a="1"/>
  <c r="G119" i="112" s="1"/>
  <c r="G48" i="112" a="1"/>
  <c r="G48" i="112" s="1"/>
  <c r="G40" i="112" a="1"/>
  <c r="G40" i="112" s="1"/>
  <c r="G33" i="112" a="1"/>
  <c r="G33" i="112" s="1"/>
  <c r="G25" i="112" a="1"/>
  <c r="G25" i="112" s="1"/>
  <c r="G190" i="112" a="1"/>
  <c r="G190" i="112" s="1"/>
  <c r="G161" i="112" a="1"/>
  <c r="G161" i="112" s="1"/>
  <c r="G146" i="112" a="1"/>
  <c r="G146" i="112" s="1"/>
  <c r="G135" i="112" a="1"/>
  <c r="G135" i="112" s="1"/>
  <c r="G189" i="112" a="1"/>
  <c r="G189" i="112" s="1"/>
  <c r="G177" i="112" a="1"/>
  <c r="G177" i="112" s="1"/>
  <c r="G145" i="112" a="1"/>
  <c r="G145" i="112" s="1"/>
  <c r="G125" i="112" a="1"/>
  <c r="G125" i="112" s="1"/>
  <c r="G118" i="112" a="1"/>
  <c r="G118" i="112" s="1"/>
  <c r="G47" i="112" a="1"/>
  <c r="G47" i="112" s="1"/>
  <c r="I47" i="112" s="1" a="1"/>
  <c r="I47" i="112" s="1"/>
  <c r="H142" i="112" s="1"/>
  <c r="G39" i="112" a="1"/>
  <c r="G39" i="112" s="1"/>
  <c r="I39" i="112" s="1" a="1"/>
  <c r="I39" i="112" s="1"/>
  <c r="H134" i="112" s="1"/>
  <c r="I134" i="112" s="1"/>
  <c r="K134" i="112" s="1" a="1"/>
  <c r="K134" i="112" s="1"/>
  <c r="G31" i="112" a="1"/>
  <c r="G31" i="112" s="1"/>
  <c r="I31" i="112" s="1" a="1"/>
  <c r="I31" i="112" s="1"/>
  <c r="H126" i="112" s="1"/>
  <c r="G24" i="112" a="1"/>
  <c r="G24" i="112" s="1"/>
  <c r="I24" i="112" s="1" a="1"/>
  <c r="I24" i="112" s="1"/>
  <c r="H119" i="112" s="1"/>
  <c r="G188" i="112" a="1"/>
  <c r="G188" i="112" s="1"/>
  <c r="G167" i="112" a="1"/>
  <c r="G167" i="112" s="1"/>
  <c r="G160" i="112" a="1"/>
  <c r="G160" i="112" s="1"/>
  <c r="G134" i="112" a="1"/>
  <c r="G134" i="112" s="1"/>
  <c r="G181" i="112" a="1"/>
  <c r="G181" i="112" s="1"/>
  <c r="G53" i="112" a="1"/>
  <c r="G53" i="112" s="1"/>
  <c r="G180" i="112" a="1"/>
  <c r="G180" i="112" s="1"/>
  <c r="G121" i="112" a="1"/>
  <c r="G121" i="112" s="1"/>
  <c r="G29" i="112" a="1"/>
  <c r="G29" i="112" s="1"/>
  <c r="G141" i="112" a="1"/>
  <c r="G141" i="112" s="1"/>
  <c r="G140" i="112" a="1"/>
  <c r="G140" i="112" s="1"/>
  <c r="G51" i="112" a="1"/>
  <c r="G51" i="112" s="1"/>
  <c r="I51" i="112" s="1" a="1"/>
  <c r="I51" i="112" s="1"/>
  <c r="H146" i="112" s="1"/>
  <c r="G173" i="112" a="1"/>
  <c r="G173" i="112" s="1"/>
  <c r="G27" i="112" a="1"/>
  <c r="G27" i="112" s="1"/>
  <c r="G172" i="112" a="1"/>
  <c r="G172" i="112" s="1"/>
  <c r="G45" i="112" a="1"/>
  <c r="G45" i="112" s="1"/>
  <c r="G137" i="112" a="1"/>
  <c r="G137" i="112" s="1"/>
  <c r="G22" i="112" a="1"/>
  <c r="G22" i="112" s="1"/>
  <c r="G165" i="112" a="1"/>
  <c r="G165" i="112" s="1"/>
  <c r="G164" i="112" a="1"/>
  <c r="G164" i="112" s="1"/>
  <c r="G132" i="112" a="1"/>
  <c r="G132" i="112" s="1"/>
  <c r="G42" i="112" a="1"/>
  <c r="G42" i="112" s="1"/>
  <c r="G130" i="112" a="1"/>
  <c r="G130" i="112" s="1"/>
  <c r="G163" i="112" a="1"/>
  <c r="G163" i="112" s="1"/>
  <c r="G129" i="112" a="1"/>
  <c r="G129" i="112" s="1"/>
  <c r="G37" i="112" a="1"/>
  <c r="G37" i="112" s="1"/>
  <c r="G128" i="112" a="1"/>
  <c r="G128" i="112" s="1"/>
  <c r="G184" i="112" a="1"/>
  <c r="G184" i="112" s="1"/>
  <c r="G158" i="112" a="1"/>
  <c r="G158" i="112" s="1"/>
  <c r="G123" i="112" a="1"/>
  <c r="G123" i="112" s="1"/>
  <c r="G182" i="112" a="1"/>
  <c r="G182" i="112" s="1"/>
  <c r="G35" i="112" a="1"/>
  <c r="G35" i="112" s="1"/>
  <c r="I29" i="106"/>
  <c r="H29" i="106"/>
  <c r="G29" i="106"/>
  <c r="K29" i="106"/>
  <c r="J29" i="106"/>
  <c r="F29" i="82"/>
  <c r="N165" i="92"/>
  <c r="O171" i="84"/>
  <c r="P275" i="83"/>
  <c r="E29" i="82"/>
  <c r="M165" i="92"/>
  <c r="N171" i="84"/>
  <c r="O275" i="83"/>
  <c r="P236" i="124" a="1"/>
  <c r="P236" i="124" s="1"/>
  <c r="I40" i="92"/>
  <c r="I40" i="83"/>
  <c r="I233" i="84" a="1"/>
  <c r="I233" i="84" s="1"/>
  <c r="I232" i="84" a="1"/>
  <c r="I232" i="84" s="1"/>
  <c r="I231" i="84" a="1"/>
  <c r="I231" i="84" s="1"/>
  <c r="I234" i="84" a="1"/>
  <c r="I234" i="84" s="1"/>
  <c r="G231" i="84" a="1"/>
  <c r="G231" i="84" s="1"/>
  <c r="G233" i="84" a="1"/>
  <c r="G233" i="84" s="1"/>
  <c r="G232" i="84" a="1"/>
  <c r="G232" i="84" s="1"/>
  <c r="G234" i="84" a="1"/>
  <c r="G234" i="84" s="1"/>
  <c r="D59" i="112"/>
  <c r="G88" i="112" a="1"/>
  <c r="G88" i="112" s="1"/>
  <c r="G79" i="112" a="1"/>
  <c r="G79" i="112" s="1"/>
  <c r="G72" i="112" a="1"/>
  <c r="G72" i="112" s="1"/>
  <c r="G64" i="112" a="1"/>
  <c r="G64" i="112" s="1"/>
  <c r="G85" i="112" a="1"/>
  <c r="G85" i="112" s="1"/>
  <c r="G77" i="112" a="1"/>
  <c r="G77" i="112" s="1"/>
  <c r="I77" i="112" s="1" a="1"/>
  <c r="I77" i="112" s="1"/>
  <c r="H175" i="112" s="1"/>
  <c r="G69" i="112" a="1"/>
  <c r="G69" i="112" s="1"/>
  <c r="G62" i="112" a="1"/>
  <c r="G62" i="112" s="1"/>
  <c r="I62" i="112" s="1" a="1"/>
  <c r="I62" i="112" s="1"/>
  <c r="H160" i="112" s="1"/>
  <c r="G91" i="112" a="1"/>
  <c r="G91" i="112" s="1"/>
  <c r="G83" i="112" a="1"/>
  <c r="G83" i="112" s="1"/>
  <c r="I83" i="112" s="1" a="1"/>
  <c r="I83" i="112" s="1"/>
  <c r="H181" i="112" s="1"/>
  <c r="G75" i="112" a="1"/>
  <c r="G75" i="112" s="1"/>
  <c r="G67" i="112" a="1"/>
  <c r="G67" i="112" s="1"/>
  <c r="I67" i="112" s="1" a="1"/>
  <c r="I67" i="112" s="1"/>
  <c r="H165" i="112" s="1"/>
  <c r="G60" i="112" a="1"/>
  <c r="G60" i="112" s="1"/>
  <c r="G90" i="112" a="1"/>
  <c r="G90" i="112" s="1"/>
  <c r="G82" i="112" a="1"/>
  <c r="G82" i="112" s="1"/>
  <c r="G74" i="112" a="1"/>
  <c r="G74" i="112" s="1"/>
  <c r="G66" i="112" a="1"/>
  <c r="G66" i="112" s="1"/>
  <c r="G89" i="112" a="1"/>
  <c r="G89" i="112" s="1"/>
  <c r="G80" i="112" a="1"/>
  <c r="G80" i="112" s="1"/>
  <c r="G73" i="112" a="1"/>
  <c r="G73" i="112" s="1"/>
  <c r="I73" i="112" s="1" a="1"/>
  <c r="I73" i="112" s="1"/>
  <c r="H171" i="112" s="1"/>
  <c r="G65" i="112" a="1"/>
  <c r="G65" i="112" s="1"/>
  <c r="G76" i="112" a="1"/>
  <c r="G76" i="112" s="1"/>
  <c r="G71" i="112" a="1"/>
  <c r="G71" i="112" s="1"/>
  <c r="G92" i="112" a="1"/>
  <c r="G92" i="112" s="1"/>
  <c r="I92" i="112" s="1" a="1"/>
  <c r="I92" i="112" s="1"/>
  <c r="H190" i="112" s="1"/>
  <c r="G68" i="112" a="1"/>
  <c r="G68" i="112" s="1"/>
  <c r="G86" i="112" a="1"/>
  <c r="G86" i="112" s="1"/>
  <c r="G63" i="112" a="1"/>
  <c r="G63" i="112" s="1"/>
  <c r="G84" i="112" a="1"/>
  <c r="G84" i="112" s="1"/>
  <c r="I84" i="112" s="1" a="1"/>
  <c r="I84" i="112" s="1"/>
  <c r="H182" i="112" s="1"/>
  <c r="G61" i="112" a="1"/>
  <c r="G61" i="112" s="1"/>
  <c r="G78" i="112" a="1"/>
  <c r="G78" i="112" s="1"/>
  <c r="I36" i="106"/>
  <c r="H36" i="106"/>
  <c r="K36" i="106"/>
  <c r="J36" i="106"/>
  <c r="G36" i="106"/>
  <c r="T233" i="84" a="1"/>
  <c r="T233" i="84" s="1"/>
  <c r="T232" i="84" a="1"/>
  <c r="T232" i="84" s="1"/>
  <c r="T231" i="84" a="1"/>
  <c r="T231" i="84" s="1"/>
  <c r="T234" i="84" a="1"/>
  <c r="T234" i="84" s="1"/>
  <c r="G29" i="82"/>
  <c r="O165" i="92"/>
  <c r="P203" i="84"/>
  <c r="Q275" i="83"/>
  <c r="H100" i="92"/>
  <c r="H99" i="83"/>
  <c r="H19" i="84"/>
  <c r="H29" i="84" s="1" a="1"/>
  <c r="H29" i="84" s="1"/>
  <c r="V16" i="93"/>
  <c r="X16" i="93" s="1"/>
  <c r="AC236" i="124" a="1"/>
  <c r="X14" i="93"/>
  <c r="O11" i="94" s="1" a="1"/>
  <c r="G100" i="92"/>
  <c r="G19" i="84"/>
  <c r="G29" i="84" s="1" a="1"/>
  <c r="G29" i="84" s="1"/>
  <c r="G99" i="83"/>
  <c r="Q19" i="83"/>
  <c r="Q24" i="83" s="1" a="1"/>
  <c r="Q24" i="83" s="1"/>
  <c r="Q79" i="83" s="1" a="1"/>
  <c r="Q79" i="83" s="1"/>
  <c r="O19" i="92"/>
  <c r="O24" i="92" s="1" a="1"/>
  <c r="O24" i="92" s="1"/>
  <c r="O80" i="92" s="1" a="1"/>
  <c r="O80" i="92" s="1"/>
  <c r="O115" i="92" s="1" a="1"/>
  <c r="O115" i="92" s="1"/>
  <c r="O132" i="92" s="1" a="1"/>
  <c r="O132" i="92" s="1"/>
  <c r="G19" i="92"/>
  <c r="G24" i="92" s="1" a="1"/>
  <c r="G24" i="92" s="1"/>
  <c r="G80" i="92" s="1" a="1"/>
  <c r="G80" i="92" s="1"/>
  <c r="G19" i="83"/>
  <c r="G24" i="83" s="1" a="1"/>
  <c r="G24" i="83" s="1"/>
  <c r="G79" i="83" s="1" a="1"/>
  <c r="G79" i="83" s="1"/>
  <c r="Q33" i="106" a="1"/>
  <c r="Q33" i="106" s="1"/>
  <c r="H19" i="92"/>
  <c r="H24" i="92" s="1" a="1"/>
  <c r="H24" i="92" s="1"/>
  <c r="H80" i="92" s="1" a="1"/>
  <c r="H80" i="92" s="1"/>
  <c r="H19" i="83"/>
  <c r="H24" i="83" s="1" a="1"/>
  <c r="H24" i="83" s="1"/>
  <c r="H79" i="83" s="1" a="1"/>
  <c r="H79" i="83" s="1"/>
  <c r="Q26" i="106" a="1"/>
  <c r="Q26" i="106" s="1"/>
  <c r="J81" i="124" a="1"/>
  <c r="J81" i="124" s="1"/>
  <c r="G79" i="124" a="1"/>
  <c r="G79" i="124" s="1"/>
  <c r="J83" i="124" a="1"/>
  <c r="J83" i="124" s="1"/>
  <c r="J69" i="124" a="1"/>
  <c r="J69" i="124" s="1"/>
  <c r="G84" i="124" a="1"/>
  <c r="G84" i="124" s="1"/>
  <c r="AA254" i="124" a="1"/>
  <c r="AA254" i="124" s="1"/>
  <c r="W259" i="124" a="1"/>
  <c r="W259" i="124" s="1"/>
  <c r="J174" i="112" a="1"/>
  <c r="J174" i="112" s="1"/>
  <c r="S253" i="124" a="1"/>
  <c r="S253" i="124" s="1"/>
  <c r="J134" i="112" a="1"/>
  <c r="J134" i="112" s="1"/>
  <c r="J162" i="112" a="1"/>
  <c r="J162" i="112" s="1"/>
  <c r="P42" i="85"/>
  <c r="P21" i="85"/>
  <c r="O245" i="84"/>
  <c r="O280" i="84"/>
  <c r="E78" i="87"/>
  <c r="P176" i="83"/>
  <c r="E154" i="83"/>
  <c r="P108" i="87"/>
  <c r="E176" i="83"/>
  <c r="D91" i="82"/>
  <c r="E54" i="87"/>
  <c r="E245" i="84"/>
  <c r="P240" i="83"/>
  <c r="E240" i="83"/>
  <c r="P165" i="83"/>
  <c r="E129" i="87"/>
  <c r="P141" i="87"/>
  <c r="E42" i="87"/>
  <c r="P293" i="83"/>
  <c r="E108" i="87"/>
  <c r="E233" i="84"/>
  <c r="E293" i="83"/>
  <c r="P54" i="87"/>
  <c r="P42" i="87"/>
  <c r="E165" i="83"/>
  <c r="O233" i="84"/>
  <c r="E280" i="84"/>
  <c r="E42" i="85"/>
  <c r="P78" i="87"/>
  <c r="E21" i="85"/>
  <c r="P154" i="83"/>
  <c r="E66" i="87"/>
  <c r="E141" i="87"/>
  <c r="T235" i="84" a="1"/>
  <c r="T235" i="84" s="1"/>
  <c r="T237" i="84" a="1"/>
  <c r="T237" i="84" s="1"/>
  <c r="T238" i="84" a="1"/>
  <c r="T238" i="84" s="1"/>
  <c r="T236" i="84" a="1"/>
  <c r="T236" i="84" s="1"/>
  <c r="G27" i="106"/>
  <c r="O27" i="106" s="1" a="1"/>
  <c r="O27" i="106" s="1"/>
  <c r="K27" i="106"/>
  <c r="J27" i="106"/>
  <c r="I27" i="106"/>
  <c r="H27" i="106"/>
  <c r="F235" i="84" a="1"/>
  <c r="F235" i="84" s="1"/>
  <c r="F236" i="84" a="1"/>
  <c r="F236" i="84" s="1"/>
  <c r="F155" i="83" a="1"/>
  <c r="F156" i="83" a="1"/>
  <c r="F237" i="84" a="1"/>
  <c r="F237" i="84" s="1"/>
  <c r="F157" i="83" a="1"/>
  <c r="F200" i="83" a="1"/>
  <c r="F238" i="84" a="1"/>
  <c r="F238" i="84" s="1"/>
  <c r="O105" i="92"/>
  <c r="P98" i="84"/>
  <c r="Q104" i="83"/>
  <c r="D105" i="92"/>
  <c r="D104" i="83"/>
  <c r="D98" i="84"/>
  <c r="H29" i="82"/>
  <c r="P165" i="92"/>
  <c r="Q171" i="84"/>
  <c r="R275" i="83"/>
  <c r="Q100" i="92"/>
  <c r="S99" i="83"/>
  <c r="R19" i="84"/>
  <c r="R29" i="84" s="1" a="1"/>
  <c r="R29" i="84" s="1"/>
  <c r="D19" i="94"/>
  <c r="F19" i="94" s="1" a="1"/>
  <c r="F19" i="94" s="1"/>
  <c r="F29" i="94" a="1"/>
  <c r="F29" i="94" s="1"/>
  <c r="F28" i="94" a="1"/>
  <c r="F28" i="94" s="1"/>
  <c r="F25" i="94" a="1"/>
  <c r="F25" i="94" s="1"/>
  <c r="F35" i="94" a="1"/>
  <c r="F35" i="94" s="1"/>
  <c r="F33" i="94" a="1"/>
  <c r="F33" i="94" s="1"/>
  <c r="F21" i="94" a="1"/>
  <c r="F21" i="94" s="1"/>
  <c r="F32" i="94" a="1"/>
  <c r="F32" i="94" s="1"/>
  <c r="F20" i="94" a="1"/>
  <c r="F20" i="94" s="1"/>
  <c r="F31" i="94" a="1"/>
  <c r="F31" i="94" s="1"/>
  <c r="F30" i="94" a="1"/>
  <c r="F30" i="94" s="1"/>
  <c r="F27" i="94" a="1"/>
  <c r="F27" i="94" s="1"/>
  <c r="F26" i="94" a="1"/>
  <c r="F26" i="94" s="1"/>
  <c r="F24" i="94" a="1"/>
  <c r="F24" i="94" s="1"/>
  <c r="F23" i="94" a="1"/>
  <c r="F23" i="94" s="1"/>
  <c r="F22" i="94" a="1"/>
  <c r="F22" i="94" s="1"/>
  <c r="F37" i="94" a="1"/>
  <c r="F37" i="94" s="1"/>
  <c r="F36" i="94" a="1"/>
  <c r="F36" i="94" s="1"/>
  <c r="F34" i="94" a="1"/>
  <c r="F34" i="94" s="1"/>
  <c r="P100" i="92"/>
  <c r="R99" i="83"/>
  <c r="Q19" i="84"/>
  <c r="Q29" i="84" s="1" a="1"/>
  <c r="Q29" i="84" s="1"/>
  <c r="J82" i="124" a="1"/>
  <c r="J82" i="124" s="1"/>
  <c r="H386" i="124" a="1"/>
  <c r="H386" i="124" s="1"/>
  <c r="E59" i="112"/>
  <c r="H59" i="112" s="1" a="1"/>
  <c r="H59" i="112" s="1"/>
  <c r="H86" i="112" a="1"/>
  <c r="H86" i="112" s="1"/>
  <c r="H78" i="112" a="1"/>
  <c r="H78" i="112" s="1"/>
  <c r="H71" i="112" a="1"/>
  <c r="H71" i="112" s="1"/>
  <c r="H63" i="112" a="1"/>
  <c r="H63" i="112" s="1"/>
  <c r="H90" i="112" a="1"/>
  <c r="H90" i="112" s="1"/>
  <c r="H82" i="112" a="1"/>
  <c r="H82" i="112" s="1"/>
  <c r="H74" i="112" a="1"/>
  <c r="H74" i="112" s="1"/>
  <c r="H66" i="112" a="1"/>
  <c r="H66" i="112" s="1"/>
  <c r="H89" i="112" a="1"/>
  <c r="H89" i="112" s="1"/>
  <c r="H80" i="112" a="1"/>
  <c r="H80" i="112" s="1"/>
  <c r="H73" i="112" a="1"/>
  <c r="H73" i="112" s="1"/>
  <c r="H65" i="112" a="1"/>
  <c r="H65" i="112" s="1"/>
  <c r="H88" i="112" a="1"/>
  <c r="H88" i="112" s="1"/>
  <c r="H79" i="112" a="1"/>
  <c r="H79" i="112" s="1"/>
  <c r="H72" i="112" a="1"/>
  <c r="H72" i="112" s="1"/>
  <c r="H64" i="112" a="1"/>
  <c r="H64" i="112" s="1"/>
  <c r="H77" i="112" a="1"/>
  <c r="H77" i="112" s="1"/>
  <c r="H76" i="112" a="1"/>
  <c r="H76" i="112" s="1"/>
  <c r="H75" i="112" a="1"/>
  <c r="H75" i="112" s="1"/>
  <c r="H92" i="112" a="1"/>
  <c r="H92" i="112" s="1"/>
  <c r="H69" i="112" a="1"/>
  <c r="H69" i="112" s="1"/>
  <c r="H68" i="112" a="1"/>
  <c r="H68" i="112" s="1"/>
  <c r="H91" i="112" a="1"/>
  <c r="H91" i="112" s="1"/>
  <c r="H67" i="112" a="1"/>
  <c r="H67" i="112" s="1"/>
  <c r="H85" i="112" a="1"/>
  <c r="H85" i="112" s="1"/>
  <c r="H84" i="112" a="1"/>
  <c r="H84" i="112" s="1"/>
  <c r="H62" i="112" a="1"/>
  <c r="H62" i="112" s="1"/>
  <c r="H61" i="112" a="1"/>
  <c r="H61" i="112" s="1"/>
  <c r="H83" i="112" a="1"/>
  <c r="H83" i="112" s="1"/>
  <c r="H60" i="112" a="1"/>
  <c r="H60" i="112" s="1"/>
  <c r="J160" i="112" a="1"/>
  <c r="J160" i="112" s="1"/>
  <c r="J179" i="112" a="1"/>
  <c r="J179" i="112" s="1"/>
  <c r="E292" i="83"/>
  <c r="E175" i="83"/>
  <c r="D86" i="82"/>
  <c r="E65" i="87"/>
  <c r="E41" i="85"/>
  <c r="E20" i="85"/>
  <c r="E140" i="87"/>
  <c r="P77" i="87"/>
  <c r="P153" i="83"/>
  <c r="E107" i="87"/>
  <c r="E232" i="84"/>
  <c r="D87" i="82"/>
  <c r="E244" i="84"/>
  <c r="P239" i="83"/>
  <c r="E153" i="83"/>
  <c r="E239" i="83"/>
  <c r="E77" i="87"/>
  <c r="O244" i="84"/>
  <c r="P175" i="83"/>
  <c r="P107" i="87"/>
  <c r="P292" i="83"/>
  <c r="D85" i="82"/>
  <c r="E128" i="87"/>
  <c r="P164" i="83"/>
  <c r="P53" i="87"/>
  <c r="O279" i="84"/>
  <c r="E279" i="84"/>
  <c r="P140" i="87"/>
  <c r="P41" i="87"/>
  <c r="E41" i="87"/>
  <c r="P20" i="85"/>
  <c r="P41" i="85"/>
  <c r="E53" i="87"/>
  <c r="E164" i="83"/>
  <c r="O232" i="84"/>
  <c r="Q25" i="88"/>
  <c r="Q151" i="83" a="1"/>
  <c r="Q237" i="84" a="1"/>
  <c r="Q237" i="84" s="1"/>
  <c r="Q236" i="84" a="1"/>
  <c r="Q236" i="84" s="1"/>
  <c r="Q235" i="84" a="1"/>
  <c r="Q235" i="84" s="1"/>
  <c r="Q238" i="84" a="1"/>
  <c r="Q238" i="84" s="1"/>
  <c r="Q105" i="92"/>
  <c r="R98" i="84"/>
  <c r="S104" i="83"/>
  <c r="F105" i="92"/>
  <c r="F98" i="84"/>
  <c r="F104" i="83"/>
  <c r="M105" i="92"/>
  <c r="N98" i="84"/>
  <c r="O104" i="83"/>
  <c r="D165" i="92"/>
  <c r="D171" i="84"/>
  <c r="D275" i="83"/>
  <c r="AE261" i="124" a="1"/>
  <c r="AE261" i="124" s="1"/>
  <c r="W258" i="124" a="1"/>
  <c r="W258" i="124" s="1"/>
  <c r="AE254" i="124" a="1"/>
  <c r="AE254" i="124" s="1"/>
  <c r="W252" i="124" a="1"/>
  <c r="W252" i="124" s="1"/>
  <c r="AE260" i="124" a="1"/>
  <c r="AE260" i="124" s="1"/>
  <c r="AA260" i="124" a="1"/>
  <c r="AA260" i="124" s="1"/>
  <c r="AA257" i="124" a="1"/>
  <c r="AA257" i="124" s="1"/>
  <c r="W257" i="124" a="1"/>
  <c r="W257" i="124" s="1"/>
  <c r="S257" i="124" a="1"/>
  <c r="S257" i="124" s="1"/>
  <c r="S254" i="124" a="1"/>
  <c r="S254" i="124" s="1"/>
  <c r="AE253" i="124" a="1"/>
  <c r="AE253" i="124" s="1"/>
  <c r="AA253" i="124" a="1"/>
  <c r="AA253" i="124" s="1"/>
  <c r="O21" i="94" a="1"/>
  <c r="Z236" i="124" a="1"/>
  <c r="Z236" i="124" s="1"/>
  <c r="AK236" i="124" a="1"/>
  <c r="Q236" i="124" a="1"/>
  <c r="V12" i="93"/>
  <c r="I39" i="83"/>
  <c r="D50" i="83" s="1" a="1"/>
  <c r="D50" i="83" s="1"/>
  <c r="D88" i="84" s="1"/>
  <c r="I39" i="92"/>
  <c r="D50" i="92" s="1" a="1"/>
  <c r="D50" i="92" s="1"/>
  <c r="D80" i="92" s="1" a="1"/>
  <c r="D80" i="92" s="1"/>
  <c r="D115" i="92" s="1" a="1"/>
  <c r="D115" i="92" s="1"/>
  <c r="D132" i="92" s="1" a="1"/>
  <c r="D132" i="92" s="1"/>
  <c r="D180" i="92" s="1" a="1"/>
  <c r="D180" i="92" s="1"/>
  <c r="AE257" i="124" a="1"/>
  <c r="AE257" i="124" s="1"/>
  <c r="AA255" i="124" a="1"/>
  <c r="AA255" i="124" s="1"/>
  <c r="S258" i="124" a="1"/>
  <c r="S258" i="124" s="1"/>
  <c r="J167" i="112" a="1"/>
  <c r="J167" i="112" s="1"/>
  <c r="H238" i="84" a="1"/>
  <c r="H238" i="84" s="1"/>
  <c r="H237" i="84" a="1"/>
  <c r="H237" i="84" s="1"/>
  <c r="H236" i="84" a="1"/>
  <c r="H236" i="84" s="1"/>
  <c r="H235" i="84" a="1"/>
  <c r="H235" i="84" s="1"/>
  <c r="Q156" i="83" a="1"/>
  <c r="P237" i="84" a="1"/>
  <c r="P237" i="84" s="1"/>
  <c r="P236" i="84" a="1"/>
  <c r="P236" i="84" s="1"/>
  <c r="P235" i="84" a="1"/>
  <c r="P235" i="84" s="1"/>
  <c r="P238" i="84" a="1"/>
  <c r="P238" i="84" s="1"/>
  <c r="Q200" i="83" a="1"/>
  <c r="Q157" i="83" a="1"/>
  <c r="Q155" i="83" a="1"/>
  <c r="F66" i="109" a="1"/>
  <c r="F66" i="109" s="1"/>
  <c r="H105" i="92"/>
  <c r="H98" i="84"/>
  <c r="H104" i="83"/>
  <c r="I29" i="82"/>
  <c r="Q165" i="92"/>
  <c r="R203" i="84"/>
  <c r="S275" i="83"/>
  <c r="V20" i="93"/>
  <c r="X20" i="93" s="1"/>
  <c r="O236" i="124" a="1"/>
  <c r="O236" i="124" s="1"/>
  <c r="O238" i="84"/>
  <c r="E71" i="87"/>
  <c r="P200" i="83"/>
  <c r="E200" i="83"/>
  <c r="D285" i="124"/>
  <c r="E292" i="124"/>
  <c r="I292" i="124" s="1" a="1"/>
  <c r="I292" i="124" s="1"/>
  <c r="F291" i="124" a="1"/>
  <c r="F291" i="124" s="1"/>
  <c r="E291" i="124"/>
  <c r="F290" i="124" a="1"/>
  <c r="F290" i="124" s="1"/>
  <c r="E290" i="124"/>
  <c r="E295" i="124"/>
  <c r="I295" i="124" s="1" a="1"/>
  <c r="I295" i="124" s="1"/>
  <c r="E288" i="124"/>
  <c r="I288" i="124" s="1" a="1"/>
  <c r="I288" i="124" s="1"/>
  <c r="F294" i="124" a="1"/>
  <c r="F294" i="124" s="1"/>
  <c r="F287" i="124" a="1"/>
  <c r="F287" i="124" s="1"/>
  <c r="E294" i="124"/>
  <c r="G294" i="124" s="1" a="1"/>
  <c r="G294" i="124" s="1"/>
  <c r="E287" i="124"/>
  <c r="I287" i="124" s="1" a="1"/>
  <c r="I287" i="124" s="1"/>
  <c r="F293" i="124" a="1"/>
  <c r="F293" i="124" s="1"/>
  <c r="F286" i="124" a="1"/>
  <c r="F286" i="124" s="1"/>
  <c r="E293" i="124"/>
  <c r="G293" i="124" s="1" a="1"/>
  <c r="G293" i="124" s="1"/>
  <c r="E286" i="124"/>
  <c r="G286" i="124" s="1" a="1"/>
  <c r="G286" i="124" s="1"/>
  <c r="F292" i="124" a="1"/>
  <c r="F292" i="124" s="1"/>
  <c r="F296" i="124" a="1"/>
  <c r="F296" i="124" s="1"/>
  <c r="E296" i="124"/>
  <c r="G296" i="124" s="1" a="1"/>
  <c r="G296" i="124" s="1"/>
  <c r="F295" i="124" a="1"/>
  <c r="F295" i="124" s="1"/>
  <c r="F289" i="124" a="1"/>
  <c r="F289" i="124" s="1"/>
  <c r="E289" i="124"/>
  <c r="I289" i="124" s="1" a="1"/>
  <c r="I289" i="124" s="1"/>
  <c r="F288" i="124" a="1"/>
  <c r="F288" i="124" s="1"/>
  <c r="F68" i="109" a="1"/>
  <c r="F68" i="109" s="1"/>
  <c r="F67" i="109" a="1"/>
  <c r="F67" i="109" s="1"/>
  <c r="G238" i="84" a="1"/>
  <c r="G238" i="84" s="1"/>
  <c r="G236" i="84" a="1"/>
  <c r="G236" i="84" s="1"/>
  <c r="G237" i="84" a="1"/>
  <c r="G237" i="84" s="1"/>
  <c r="G235" i="84" a="1"/>
  <c r="G235" i="84" s="1"/>
  <c r="I31" i="106"/>
  <c r="K31" i="106"/>
  <c r="J31" i="106"/>
  <c r="H31" i="106"/>
  <c r="G31" i="106"/>
  <c r="N31" i="106" s="1" a="1"/>
  <c r="N31" i="106" s="1"/>
  <c r="J137" i="112" a="1"/>
  <c r="J137" i="112" s="1"/>
  <c r="E165" i="92"/>
  <c r="E171" i="84"/>
  <c r="E275" i="83"/>
  <c r="Q19" i="92"/>
  <c r="Q24" i="92" s="1" a="1"/>
  <c r="Q24" i="92" s="1"/>
  <c r="Q80" i="92" s="1" a="1"/>
  <c r="Q80" i="92" s="1"/>
  <c r="Q115" i="92" s="1" a="1"/>
  <c r="Q115" i="92" s="1"/>
  <c r="Q132" i="92" s="1" a="1"/>
  <c r="Q132" i="92" s="1"/>
  <c r="S19" i="83"/>
  <c r="S24" i="83" s="1" a="1"/>
  <c r="S24" i="83" s="1"/>
  <c r="S79" i="83" s="1" a="1"/>
  <c r="S79" i="83" s="1"/>
  <c r="S114" i="83" s="1" a="1"/>
  <c r="S114" i="83" s="1"/>
  <c r="S133" i="83" s="1" a="1"/>
  <c r="S133" i="83" s="1"/>
  <c r="O19" i="83"/>
  <c r="O24" i="83" s="1" a="1"/>
  <c r="O24" i="83" s="1"/>
  <c r="O79" i="83" s="1" a="1"/>
  <c r="O79" i="83" s="1"/>
  <c r="O114" i="83" s="1" a="1"/>
  <c r="O114" i="83" s="1"/>
  <c r="O133" i="83" s="1" a="1"/>
  <c r="O133" i="83" s="1"/>
  <c r="M19" i="92"/>
  <c r="M24" i="92" s="1" a="1"/>
  <c r="M24" i="92" s="1"/>
  <c r="Q35" i="106" a="1"/>
  <c r="Q35" i="106" s="1"/>
  <c r="J234" i="84" a="1"/>
  <c r="J234" i="84" s="1"/>
  <c r="J232" i="84" a="1"/>
  <c r="J232" i="84" s="1"/>
  <c r="J233" i="84" a="1"/>
  <c r="J233" i="84" s="1"/>
  <c r="J231" i="84" a="1"/>
  <c r="J231" i="84" s="1"/>
  <c r="Q234" i="84" a="1"/>
  <c r="Q234" i="84" s="1"/>
  <c r="Q231" i="84" a="1"/>
  <c r="Q231" i="84" s="1"/>
  <c r="Q232" i="84" a="1"/>
  <c r="Q232" i="84" s="1"/>
  <c r="Q233" i="84" a="1"/>
  <c r="Q233" i="84" s="1"/>
  <c r="J164" i="112" a="1"/>
  <c r="J164" i="112" s="1"/>
  <c r="K38" i="106"/>
  <c r="J38" i="106"/>
  <c r="I38" i="106"/>
  <c r="H38" i="106"/>
  <c r="G38" i="106"/>
  <c r="E105" i="92"/>
  <c r="E104" i="83"/>
  <c r="E98" i="84"/>
  <c r="F165" i="92"/>
  <c r="F203" i="84"/>
  <c r="F275" i="83"/>
  <c r="Y236" i="124" a="1"/>
  <c r="V17" i="93"/>
  <c r="X17" i="93" s="1"/>
  <c r="AH236" i="124" a="1"/>
  <c r="AH236" i="124" s="1"/>
  <c r="P133" i="83" a="1"/>
  <c r="P133" i="83" s="1"/>
  <c r="O50" i="84"/>
  <c r="O126" i="84" s="1" a="1"/>
  <c r="O126" i="84" s="1"/>
  <c r="R50" i="84"/>
  <c r="R126" i="84" s="1" a="1"/>
  <c r="R126" i="84" s="1"/>
  <c r="H114" i="83" a="1"/>
  <c r="H114" i="83" s="1"/>
  <c r="H60" i="84"/>
  <c r="E114" i="83" a="1"/>
  <c r="E114" i="83" s="1"/>
  <c r="E60" i="84"/>
  <c r="F114" i="83" a="1"/>
  <c r="F114" i="83" s="1"/>
  <c r="F60" i="84"/>
  <c r="G114" i="83" a="1"/>
  <c r="G114" i="83" s="1"/>
  <c r="G60" i="84"/>
  <c r="E181" i="124"/>
  <c r="F124" i="124"/>
  <c r="G124" i="124" s="1" a="1"/>
  <c r="G124" i="124" s="1"/>
  <c r="E39" i="109"/>
  <c r="E35" i="13" s="1" a="1"/>
  <c r="E35" i="13" s="1"/>
  <c r="F35" i="13" s="1"/>
  <c r="E37" i="109"/>
  <c r="E63" i="109" s="1"/>
  <c r="D36" i="109"/>
  <c r="D65" i="109"/>
  <c r="D64" i="109"/>
  <c r="G34" i="13" a="1"/>
  <c r="G34" i="13" s="1"/>
  <c r="D63" i="109"/>
  <c r="G35" i="13" a="1"/>
  <c r="G35" i="13" s="1"/>
  <c r="G33" i="13" a="1"/>
  <c r="G33" i="13" s="1"/>
  <c r="Q28" i="106" a="1"/>
  <c r="Q28" i="106" s="1"/>
  <c r="N35" i="105" a="1"/>
  <c r="N35" i="105" s="1"/>
  <c r="E55" i="105" s="1"/>
  <c r="O27" i="105" a="1"/>
  <c r="O27" i="105" s="1"/>
  <c r="Q27" i="105" a="1"/>
  <c r="Q27" i="105" s="1"/>
  <c r="E498" i="124"/>
  <c r="F122" i="124"/>
  <c r="G122" i="124" s="1" a="1"/>
  <c r="G122" i="124" s="1"/>
  <c r="F256" i="124" a="1"/>
  <c r="F256" i="124" s="1"/>
  <c r="F126" i="124"/>
  <c r="I126" i="124" s="1" a="1"/>
  <c r="I126" i="124" s="1"/>
  <c r="E143" i="124"/>
  <c r="N156" i="110" a="1"/>
  <c r="N156" i="110" s="1"/>
  <c r="P137" i="110" a="1"/>
  <c r="P137" i="110" s="1"/>
  <c r="O143" i="110" a="1"/>
  <c r="O143" i="110" s="1"/>
  <c r="I129" i="124" a="1"/>
  <c r="I129" i="124" s="1"/>
  <c r="P141" i="110" a="1"/>
  <c r="P141" i="110" s="1"/>
  <c r="M28" i="124" a="1"/>
  <c r="M28" i="124" s="1"/>
  <c r="H383" i="124" a="1"/>
  <c r="H383" i="124" s="1"/>
  <c r="E54" i="124"/>
  <c r="E488" i="124"/>
  <c r="F259" i="124" a="1"/>
  <c r="F259" i="124" s="1"/>
  <c r="F253" i="124" a="1"/>
  <c r="F253" i="124" s="1"/>
  <c r="I127" i="124" a="1"/>
  <c r="I127" i="124" s="1"/>
  <c r="G127" i="124" a="1"/>
  <c r="G127" i="124" s="1"/>
  <c r="F261" i="124" a="1"/>
  <c r="F261" i="124" s="1"/>
  <c r="E156" i="124"/>
  <c r="E363" i="124"/>
  <c r="F123" i="124"/>
  <c r="I123" i="124" s="1" a="1"/>
  <c r="I123" i="124" s="1"/>
  <c r="E91" i="124"/>
  <c r="J27" i="124" a="1"/>
  <c r="J27" i="124" s="1"/>
  <c r="F128" i="124"/>
  <c r="I128" i="124" s="1" a="1"/>
  <c r="I128" i="124" s="1"/>
  <c r="E487" i="124"/>
  <c r="E142" i="124"/>
  <c r="E636" i="124"/>
  <c r="E517" i="124"/>
  <c r="E53" i="124"/>
  <c r="J388" i="124" a="1"/>
  <c r="J388" i="124" s="1"/>
  <c r="E426" i="124"/>
  <c r="E654" i="124"/>
  <c r="M32" i="124" a="1"/>
  <c r="M32" i="124" s="1"/>
  <c r="M30" i="124" a="1"/>
  <c r="M30" i="124" s="1"/>
  <c r="M29" i="124" a="1"/>
  <c r="M29" i="124" s="1"/>
  <c r="E155" i="124"/>
  <c r="G292" i="124" a="1"/>
  <c r="G292" i="124" s="1"/>
  <c r="J454" i="124" a="1"/>
  <c r="J454" i="124" s="1"/>
  <c r="H454" i="124" a="1"/>
  <c r="H454" i="124" s="1"/>
  <c r="H387" i="124" a="1"/>
  <c r="H387" i="124" s="1"/>
  <c r="I125" i="124" a="1"/>
  <c r="I125" i="124" s="1"/>
  <c r="G125" i="124" a="1"/>
  <c r="G125" i="124" s="1"/>
  <c r="J61" i="124" a="1"/>
  <c r="J61" i="124" s="1"/>
  <c r="E73" i="124" s="1"/>
  <c r="G61" i="124" a="1"/>
  <c r="G61" i="124" s="1"/>
  <c r="E72" i="124" s="1"/>
  <c r="I296" i="124" a="1"/>
  <c r="I296" i="124" s="1"/>
  <c r="J26" i="124" a="1"/>
  <c r="J26" i="124" s="1"/>
  <c r="J472" i="124" a="1"/>
  <c r="J472" i="124" s="1"/>
  <c r="H472" i="124" a="1"/>
  <c r="H472" i="124" s="1"/>
  <c r="H385" i="124" a="1"/>
  <c r="H385" i="124" s="1"/>
  <c r="J23" i="124" a="1"/>
  <c r="J23" i="124" s="1"/>
  <c r="M23" i="124" a="1"/>
  <c r="M23" i="124" s="1"/>
  <c r="F254" i="124" a="1"/>
  <c r="F254" i="124" s="1"/>
  <c r="J470" i="124" a="1"/>
  <c r="J470" i="124" s="1"/>
  <c r="H470" i="124" a="1"/>
  <c r="H470" i="124" s="1"/>
  <c r="M31" i="124" a="1"/>
  <c r="M31" i="124" s="1"/>
  <c r="H453" i="124" a="1"/>
  <c r="H453" i="124" s="1"/>
  <c r="J453" i="124" a="1"/>
  <c r="J453" i="124" s="1"/>
  <c r="I291" i="124" a="1"/>
  <c r="I291" i="124" s="1"/>
  <c r="G291" i="124" a="1"/>
  <c r="G291" i="124" s="1"/>
  <c r="J451" i="124" a="1"/>
  <c r="J451" i="124" s="1"/>
  <c r="H451" i="124" a="1"/>
  <c r="H451" i="124" s="1"/>
  <c r="F258" i="124" a="1"/>
  <c r="F258" i="124" s="1"/>
  <c r="H471" i="124" a="1"/>
  <c r="H471" i="124" s="1"/>
  <c r="J471" i="124" a="1"/>
  <c r="J471" i="124" s="1"/>
  <c r="F260" i="124" a="1"/>
  <c r="F260" i="124" s="1"/>
  <c r="J469" i="124" a="1"/>
  <c r="J469" i="124" s="1"/>
  <c r="H469" i="124" a="1"/>
  <c r="H469" i="124" s="1"/>
  <c r="E90" i="124"/>
  <c r="J452" i="124" a="1"/>
  <c r="J452" i="124" s="1"/>
  <c r="H452" i="124" a="1"/>
  <c r="H452" i="124" s="1"/>
  <c r="H390" i="124" a="1"/>
  <c r="H390" i="124" s="1"/>
  <c r="F255" i="124" a="1"/>
  <c r="F255" i="124" s="1"/>
  <c r="J382" i="124" a="1"/>
  <c r="J382" i="124" s="1"/>
  <c r="H382" i="124" a="1"/>
  <c r="H382" i="124" s="1"/>
  <c r="F252" i="124" a="1"/>
  <c r="F252" i="124" s="1"/>
  <c r="G288" i="124" a="1"/>
  <c r="G288" i="124" s="1"/>
  <c r="F257" i="124" a="1"/>
  <c r="F257" i="124" s="1"/>
  <c r="G290" i="124" a="1"/>
  <c r="G290" i="124" s="1"/>
  <c r="I290" i="124" a="1"/>
  <c r="I290" i="124" s="1"/>
  <c r="N157" i="110" a="1"/>
  <c r="N157" i="110" s="1"/>
  <c r="N150" i="110" a="1"/>
  <c r="N150" i="110" s="1"/>
  <c r="P150" i="110" a="1"/>
  <c r="P150" i="110" s="1"/>
  <c r="N129" i="110" a="1"/>
  <c r="N129" i="110" s="1"/>
  <c r="N158" i="110" a="1"/>
  <c r="N158" i="110" s="1"/>
  <c r="P126" i="110" a="1"/>
  <c r="P126" i="110" s="1"/>
  <c r="P143" i="110" a="1"/>
  <c r="P143" i="110" s="1"/>
  <c r="E21" i="115" a="1"/>
  <c r="E21" i="115" s="1"/>
  <c r="O133" i="110" a="1"/>
  <c r="O133" i="110" s="1"/>
  <c r="O134" i="110" a="1"/>
  <c r="O134" i="110" s="1"/>
  <c r="N145" i="110" a="1"/>
  <c r="N145" i="110" s="1"/>
  <c r="P122" i="110" a="1"/>
  <c r="P122" i="110" s="1"/>
  <c r="I37" i="112" a="1"/>
  <c r="I37" i="112" s="1"/>
  <c r="H132" i="112" s="1"/>
  <c r="I132" i="112" s="1"/>
  <c r="K132" i="112" s="1" a="1"/>
  <c r="K132" i="112" s="1"/>
  <c r="I78" i="112" a="1"/>
  <c r="I78" i="112" s="1"/>
  <c r="H176" i="112" s="1"/>
  <c r="I176" i="112" s="1"/>
  <c r="K176" i="112" s="1" a="1"/>
  <c r="K176" i="112" s="1"/>
  <c r="I29" i="112" a="1"/>
  <c r="I29" i="112" s="1"/>
  <c r="H124" i="112" s="1"/>
  <c r="I124" i="112" s="1"/>
  <c r="K124" i="112" s="1" a="1"/>
  <c r="K124" i="112" s="1"/>
  <c r="O155" i="110" a="1"/>
  <c r="O155" i="110" s="1"/>
  <c r="P155" i="110" a="1"/>
  <c r="P155" i="110" s="1"/>
  <c r="N151" i="110" a="1"/>
  <c r="N151" i="110" s="1"/>
  <c r="I66" i="112" a="1"/>
  <c r="I66" i="112" s="1"/>
  <c r="H164" i="112" s="1"/>
  <c r="I164" i="112" s="1"/>
  <c r="K164" i="112" s="1" a="1"/>
  <c r="K164" i="112" s="1"/>
  <c r="I63" i="112" a="1"/>
  <c r="I63" i="112" s="1"/>
  <c r="H161" i="112" s="1"/>
  <c r="I161" i="112" s="1"/>
  <c r="K161" i="112" s="1" a="1"/>
  <c r="K161" i="112" s="1"/>
  <c r="K121" i="112" a="1"/>
  <c r="K121" i="112" s="1"/>
  <c r="N133" i="110" a="1"/>
  <c r="N133" i="110" s="1"/>
  <c r="N140" i="110" a="1"/>
  <c r="N140" i="110" s="1"/>
  <c r="O21" i="115" a="1"/>
  <c r="O21" i="115" s="1"/>
  <c r="P144" i="110" a="1"/>
  <c r="P144" i="110" s="1"/>
  <c r="N137" i="110" a="1"/>
  <c r="N137" i="110" s="1"/>
  <c r="I25" i="112" a="1"/>
  <c r="I25" i="112" s="1"/>
  <c r="H120" i="112" s="1"/>
  <c r="I120" i="112" s="1"/>
  <c r="K120" i="112" s="1" a="1"/>
  <c r="K120" i="112" s="1"/>
  <c r="I22" i="112" a="1"/>
  <c r="I22" i="112" s="1"/>
  <c r="H117" i="112" s="1"/>
  <c r="I117" i="112" s="1"/>
  <c r="K117" i="112" s="1" a="1"/>
  <c r="K117" i="112" s="1"/>
  <c r="O153" i="110" a="1"/>
  <c r="O153" i="110" s="1"/>
  <c r="N132" i="110" a="1"/>
  <c r="N132" i="110" s="1"/>
  <c r="N124" i="110" a="1"/>
  <c r="N124" i="110" s="1"/>
  <c r="O116" i="110" a="1"/>
  <c r="O116" i="110" s="1"/>
  <c r="O124" i="110" a="1"/>
  <c r="O124" i="110" s="1"/>
  <c r="I54" i="112" a="1"/>
  <c r="I54" i="112" s="1"/>
  <c r="H149" i="112" s="1"/>
  <c r="I48" i="112" a="1"/>
  <c r="I48" i="112" s="1"/>
  <c r="H143" i="112" s="1"/>
  <c r="P134" i="110" a="1"/>
  <c r="P134" i="110" s="1"/>
  <c r="I40" i="112" a="1"/>
  <c r="I40" i="112" s="1"/>
  <c r="H135" i="112" s="1"/>
  <c r="I135" i="112" s="1"/>
  <c r="K135" i="112" s="1" a="1"/>
  <c r="K135" i="112" s="1"/>
  <c r="I35" i="112" a="1"/>
  <c r="I35" i="112" s="1"/>
  <c r="H130" i="112" s="1"/>
  <c r="I38" i="112" a="1"/>
  <c r="I38" i="112" s="1"/>
  <c r="H133" i="112" s="1"/>
  <c r="I133" i="112" s="1"/>
  <c r="K133" i="112" s="1" a="1"/>
  <c r="K133" i="112" s="1"/>
  <c r="I27" i="112" a="1"/>
  <c r="I27" i="112" s="1"/>
  <c r="H122" i="112" s="1"/>
  <c r="I122" i="112" s="1"/>
  <c r="K122" i="112" s="1" a="1"/>
  <c r="K122" i="112" s="1"/>
  <c r="I30" i="112" a="1"/>
  <c r="I30" i="112" s="1"/>
  <c r="H125" i="112" s="1"/>
  <c r="I125" i="112" s="1"/>
  <c r="K125" i="112" s="1" a="1"/>
  <c r="K125" i="112" s="1"/>
  <c r="I82" i="112" a="1"/>
  <c r="I82" i="112" s="1"/>
  <c r="H180" i="112" s="1"/>
  <c r="O129" i="110" a="1"/>
  <c r="O129" i="110" s="1"/>
  <c r="P124" i="110" a="1"/>
  <c r="P124" i="110" s="1"/>
  <c r="I74" i="112" a="1"/>
  <c r="I74" i="112" s="1"/>
  <c r="H172" i="112" s="1"/>
  <c r="I71" i="112" a="1"/>
  <c r="I71" i="112" s="1"/>
  <c r="H169" i="112" s="1"/>
  <c r="N152" i="110" a="1"/>
  <c r="N152" i="110" s="1"/>
  <c r="P148" i="110" a="1"/>
  <c r="P148" i="110" s="1"/>
  <c r="K136" i="112" a="1"/>
  <c r="K136" i="112" s="1"/>
  <c r="N148" i="110" a="1"/>
  <c r="N148" i="110" s="1"/>
  <c r="I42" i="112" a="1"/>
  <c r="I42" i="112" s="1"/>
  <c r="H137" i="112" s="1"/>
  <c r="I137" i="112" s="1"/>
  <c r="I160" i="112"/>
  <c r="K160" i="112" s="1" a="1"/>
  <c r="K160" i="112" s="1"/>
  <c r="I46" i="112" a="1"/>
  <c r="I46" i="112" s="1"/>
  <c r="H141" i="112" s="1"/>
  <c r="I33" i="112" a="1"/>
  <c r="I33" i="112" s="1"/>
  <c r="H128" i="112" s="1"/>
  <c r="I53" i="112" a="1"/>
  <c r="I53" i="112" s="1"/>
  <c r="H148" i="112" s="1"/>
  <c r="I126" i="112"/>
  <c r="K126" i="112" s="1" a="1"/>
  <c r="K126" i="112" s="1"/>
  <c r="O126" i="110" a="1"/>
  <c r="O126" i="110" s="1"/>
  <c r="I45" i="112" a="1"/>
  <c r="I45" i="112" s="1"/>
  <c r="H140" i="112" s="1"/>
  <c r="I165" i="112"/>
  <c r="K165" i="112" s="1" a="1"/>
  <c r="K165" i="112" s="1"/>
  <c r="I23" i="112" a="1"/>
  <c r="I23" i="112" s="1"/>
  <c r="H118" i="112" s="1"/>
  <c r="I118" i="112" s="1"/>
  <c r="K118" i="112" s="1" a="1"/>
  <c r="K118" i="112" s="1"/>
  <c r="I86" i="112" a="1"/>
  <c r="I86" i="112" s="1"/>
  <c r="H184" i="112" s="1"/>
  <c r="I119" i="112"/>
  <c r="K119" i="112" s="1" a="1"/>
  <c r="K119" i="112" s="1"/>
  <c r="P151" i="110" a="1"/>
  <c r="P151" i="110" s="1"/>
  <c r="O158" i="110" a="1"/>
  <c r="O158" i="110" s="1"/>
  <c r="N116" i="110" a="1"/>
  <c r="N116" i="110" s="1"/>
  <c r="P132" i="110" a="1"/>
  <c r="P132" i="110" s="1"/>
  <c r="P153" i="110" a="1"/>
  <c r="P153" i="110" s="1"/>
  <c r="N136" i="110" a="1"/>
  <c r="N136" i="110" s="1"/>
  <c r="P117" i="110" a="1"/>
  <c r="P117" i="110" s="1"/>
  <c r="O141" i="110" a="1"/>
  <c r="O141" i="110" s="1"/>
  <c r="P156" i="110" a="1"/>
  <c r="P156" i="110" s="1"/>
  <c r="P133" i="110" a="1"/>
  <c r="P133" i="110" s="1"/>
  <c r="O136" i="110" a="1"/>
  <c r="O136" i="110" s="1"/>
  <c r="P161" i="110" a="1"/>
  <c r="P161" i="110" s="1"/>
  <c r="O150" i="110" a="1"/>
  <c r="O150" i="110" s="1"/>
  <c r="N117" i="110" a="1"/>
  <c r="N117" i="110" s="1"/>
  <c r="O154" i="110" a="1"/>
  <c r="O154" i="110" s="1"/>
  <c r="P158" i="110" a="1"/>
  <c r="P158" i="110" s="1"/>
  <c r="O145" i="110" a="1"/>
  <c r="O145" i="110" s="1"/>
  <c r="O147" i="110" a="1"/>
  <c r="O147" i="110" s="1"/>
  <c r="N126" i="110" a="1"/>
  <c r="N126" i="110" s="1"/>
  <c r="O117" i="110" a="1"/>
  <c r="O117" i="110" s="1"/>
  <c r="P145" i="110" a="1"/>
  <c r="P145" i="110" s="1"/>
  <c r="N122" i="110" a="1"/>
  <c r="N122" i="110" s="1"/>
  <c r="O146" i="110" a="1"/>
  <c r="O146" i="110" s="1"/>
  <c r="N146" i="110" a="1"/>
  <c r="N146" i="110" s="1"/>
  <c r="N123" i="110" a="1"/>
  <c r="N123" i="110" s="1"/>
  <c r="P129" i="110" a="1"/>
  <c r="P129" i="110" s="1"/>
  <c r="N155" i="110" a="1"/>
  <c r="N155" i="110" s="1"/>
  <c r="O123" i="110" a="1"/>
  <c r="O123" i="110" s="1"/>
  <c r="E38" i="109"/>
  <c r="E45" i="109"/>
  <c r="O140" i="110" a="1"/>
  <c r="O140" i="110" s="1"/>
  <c r="N141" i="110" a="1"/>
  <c r="N141" i="110" s="1"/>
  <c r="O156" i="110" a="1"/>
  <c r="O156" i="110" s="1"/>
  <c r="M128" i="110" a="1"/>
  <c r="M128" i="110" s="1"/>
  <c r="M161" i="110" a="1"/>
  <c r="M161" i="110" s="1"/>
  <c r="O144" i="110" a="1"/>
  <c r="O144" i="110" s="1"/>
  <c r="M147" i="110" a="1"/>
  <c r="M147" i="110" s="1"/>
  <c r="M159" i="110" a="1"/>
  <c r="M159" i="110" s="1"/>
  <c r="M149" i="110" a="1"/>
  <c r="M149" i="110" s="1"/>
  <c r="N128" i="110" a="1"/>
  <c r="N128" i="110" s="1"/>
  <c r="M122" i="110" a="1"/>
  <c r="M122" i="110" s="1"/>
  <c r="M136" i="110" a="1"/>
  <c r="M136" i="110" s="1"/>
  <c r="N121" i="110" a="1"/>
  <c r="N121" i="110" s="1"/>
  <c r="P154" i="110" a="1"/>
  <c r="P154" i="110" s="1"/>
  <c r="M155" i="110" a="1"/>
  <c r="M155" i="110" s="1"/>
  <c r="M158" i="110" a="1"/>
  <c r="M158" i="110" s="1"/>
  <c r="N161" i="110" a="1"/>
  <c r="N161" i="110" s="1"/>
  <c r="N147" i="110" a="1"/>
  <c r="N147" i="110" s="1"/>
  <c r="M156" i="110" a="1"/>
  <c r="M156" i="110" s="1"/>
  <c r="N149" i="110" a="1"/>
  <c r="N149" i="110" s="1"/>
  <c r="P128" i="110" a="1"/>
  <c r="P128" i="110" s="1"/>
  <c r="P136" i="110" a="1"/>
  <c r="P136" i="110" s="1"/>
  <c r="P121" i="110" a="1"/>
  <c r="P121" i="110" s="1"/>
  <c r="P113" i="110" a="1"/>
  <c r="P113" i="110" s="1"/>
  <c r="N154" i="110" a="1"/>
  <c r="N154" i="110" s="1"/>
  <c r="M145" i="110" a="1"/>
  <c r="M145" i="110" s="1"/>
  <c r="M151" i="110" a="1"/>
  <c r="M151" i="110" s="1"/>
  <c r="O149" i="110" a="1"/>
  <c r="O149" i="110" s="1"/>
  <c r="O128" i="110" a="1"/>
  <c r="O128" i="110" s="1"/>
  <c r="O125" i="110" a="1"/>
  <c r="O125" i="110" s="1"/>
  <c r="M121" i="110" a="1"/>
  <c r="M121" i="110" s="1"/>
  <c r="Q111" i="110" a="1"/>
  <c r="Q111" i="110" s="1"/>
  <c r="O113" i="110" a="1"/>
  <c r="O113" i="110" s="1"/>
  <c r="O120" i="110" a="1"/>
  <c r="O120" i="110" s="1"/>
  <c r="M123" i="110" a="1"/>
  <c r="M123" i="110" s="1"/>
  <c r="O122" i="110" a="1"/>
  <c r="O122" i="110" s="1"/>
  <c r="P125" i="110" a="1"/>
  <c r="P125" i="110" s="1"/>
  <c r="O121" i="110" a="1"/>
  <c r="O121" i="110" s="1"/>
  <c r="M113" i="110" a="1"/>
  <c r="M113" i="110" s="1"/>
  <c r="N120" i="110" a="1"/>
  <c r="N120" i="110" s="1"/>
  <c r="M115" i="110" a="1"/>
  <c r="M115" i="110" s="1"/>
  <c r="M125" i="110" a="1"/>
  <c r="M125" i="110" s="1"/>
  <c r="N114" i="110" a="1"/>
  <c r="N114" i="110" s="1"/>
  <c r="P120" i="110" a="1"/>
  <c r="P120" i="110" s="1"/>
  <c r="M146" i="110" a="1"/>
  <c r="M146" i="110" s="1"/>
  <c r="M129" i="110" a="1"/>
  <c r="M129" i="110" s="1"/>
  <c r="O114" i="110" a="1"/>
  <c r="O114" i="110" s="1"/>
  <c r="M124" i="110" a="1"/>
  <c r="M124" i="110" s="1"/>
  <c r="Q112" i="110" a="1"/>
  <c r="Q112" i="110" s="1"/>
  <c r="M120" i="110" a="1"/>
  <c r="M120" i="110" s="1"/>
  <c r="P115" i="110" a="1"/>
  <c r="P115" i="110" s="1"/>
  <c r="M114" i="110" a="1"/>
  <c r="M114" i="110" s="1"/>
  <c r="M160" i="110" a="1"/>
  <c r="M160" i="110" s="1"/>
  <c r="N115" i="110" a="1"/>
  <c r="N115" i="110" s="1"/>
  <c r="P114" i="110" a="1"/>
  <c r="P114" i="110" s="1"/>
  <c r="Q110" i="110" a="1"/>
  <c r="Q110" i="110" s="1"/>
  <c r="M154" i="110" a="1"/>
  <c r="M154" i="110" s="1"/>
  <c r="M148" i="110" a="1"/>
  <c r="M148" i="110" s="1"/>
  <c r="M157" i="110" a="1"/>
  <c r="M157" i="110" s="1"/>
  <c r="M130" i="110" a="1"/>
  <c r="M130" i="110" s="1"/>
  <c r="O148" i="110" a="1"/>
  <c r="O148" i="110" s="1"/>
  <c r="N160" i="110" a="1"/>
  <c r="N160" i="110" s="1"/>
  <c r="M131" i="110" a="1"/>
  <c r="M131" i="110" s="1"/>
  <c r="Q131" i="110" s="1" a="1"/>
  <c r="Q131" i="110" s="1"/>
  <c r="P139" i="110" a="1"/>
  <c r="P139" i="110" s="1"/>
  <c r="O132" i="110" a="1"/>
  <c r="O132" i="110" s="1"/>
  <c r="M135" i="110" a="1"/>
  <c r="M135" i="110" s="1"/>
  <c r="M119" i="110" a="1"/>
  <c r="M119" i="110" s="1"/>
  <c r="M134" i="110" a="1"/>
  <c r="M134" i="110" s="1"/>
  <c r="P152" i="110" a="1"/>
  <c r="P152" i="110" s="1"/>
  <c r="M152" i="110" a="1"/>
  <c r="M152" i="110" s="1"/>
  <c r="O130" i="110" a="1"/>
  <c r="O130" i="110" s="1"/>
  <c r="O160" i="110" a="1"/>
  <c r="O160" i="110" s="1"/>
  <c r="N153" i="110" a="1"/>
  <c r="N153" i="110" s="1"/>
  <c r="M138" i="110" a="1"/>
  <c r="M138" i="110" s="1"/>
  <c r="Q138" i="110" s="1" a="1"/>
  <c r="Q138" i="110" s="1"/>
  <c r="N139" i="110" a="1"/>
  <c r="N139" i="110" s="1"/>
  <c r="M132" i="110" a="1"/>
  <c r="M132" i="110" s="1"/>
  <c r="N135" i="110" a="1"/>
  <c r="N135" i="110" s="1"/>
  <c r="N119" i="110" a="1"/>
  <c r="N119" i="110" s="1"/>
  <c r="O152" i="110" a="1"/>
  <c r="O152" i="110" s="1"/>
  <c r="N130" i="110" a="1"/>
  <c r="N130" i="110" s="1"/>
  <c r="P160" i="110" a="1"/>
  <c r="P160" i="110" s="1"/>
  <c r="M133" i="110" a="1"/>
  <c r="M133" i="110" s="1"/>
  <c r="P140" i="110" a="1"/>
  <c r="P140" i="110" s="1"/>
  <c r="O139" i="110" a="1"/>
  <c r="O139" i="110" s="1"/>
  <c r="N118" i="110" a="1"/>
  <c r="N118" i="110" s="1"/>
  <c r="P142" i="110" a="1"/>
  <c r="P142" i="110" s="1"/>
  <c r="M141" i="110" a="1"/>
  <c r="M141" i="110" s="1"/>
  <c r="O119" i="110" a="1"/>
  <c r="O119" i="110" s="1"/>
  <c r="O127" i="110" a="1"/>
  <c r="O127" i="110" s="1"/>
  <c r="N144" i="110" a="1"/>
  <c r="N144" i="110" s="1"/>
  <c r="M153" i="110" a="1"/>
  <c r="M153" i="110" s="1"/>
  <c r="N159" i="110" a="1"/>
  <c r="N159" i="110" s="1"/>
  <c r="M139" i="110" a="1"/>
  <c r="M139" i="110" s="1"/>
  <c r="O118" i="110" a="1"/>
  <c r="O118" i="110" s="1"/>
  <c r="M142" i="110" a="1"/>
  <c r="M142" i="110" s="1"/>
  <c r="P135" i="110" a="1"/>
  <c r="P135" i="110" s="1"/>
  <c r="P119" i="110" a="1"/>
  <c r="P119" i="110" s="1"/>
  <c r="M127" i="110" a="1"/>
  <c r="M127" i="110" s="1"/>
  <c r="O161" i="110" a="1"/>
  <c r="O161" i="110" s="1"/>
  <c r="M137" i="110" a="1"/>
  <c r="M137" i="110" s="1"/>
  <c r="M144" i="110" a="1"/>
  <c r="M144" i="110" s="1"/>
  <c r="M150" i="110" a="1"/>
  <c r="M150" i="110" s="1"/>
  <c r="M116" i="110" a="1"/>
  <c r="M116" i="110" s="1"/>
  <c r="O159" i="110" a="1"/>
  <c r="O159" i="110" s="1"/>
  <c r="M143" i="110" a="1"/>
  <c r="M143" i="110" s="1"/>
  <c r="M126" i="110" a="1"/>
  <c r="M126" i="110" s="1"/>
  <c r="P118" i="110" a="1"/>
  <c r="P118" i="110" s="1"/>
  <c r="O142" i="110" a="1"/>
  <c r="O142" i="110" s="1"/>
  <c r="P127" i="110" a="1"/>
  <c r="P127" i="110" s="1"/>
  <c r="P147" i="110" a="1"/>
  <c r="P147" i="110" s="1"/>
  <c r="P159" i="110" a="1"/>
  <c r="P159" i="110" s="1"/>
  <c r="P149" i="110" a="1"/>
  <c r="P149" i="110" s="1"/>
  <c r="M140" i="110" a="1"/>
  <c r="M140" i="110" s="1"/>
  <c r="M118" i="110" a="1"/>
  <c r="M118" i="110" s="1"/>
  <c r="N142" i="110" a="1"/>
  <c r="N142" i="110" s="1"/>
  <c r="M117" i="110" a="1"/>
  <c r="M117" i="110" s="1"/>
  <c r="N127" i="110" a="1"/>
  <c r="N127" i="110" s="1"/>
  <c r="E44" i="109"/>
  <c r="E43" i="109"/>
  <c r="E42" i="109"/>
  <c r="E41" i="109"/>
  <c r="E40" i="109"/>
  <c r="K22" i="109" a="1"/>
  <c r="K22" i="109" s="1"/>
  <c r="L22" i="109" s="1"/>
  <c r="I22" i="109"/>
  <c r="Q40" i="106" a="1"/>
  <c r="Q40" i="106" s="1"/>
  <c r="P30" i="106" a="1"/>
  <c r="P30" i="106" s="1"/>
  <c r="O30" i="106" a="1"/>
  <c r="O30" i="106" s="1"/>
  <c r="N30" i="106" a="1"/>
  <c r="N30" i="106" s="1"/>
  <c r="Q30" i="106" a="1"/>
  <c r="Q30" i="106" s="1"/>
  <c r="P38" i="106" a="1"/>
  <c r="P38" i="106" s="1"/>
  <c r="O38" i="106" a="1"/>
  <c r="O38" i="106" s="1"/>
  <c r="N38" i="106" a="1"/>
  <c r="N38" i="106" s="1"/>
  <c r="Q38" i="106" a="1"/>
  <c r="Q38" i="106" s="1"/>
  <c r="P31" i="106" a="1"/>
  <c r="P31" i="106" s="1"/>
  <c r="O31" i="106" a="1"/>
  <c r="O31" i="106" s="1"/>
  <c r="N27" i="106" a="1"/>
  <c r="N27" i="106" s="1"/>
  <c r="P27" i="106" a="1"/>
  <c r="P27" i="106" s="1"/>
  <c r="P25" i="106" a="1"/>
  <c r="P25" i="106" s="1"/>
  <c r="O25" i="106" a="1"/>
  <c r="O25" i="106" s="1"/>
  <c r="N25" i="106" a="1"/>
  <c r="N25" i="106" s="1"/>
  <c r="P40" i="106" a="1"/>
  <c r="P40" i="106" s="1"/>
  <c r="O40" i="106" a="1"/>
  <c r="O40" i="106" s="1"/>
  <c r="N40" i="106" a="1"/>
  <c r="N40" i="106" s="1"/>
  <c r="P37" i="106" a="1"/>
  <c r="P37" i="106" s="1"/>
  <c r="O37" i="106" a="1"/>
  <c r="O37" i="106" s="1"/>
  <c r="N37" i="106" a="1"/>
  <c r="N37" i="106" s="1"/>
  <c r="Q37" i="106" a="1"/>
  <c r="Q37" i="106" s="1"/>
  <c r="Q25" i="106" a="1"/>
  <c r="Q25" i="106" s="1"/>
  <c r="O36" i="106" a="1"/>
  <c r="O36" i="106" s="1"/>
  <c r="N36" i="106" a="1"/>
  <c r="N36" i="106" s="1"/>
  <c r="Q36" i="106" a="1"/>
  <c r="Q36" i="106" s="1"/>
  <c r="P36" i="106" a="1"/>
  <c r="P36" i="106" s="1"/>
  <c r="P35" i="106" a="1"/>
  <c r="P35" i="106" s="1"/>
  <c r="O35" i="106" a="1"/>
  <c r="O35" i="106" s="1"/>
  <c r="N35" i="106" a="1"/>
  <c r="N35" i="106" s="1"/>
  <c r="Q27" i="106" a="1"/>
  <c r="Q27" i="106" s="1"/>
  <c r="P39" i="106" a="1"/>
  <c r="P39" i="106" s="1"/>
  <c r="O39" i="106" a="1"/>
  <c r="O39" i="106" s="1"/>
  <c r="N39" i="106" a="1"/>
  <c r="N39" i="106" s="1"/>
  <c r="N34" i="106" a="1"/>
  <c r="N34" i="106" s="1"/>
  <c r="P34" i="106" a="1"/>
  <c r="P34" i="106" s="1"/>
  <c r="O34" i="106" a="1"/>
  <c r="O34" i="106" s="1"/>
  <c r="Q39" i="106" a="1"/>
  <c r="Q39" i="106" s="1"/>
  <c r="P33" i="106" a="1"/>
  <c r="P33" i="106" s="1"/>
  <c r="O33" i="106" a="1"/>
  <c r="O33" i="106" s="1"/>
  <c r="N33" i="106" a="1"/>
  <c r="N33" i="106" s="1"/>
  <c r="O29" i="106" a="1"/>
  <c r="O29" i="106" s="1"/>
  <c r="N29" i="106" a="1"/>
  <c r="N29" i="106" s="1"/>
  <c r="Q29" i="106" a="1"/>
  <c r="Q29" i="106" s="1"/>
  <c r="P29" i="106" a="1"/>
  <c r="P29" i="106" s="1"/>
  <c r="P28" i="106" a="1"/>
  <c r="P28" i="106" s="1"/>
  <c r="O28" i="106" a="1"/>
  <c r="O28" i="106" s="1"/>
  <c r="N28" i="106" a="1"/>
  <c r="N28" i="106" s="1"/>
  <c r="P32" i="106" a="1"/>
  <c r="P32" i="106" s="1"/>
  <c r="O32" i="106" a="1"/>
  <c r="O32" i="106" s="1"/>
  <c r="N32" i="106" a="1"/>
  <c r="N32" i="106" s="1"/>
  <c r="P26" i="106" a="1"/>
  <c r="P26" i="106" s="1"/>
  <c r="O26" i="106" a="1"/>
  <c r="O26" i="106" s="1"/>
  <c r="N26" i="106" a="1"/>
  <c r="N26" i="106" s="1"/>
  <c r="Q26" i="105" a="1"/>
  <c r="Q26" i="105" s="1"/>
  <c r="P26" i="105" a="1"/>
  <c r="P26" i="105" s="1"/>
  <c r="O26" i="105" a="1"/>
  <c r="O26" i="105" s="1"/>
  <c r="N26" i="105" a="1"/>
  <c r="N26" i="105" s="1"/>
  <c r="P31" i="105" a="1"/>
  <c r="P31" i="105" s="1"/>
  <c r="O31" i="105" a="1"/>
  <c r="O31" i="105" s="1"/>
  <c r="N31" i="105" a="1"/>
  <c r="N31" i="105" s="1"/>
  <c r="Q31" i="105" a="1"/>
  <c r="Q31" i="105" s="1"/>
  <c r="P33" i="105" a="1"/>
  <c r="P33" i="105" s="1"/>
  <c r="E51" i="105" s="1"/>
  <c r="O33" i="105" a="1"/>
  <c r="O33" i="105" s="1"/>
  <c r="E50" i="105" s="1"/>
  <c r="N33" i="105" a="1"/>
  <c r="N33" i="105" s="1"/>
  <c r="E49" i="105" s="1"/>
  <c r="Q33" i="105" a="1"/>
  <c r="Q33" i="105" s="1"/>
  <c r="E52" i="105" s="1"/>
  <c r="P29" i="105" a="1"/>
  <c r="P29" i="105" s="1"/>
  <c r="O29" i="105" a="1"/>
  <c r="O29" i="105" s="1"/>
  <c r="N29" i="105" a="1"/>
  <c r="N29" i="105" s="1"/>
  <c r="O37" i="105" a="1"/>
  <c r="O37" i="105" s="1"/>
  <c r="N37" i="105" a="1"/>
  <c r="N37" i="105" s="1"/>
  <c r="Q37" i="105" a="1"/>
  <c r="Q37" i="105" s="1"/>
  <c r="P37" i="105" a="1"/>
  <c r="P37" i="105" s="1"/>
  <c r="Q38" i="105" a="1"/>
  <c r="Q38" i="105" s="1"/>
  <c r="P38" i="105" a="1"/>
  <c r="P38" i="105" s="1"/>
  <c r="O38" i="105" a="1"/>
  <c r="O38" i="105" s="1"/>
  <c r="N38" i="105" a="1"/>
  <c r="N38" i="105" s="1"/>
  <c r="E58" i="105"/>
  <c r="Q39" i="105" a="1"/>
  <c r="Q39" i="105" s="1"/>
  <c r="P39" i="105" a="1"/>
  <c r="P39" i="105" s="1"/>
  <c r="O39" i="105" a="1"/>
  <c r="O39" i="105" s="1"/>
  <c r="N39" i="105" a="1"/>
  <c r="N39" i="105" s="1"/>
  <c r="P27" i="105" a="1"/>
  <c r="P27" i="105" s="1"/>
  <c r="P28" i="105" a="1"/>
  <c r="P28" i="105" s="1"/>
  <c r="O28" i="105" a="1"/>
  <c r="O28" i="105" s="1"/>
  <c r="N28" i="105" a="1"/>
  <c r="N28" i="105" s="1"/>
  <c r="Q28" i="105" a="1"/>
  <c r="Q28" i="105" s="1"/>
  <c r="O35" i="105" a="1"/>
  <c r="O35" i="105" s="1"/>
  <c r="E56" i="105" s="1"/>
  <c r="Q32" i="105" a="1"/>
  <c r="Q32" i="105" s="1"/>
  <c r="P30" i="105" a="1"/>
  <c r="P30" i="105" s="1"/>
  <c r="O30" i="105" a="1"/>
  <c r="O30" i="105" s="1"/>
  <c r="N30" i="105" a="1"/>
  <c r="N30" i="105" s="1"/>
  <c r="P35" i="105" a="1"/>
  <c r="P35" i="105" s="1"/>
  <c r="E57" i="105" s="1"/>
  <c r="O32" i="105" a="1"/>
  <c r="O32" i="105" s="1"/>
  <c r="N32" i="105" a="1"/>
  <c r="N32" i="105" s="1"/>
  <c r="P32" i="105" a="1"/>
  <c r="P32" i="105" s="1"/>
  <c r="Q29" i="105" a="1"/>
  <c r="Q29" i="105" s="1"/>
  <c r="Q25" i="105" a="1"/>
  <c r="Q25" i="105" s="1"/>
  <c r="P25" i="105" a="1"/>
  <c r="P25" i="105" s="1"/>
  <c r="O25" i="105" a="1"/>
  <c r="O25" i="105" s="1"/>
  <c r="N25" i="105" a="1"/>
  <c r="N25" i="105" s="1"/>
  <c r="T19" i="88"/>
  <c r="I19" i="88"/>
  <c r="V40" i="87"/>
  <c r="K40" i="87"/>
  <c r="K19" i="85"/>
  <c r="V19" i="85"/>
  <c r="J78" i="78"/>
  <c r="N50" i="84" l="1"/>
  <c r="D79" i="83" a="1"/>
  <c r="D79" i="83" s="1"/>
  <c r="O65" i="84" a="1"/>
  <c r="O65" i="84" s="1"/>
  <c r="O103" i="84" s="1" a="1"/>
  <c r="O103" i="84" s="1"/>
  <c r="O146" i="84" s="1" a="1"/>
  <c r="O146" i="84" s="1"/>
  <c r="O213" i="84" s="1" a="1"/>
  <c r="O213" i="84" s="1"/>
  <c r="O11" i="94"/>
  <c r="Q170" i="92"/>
  <c r="H170" i="92"/>
  <c r="R208" i="84"/>
  <c r="S285" i="83"/>
  <c r="T173" i="83" a="1"/>
  <c r="T173" i="83" s="1"/>
  <c r="S173" i="83" a="1"/>
  <c r="S173" i="83" s="1"/>
  <c r="Q151" i="83"/>
  <c r="Q173" i="83" s="1" a="1"/>
  <c r="Q173" i="83" s="1"/>
  <c r="R173" i="83" a="1"/>
  <c r="R173" i="83" s="1"/>
  <c r="U173" i="83" a="1"/>
  <c r="U173" i="83" s="1"/>
  <c r="J177" i="83" a="1"/>
  <c r="J177" i="83" s="1"/>
  <c r="F155" i="83"/>
  <c r="F177" i="83" s="1" a="1"/>
  <c r="F177" i="83" s="1"/>
  <c r="H177" i="83" a="1"/>
  <c r="H177" i="83" s="1"/>
  <c r="I177" i="83" a="1"/>
  <c r="I177" i="83" s="1"/>
  <c r="G177" i="83" a="1"/>
  <c r="G177" i="83" s="1"/>
  <c r="I80" i="112" a="1"/>
  <c r="I80" i="112" s="1"/>
  <c r="H178" i="112" s="1"/>
  <c r="I178" i="112" s="1"/>
  <c r="K178" i="112" s="1" a="1"/>
  <c r="K178" i="112" s="1"/>
  <c r="I85" i="112" a="1"/>
  <c r="I85" i="112" s="1"/>
  <c r="H183" i="112" s="1"/>
  <c r="W240" i="124" a="1"/>
  <c r="W240" i="124" s="1"/>
  <c r="AI243" i="124" a="1"/>
  <c r="AI243" i="124" s="1"/>
  <c r="I89" i="112" a="1"/>
  <c r="I89" i="112" s="1"/>
  <c r="H187" i="112" s="1"/>
  <c r="I64" i="112" a="1"/>
  <c r="I64" i="112" s="1"/>
  <c r="H162" i="112" s="1"/>
  <c r="I162" i="112" s="1"/>
  <c r="K162" i="112" s="1" a="1"/>
  <c r="K162" i="112" s="1"/>
  <c r="W243" i="124" a="1"/>
  <c r="W243" i="124" s="1"/>
  <c r="AI241" i="124" a="1"/>
  <c r="AI241" i="124" s="1"/>
  <c r="P170" i="92"/>
  <c r="G170" i="92"/>
  <c r="R285" i="83"/>
  <c r="H115" i="92" a="1"/>
  <c r="H115" i="92" s="1"/>
  <c r="H132" i="92" s="1" a="1"/>
  <c r="H132" i="92" s="1"/>
  <c r="H180" i="92" s="1" a="1"/>
  <c r="H180" i="92" s="1"/>
  <c r="I72" i="112" a="1"/>
  <c r="I72" i="112" s="1"/>
  <c r="H170" i="112" s="1"/>
  <c r="I168" i="112" s="1"/>
  <c r="K168" i="112" s="1" a="1"/>
  <c r="K168" i="112" s="1"/>
  <c r="W241" i="124" a="1"/>
  <c r="W241" i="124" s="1"/>
  <c r="AI237" i="124" a="1"/>
  <c r="AI237" i="124" s="1"/>
  <c r="J173" i="83" a="1"/>
  <c r="J173" i="83" s="1"/>
  <c r="G173" i="83" a="1"/>
  <c r="G173" i="83" s="1"/>
  <c r="H173" i="83" a="1"/>
  <c r="H173" i="83" s="1"/>
  <c r="F151" i="83"/>
  <c r="F173" i="83" s="1" a="1"/>
  <c r="F173" i="83" s="1"/>
  <c r="I173" i="83" a="1"/>
  <c r="I173" i="83" s="1"/>
  <c r="I205" i="83" a="1"/>
  <c r="I205" i="83" s="1"/>
  <c r="J205" i="83" a="1"/>
  <c r="J205" i="83" s="1"/>
  <c r="H205" i="83" a="1"/>
  <c r="H205" i="83" s="1"/>
  <c r="G205" i="83" a="1"/>
  <c r="G205" i="83" s="1"/>
  <c r="F199" i="83"/>
  <c r="I286" i="124" a="1"/>
  <c r="I286" i="124" s="1"/>
  <c r="I79" i="112" a="1"/>
  <c r="I79" i="112" s="1"/>
  <c r="H177" i="112" s="1"/>
  <c r="I177" i="112" s="1"/>
  <c r="K177" i="112" s="1" a="1"/>
  <c r="K177" i="112" s="1"/>
  <c r="Q199" i="83"/>
  <c r="R205" i="83" a="1"/>
  <c r="R205" i="83" s="1"/>
  <c r="U205" i="83" a="1"/>
  <c r="U205" i="83" s="1"/>
  <c r="S205" i="83" a="1"/>
  <c r="S205" i="83" s="1"/>
  <c r="T205" i="83" a="1"/>
  <c r="T205" i="83" s="1"/>
  <c r="W239" i="124" a="1"/>
  <c r="W239" i="124" s="1"/>
  <c r="AI244" i="124" a="1"/>
  <c r="AI244" i="124" s="1"/>
  <c r="E285" i="124"/>
  <c r="F285" i="124" a="1"/>
  <c r="F285" i="124" s="1"/>
  <c r="I61" i="112" a="1"/>
  <c r="I61" i="112" s="1"/>
  <c r="H159" i="112" s="1"/>
  <c r="I159" i="112" s="1"/>
  <c r="K159" i="112" s="1" a="1"/>
  <c r="K159" i="112" s="1"/>
  <c r="I88" i="112" a="1"/>
  <c r="I88" i="112" s="1"/>
  <c r="H186" i="112" s="1"/>
  <c r="I185" i="112" s="1"/>
  <c r="K185" i="112" s="1" a="1"/>
  <c r="K185" i="112" s="1"/>
  <c r="T174" i="83" a="1"/>
  <c r="T174" i="83" s="1"/>
  <c r="R174" i="83" a="1"/>
  <c r="R174" i="83" s="1"/>
  <c r="Q152" i="83"/>
  <c r="Q174" i="83" s="1" a="1"/>
  <c r="Q174" i="83" s="1"/>
  <c r="U174" i="83" a="1"/>
  <c r="U174" i="83" s="1"/>
  <c r="S174" i="83" a="1"/>
  <c r="S174" i="83" s="1"/>
  <c r="W238" i="124" a="1"/>
  <c r="W238" i="124" s="1"/>
  <c r="AI242" i="124" a="1"/>
  <c r="AI242" i="124" s="1"/>
  <c r="J176" i="83" a="1"/>
  <c r="J176" i="83" s="1"/>
  <c r="F154" i="83"/>
  <c r="F176" i="83" s="1" a="1"/>
  <c r="F176" i="83" s="1"/>
  <c r="I176" i="83" a="1"/>
  <c r="I176" i="83" s="1"/>
  <c r="H176" i="83" a="1"/>
  <c r="H176" i="83" s="1"/>
  <c r="G176" i="83" a="1"/>
  <c r="G176" i="83" s="1"/>
  <c r="I293" i="124" a="1"/>
  <c r="I293" i="124" s="1"/>
  <c r="I294" i="124" a="1"/>
  <c r="I294" i="124" s="1"/>
  <c r="U177" i="83" a="1"/>
  <c r="U177" i="83" s="1"/>
  <c r="T177" i="83" a="1"/>
  <c r="T177" i="83" s="1"/>
  <c r="S177" i="83" a="1"/>
  <c r="S177" i="83" s="1"/>
  <c r="R177" i="83" a="1"/>
  <c r="R177" i="83" s="1"/>
  <c r="Q155" i="83"/>
  <c r="Q177" i="83" s="1" a="1"/>
  <c r="Q177" i="83" s="1"/>
  <c r="I90" i="112" a="1"/>
  <c r="I90" i="112" s="1"/>
  <c r="H188" i="112" s="1"/>
  <c r="G59" i="112" a="1"/>
  <c r="G59" i="112" s="1"/>
  <c r="I59" i="112" s="1" a="1"/>
  <c r="I59" i="112" s="1"/>
  <c r="H157" i="112" s="1"/>
  <c r="Q153" i="83"/>
  <c r="Q175" i="83" s="1" a="1"/>
  <c r="Q175" i="83" s="1"/>
  <c r="S175" i="83" a="1"/>
  <c r="S175" i="83" s="1"/>
  <c r="T175" i="83" a="1"/>
  <c r="T175" i="83" s="1"/>
  <c r="U175" i="83" a="1"/>
  <c r="U175" i="83" s="1"/>
  <c r="R175" i="83" a="1"/>
  <c r="R175" i="83" s="1"/>
  <c r="F115" i="92" a="1"/>
  <c r="F115" i="92" s="1"/>
  <c r="F132" i="92" s="1" a="1"/>
  <c r="F132" i="92" s="1"/>
  <c r="F180" i="92" s="1" a="1"/>
  <c r="F180" i="92" s="1"/>
  <c r="W245" i="124" a="1"/>
  <c r="W245" i="124" s="1"/>
  <c r="AI240" i="124" a="1"/>
  <c r="AI240" i="124" s="1"/>
  <c r="Q157" i="83"/>
  <c r="Q179" i="83" s="1" a="1"/>
  <c r="Q179" i="83" s="1"/>
  <c r="T179" i="83" a="1"/>
  <c r="T179" i="83" s="1"/>
  <c r="R179" i="83" a="1"/>
  <c r="R179" i="83" s="1"/>
  <c r="S179" i="83" a="1"/>
  <c r="S179" i="83" s="1"/>
  <c r="U179" i="83" a="1"/>
  <c r="U179" i="83" s="1"/>
  <c r="G115" i="92" a="1"/>
  <c r="G115" i="92" s="1"/>
  <c r="G132" i="92" s="1" a="1"/>
  <c r="G132" i="92" s="1"/>
  <c r="G180" i="92" s="1" a="1"/>
  <c r="G180" i="92" s="1"/>
  <c r="I60" i="112" a="1"/>
  <c r="I60" i="112" s="1"/>
  <c r="H158" i="112" s="1"/>
  <c r="I158" i="112" s="1"/>
  <c r="K158" i="112" s="1" a="1"/>
  <c r="K158" i="112" s="1"/>
  <c r="M170" i="92"/>
  <c r="O285" i="83"/>
  <c r="W236" i="124" a="1"/>
  <c r="W236" i="124" s="1"/>
  <c r="F236" i="124" s="1" a="1"/>
  <c r="F236" i="124" s="1"/>
  <c r="AI236" i="124" a="1"/>
  <c r="AI236" i="124" s="1"/>
  <c r="Q200" i="83"/>
  <c r="T206" i="83" a="1"/>
  <c r="T206" i="83" s="1"/>
  <c r="S206" i="83" a="1"/>
  <c r="S206" i="83" s="1"/>
  <c r="U206" i="83" a="1"/>
  <c r="U206" i="83" s="1"/>
  <c r="R206" i="83" a="1"/>
  <c r="R206" i="83" s="1"/>
  <c r="O180" i="92" a="1"/>
  <c r="O180" i="92" s="1"/>
  <c r="O170" i="92"/>
  <c r="F170" i="92"/>
  <c r="P208" i="84"/>
  <c r="Q285" i="83"/>
  <c r="Q114" i="83" a="1"/>
  <c r="Q114" i="83" s="1"/>
  <c r="I68" i="112" a="1"/>
  <c r="I68" i="112" s="1"/>
  <c r="H166" i="112" s="1"/>
  <c r="I166" i="112" s="1"/>
  <c r="K166" i="112" s="1" a="1"/>
  <c r="K166" i="112" s="1"/>
  <c r="I75" i="112" a="1"/>
  <c r="I75" i="112" s="1"/>
  <c r="H173" i="112" s="1"/>
  <c r="I173" i="112" s="1"/>
  <c r="K173" i="112" s="1" a="1"/>
  <c r="K173" i="112" s="1"/>
  <c r="G287" i="124" a="1"/>
  <c r="G287" i="124" s="1"/>
  <c r="Q31" i="106" a="1"/>
  <c r="Q31" i="106" s="1"/>
  <c r="G289" i="124" a="1"/>
  <c r="G289" i="124" s="1"/>
  <c r="Q180" i="92" a="1"/>
  <c r="Q180" i="92" s="1"/>
  <c r="E36" i="109"/>
  <c r="G295" i="124" a="1"/>
  <c r="G295" i="124" s="1"/>
  <c r="G21" i="112" a="1"/>
  <c r="G21" i="112" s="1"/>
  <c r="I21" i="112" s="1" a="1"/>
  <c r="I21" i="112" s="1"/>
  <c r="H116" i="112" s="1"/>
  <c r="G116" i="112" a="1"/>
  <c r="G116" i="112" s="1"/>
  <c r="I116" i="112" s="1"/>
  <c r="K116" i="112" s="1" a="1"/>
  <c r="K116" i="112" s="1"/>
  <c r="G157" i="112" a="1"/>
  <c r="G157" i="112" s="1"/>
  <c r="E115" i="92" a="1"/>
  <c r="E115" i="92" s="1"/>
  <c r="E132" i="92" s="1" a="1"/>
  <c r="E132" i="92" s="1"/>
  <c r="E180" i="92" s="1" a="1"/>
  <c r="E180" i="92" s="1"/>
  <c r="E182" i="92" s="1"/>
  <c r="G184" i="92" s="1"/>
  <c r="P115" i="92" a="1"/>
  <c r="P115" i="92" s="1"/>
  <c r="P132" i="92" s="1" a="1"/>
  <c r="P132" i="92" s="1"/>
  <c r="P180" i="92" s="1" a="1"/>
  <c r="P180" i="92" s="1"/>
  <c r="K137" i="112" a="1"/>
  <c r="K137" i="112" s="1"/>
  <c r="E657" i="124"/>
  <c r="Q236" i="124"/>
  <c r="S236" i="124" s="1" a="1"/>
  <c r="S236" i="124" s="1"/>
  <c r="S243" i="124" a="1"/>
  <c r="S243" i="124" s="1"/>
  <c r="S245" i="124" a="1"/>
  <c r="S245" i="124" s="1"/>
  <c r="S238" i="124" a="1"/>
  <c r="S238" i="124" s="1"/>
  <c r="S240" i="124" a="1"/>
  <c r="S240" i="124" s="1"/>
  <c r="S244" i="124" a="1"/>
  <c r="S244" i="124" s="1"/>
  <c r="F244" i="124" s="1" a="1"/>
  <c r="F244" i="124" s="1"/>
  <c r="S237" i="124" a="1"/>
  <c r="S237" i="124" s="1"/>
  <c r="S239" i="124" a="1"/>
  <c r="S239" i="124" s="1"/>
  <c r="S241" i="124" a="1"/>
  <c r="S241" i="124" s="1"/>
  <c r="S242" i="124" a="1"/>
  <c r="S242" i="124" s="1"/>
  <c r="F200" i="83"/>
  <c r="G206" i="83" a="1"/>
  <c r="G206" i="83" s="1"/>
  <c r="I206" i="83" a="1"/>
  <c r="I206" i="83" s="1"/>
  <c r="H206" i="83" a="1"/>
  <c r="H206" i="83" s="1"/>
  <c r="J206" i="83" a="1"/>
  <c r="J206" i="83" s="1"/>
  <c r="I91" i="112" a="1"/>
  <c r="I91" i="112" s="1"/>
  <c r="H189" i="112" s="1"/>
  <c r="E170" i="92"/>
  <c r="N170" i="92"/>
  <c r="P285" i="83"/>
  <c r="R114" i="83" a="1"/>
  <c r="R114" i="83" s="1"/>
  <c r="Y236" i="124"/>
  <c r="AA236" i="124" s="1" a="1"/>
  <c r="AA236" i="124" s="1"/>
  <c r="AA245" i="124" a="1"/>
  <c r="AA245" i="124" s="1"/>
  <c r="AA238" i="124" a="1"/>
  <c r="AA238" i="124" s="1"/>
  <c r="AA240" i="124" a="1"/>
  <c r="AA240" i="124" s="1"/>
  <c r="AA242" i="124" a="1"/>
  <c r="AA242" i="124" s="1"/>
  <c r="AA239" i="124" a="1"/>
  <c r="AA239" i="124" s="1"/>
  <c r="AA241" i="124" a="1"/>
  <c r="AA241" i="124" s="1"/>
  <c r="AA243" i="124" a="1"/>
  <c r="AA243" i="124" s="1"/>
  <c r="AA237" i="124" a="1"/>
  <c r="AA237" i="124" s="1"/>
  <c r="AA244" i="124" a="1"/>
  <c r="AA244" i="124" s="1"/>
  <c r="AK236" i="124"/>
  <c r="AM236" i="124" s="1" a="1"/>
  <c r="AM236" i="124" s="1"/>
  <c r="AM242" i="124" a="1"/>
  <c r="AM242" i="124" s="1"/>
  <c r="AM243" i="124" a="1"/>
  <c r="AM243" i="124" s="1"/>
  <c r="AM245" i="124" a="1"/>
  <c r="AM245" i="124" s="1"/>
  <c r="AM238" i="124" a="1"/>
  <c r="AM238" i="124" s="1"/>
  <c r="AM240" i="124" a="1"/>
  <c r="AM240" i="124" s="1"/>
  <c r="AM241" i="124" a="1"/>
  <c r="AM241" i="124" s="1"/>
  <c r="AM239" i="124" a="1"/>
  <c r="AM239" i="124" s="1"/>
  <c r="AM237" i="124" a="1"/>
  <c r="AM237" i="124" s="1"/>
  <c r="AM244" i="124" a="1"/>
  <c r="AM244" i="124" s="1"/>
  <c r="F157" i="83"/>
  <c r="F179" i="83" s="1" a="1"/>
  <c r="F179" i="83" s="1"/>
  <c r="I179" i="83" a="1"/>
  <c r="I179" i="83" s="1"/>
  <c r="H179" i="83" a="1"/>
  <c r="H179" i="83" s="1"/>
  <c r="G179" i="83" a="1"/>
  <c r="G179" i="83" s="1"/>
  <c r="J179" i="83" a="1"/>
  <c r="J179" i="83" s="1"/>
  <c r="I76" i="112" a="1"/>
  <c r="I76" i="112" s="1"/>
  <c r="H174" i="112" s="1"/>
  <c r="I174" i="112" s="1"/>
  <c r="K174" i="112" s="1" a="1"/>
  <c r="K174" i="112" s="1"/>
  <c r="W242" i="124" a="1"/>
  <c r="W242" i="124" s="1"/>
  <c r="AI239" i="124" a="1"/>
  <c r="AI239" i="124" s="1"/>
  <c r="G174" i="83" a="1"/>
  <c r="G174" i="83" s="1"/>
  <c r="I174" i="83" a="1"/>
  <c r="I174" i="83" s="1"/>
  <c r="J174" i="83" a="1"/>
  <c r="J174" i="83" s="1"/>
  <c r="H174" i="83" a="1"/>
  <c r="H174" i="83" s="1"/>
  <c r="F152" i="83"/>
  <c r="F174" i="83" s="1" a="1"/>
  <c r="F174" i="83" s="1"/>
  <c r="F64" i="109" a="1"/>
  <c r="F64" i="109" s="1"/>
  <c r="Q156" i="83"/>
  <c r="Q178" i="83" s="1" a="1"/>
  <c r="Q178" i="83" s="1"/>
  <c r="T178" i="83" a="1"/>
  <c r="T178" i="83" s="1"/>
  <c r="S178" i="83" a="1"/>
  <c r="S178" i="83" s="1"/>
  <c r="R178" i="83" a="1"/>
  <c r="R178" i="83" s="1"/>
  <c r="U178" i="83" a="1"/>
  <c r="U178" i="83" s="1"/>
  <c r="I65" i="112" a="1"/>
  <c r="I65" i="112" s="1"/>
  <c r="H163" i="112" s="1"/>
  <c r="I163" i="112" s="1"/>
  <c r="K163" i="112" s="1" a="1"/>
  <c r="K163" i="112" s="1"/>
  <c r="I69" i="112" a="1"/>
  <c r="I69" i="112" s="1"/>
  <c r="H167" i="112" s="1"/>
  <c r="I167" i="112" s="1"/>
  <c r="K167" i="112" s="1" a="1"/>
  <c r="K167" i="112" s="1"/>
  <c r="I123" i="112"/>
  <c r="K123" i="112" s="1" a="1"/>
  <c r="K123" i="112" s="1"/>
  <c r="M115" i="92" a="1"/>
  <c r="M115" i="92" s="1"/>
  <c r="M132" i="92" s="1" a="1"/>
  <c r="M132" i="92" s="1"/>
  <c r="M180" i="92" s="1" a="1"/>
  <c r="M180" i="92" s="1"/>
  <c r="W244" i="124" a="1"/>
  <c r="W244" i="124" s="1"/>
  <c r="AI238" i="124" a="1"/>
  <c r="AI238" i="124" s="1"/>
  <c r="F153" i="83"/>
  <c r="F175" i="83" s="1" a="1"/>
  <c r="F175" i="83" s="1"/>
  <c r="I175" i="83" a="1"/>
  <c r="I175" i="83" s="1"/>
  <c r="H175" i="83" a="1"/>
  <c r="H175" i="83" s="1"/>
  <c r="J175" i="83" a="1"/>
  <c r="J175" i="83" s="1"/>
  <c r="G175" i="83" a="1"/>
  <c r="G175" i="83" s="1"/>
  <c r="O21" i="94"/>
  <c r="I178" i="83" a="1"/>
  <c r="I178" i="83" s="1"/>
  <c r="J178" i="83" a="1"/>
  <c r="J178" i="83" s="1"/>
  <c r="H178" i="83" a="1"/>
  <c r="H178" i="83" s="1"/>
  <c r="G178" i="83" a="1"/>
  <c r="G178" i="83" s="1"/>
  <c r="F156" i="83"/>
  <c r="F178" i="83" s="1" a="1"/>
  <c r="F178" i="83" s="1"/>
  <c r="AC236" i="124"/>
  <c r="AE236" i="124" s="1" a="1"/>
  <c r="AE236" i="124" s="1"/>
  <c r="AE240" i="124" a="1"/>
  <c r="AE240" i="124" s="1"/>
  <c r="AE241" i="124" a="1"/>
  <c r="AE241" i="124" s="1"/>
  <c r="AE243" i="124" a="1"/>
  <c r="AE243" i="124" s="1"/>
  <c r="AE245" i="124" a="1"/>
  <c r="AE245" i="124" s="1"/>
  <c r="AE238" i="124" a="1"/>
  <c r="AE238" i="124" s="1"/>
  <c r="AE239" i="124" a="1"/>
  <c r="AE239" i="124" s="1"/>
  <c r="AE237" i="124" a="1"/>
  <c r="AE237" i="124" s="1"/>
  <c r="AE244" i="124" a="1"/>
  <c r="AE244" i="124" s="1"/>
  <c r="AE242" i="124" a="1"/>
  <c r="AE242" i="124" s="1"/>
  <c r="Q154" i="83"/>
  <c r="Q176" i="83" s="1" a="1"/>
  <c r="Q176" i="83" s="1"/>
  <c r="T176" i="83" a="1"/>
  <c r="T176" i="83" s="1"/>
  <c r="R176" i="83" a="1"/>
  <c r="R176" i="83" s="1"/>
  <c r="U176" i="83" a="1"/>
  <c r="U176" i="83" s="1"/>
  <c r="S176" i="83" a="1"/>
  <c r="S176" i="83" s="1"/>
  <c r="N180" i="92" a="1"/>
  <c r="N180" i="92" s="1"/>
  <c r="W237" i="124" a="1"/>
  <c r="W237" i="124" s="1"/>
  <c r="AI245" i="124" a="1"/>
  <c r="AI245" i="124" s="1"/>
  <c r="R65" i="84" a="1"/>
  <c r="R65" i="84" s="1"/>
  <c r="R103" i="84" s="1" a="1"/>
  <c r="R103" i="84" s="1"/>
  <c r="R146" i="84" s="1" a="1"/>
  <c r="R146" i="84" s="1"/>
  <c r="R176" i="84" s="1" a="1"/>
  <c r="R176" i="84" s="1"/>
  <c r="F133" i="83" a="1"/>
  <c r="F133" i="83" s="1"/>
  <c r="F50" i="84"/>
  <c r="G133" i="83" a="1"/>
  <c r="G133" i="83" s="1"/>
  <c r="G50" i="84"/>
  <c r="E133" i="83" a="1"/>
  <c r="E133" i="83" s="1"/>
  <c r="E50" i="84"/>
  <c r="H133" i="83" a="1"/>
  <c r="H133" i="83" s="1"/>
  <c r="H50" i="84"/>
  <c r="T33" i="115"/>
  <c r="O25" i="116"/>
  <c r="J33" i="115"/>
  <c r="E25" i="116"/>
  <c r="N126" i="84" a="1"/>
  <c r="N126" i="84" s="1"/>
  <c r="I124" i="124" a="1"/>
  <c r="I124" i="124" s="1"/>
  <c r="E132" i="124" s="1"/>
  <c r="E160" i="124" s="1"/>
  <c r="G126" i="124" a="1"/>
  <c r="G126" i="124" s="1"/>
  <c r="E65" i="109"/>
  <c r="E33" i="13" a="1"/>
  <c r="E33" i="13" s="1"/>
  <c r="F33" i="13" s="1"/>
  <c r="D62" i="109"/>
  <c r="F62" i="109" s="1" a="1"/>
  <c r="F62" i="109" s="1"/>
  <c r="G32" i="13" a="1"/>
  <c r="G32" i="13" s="1"/>
  <c r="E66" i="109"/>
  <c r="G66" i="109" s="1" a="1"/>
  <c r="G66" i="109" s="1"/>
  <c r="H36" i="13" s="1"/>
  <c r="I36" i="13" s="1"/>
  <c r="E36" i="13" a="1"/>
  <c r="E36" i="13" s="1"/>
  <c r="F36" i="13" s="1"/>
  <c r="E37" i="13" a="1"/>
  <c r="E37" i="13" s="1"/>
  <c r="F37" i="13" s="1"/>
  <c r="E67" i="109"/>
  <c r="G67" i="109" s="1" a="1"/>
  <c r="G67" i="109" s="1"/>
  <c r="H37" i="13" s="1"/>
  <c r="I37" i="13" s="1"/>
  <c r="E68" i="109"/>
  <c r="G68" i="109" s="1" a="1"/>
  <c r="G68" i="109" s="1"/>
  <c r="H38" i="13" s="1"/>
  <c r="I38" i="13" s="1"/>
  <c r="E38" i="13" a="1"/>
  <c r="E38" i="13" s="1"/>
  <c r="F38" i="13" s="1"/>
  <c r="E39" i="13" a="1"/>
  <c r="E39" i="13" s="1"/>
  <c r="F39" i="13" s="1"/>
  <c r="E69" i="109"/>
  <c r="G69" i="109" s="1" a="1"/>
  <c r="G69" i="109" s="1"/>
  <c r="H39" i="13" s="1"/>
  <c r="I39" i="13" s="1"/>
  <c r="E40" i="13" a="1"/>
  <c r="E40" i="13" s="1"/>
  <c r="F40" i="13" s="1"/>
  <c r="E70" i="109"/>
  <c r="G70" i="109" s="1" a="1"/>
  <c r="G70" i="109" s="1"/>
  <c r="H40" i="13" s="1"/>
  <c r="I40" i="13" s="1"/>
  <c r="E41" i="13" a="1"/>
  <c r="E41" i="13" s="1"/>
  <c r="F41" i="13" s="1"/>
  <c r="E71" i="109"/>
  <c r="G71" i="109" s="1" a="1"/>
  <c r="G71" i="109" s="1"/>
  <c r="H41" i="13" s="1"/>
  <c r="I41" i="13" s="1"/>
  <c r="E62" i="109"/>
  <c r="E32" i="13" a="1"/>
  <c r="E32" i="13" s="1"/>
  <c r="F32" i="13" s="1"/>
  <c r="E64" i="109"/>
  <c r="G64" i="109" s="1" a="1"/>
  <c r="G64" i="109" s="1"/>
  <c r="H34" i="13" s="1"/>
  <c r="I34" i="13" s="1"/>
  <c r="E34" i="13" a="1"/>
  <c r="E34" i="13" s="1"/>
  <c r="F34" i="13" s="1"/>
  <c r="E457" i="124"/>
  <c r="G128" i="124" a="1"/>
  <c r="G128" i="124" s="1"/>
  <c r="E474" i="124"/>
  <c r="E475" i="124"/>
  <c r="E456" i="124"/>
  <c r="G123" i="124" a="1"/>
  <c r="G123" i="124" s="1"/>
  <c r="E394" i="124"/>
  <c r="E393" i="124"/>
  <c r="Q157" i="110" a="1"/>
  <c r="Q157" i="110" s="1"/>
  <c r="E35" i="124"/>
  <c r="E94" i="124" s="1"/>
  <c r="E34" i="124"/>
  <c r="E93" i="124" s="1"/>
  <c r="Q126" i="110" a="1"/>
  <c r="Q126" i="110" s="1"/>
  <c r="Q143" i="110" a="1"/>
  <c r="Q143" i="110" s="1"/>
  <c r="Q137" i="110" a="1"/>
  <c r="Q137" i="110" s="1"/>
  <c r="I127" i="112"/>
  <c r="K127" i="112" s="1" a="1"/>
  <c r="K127" i="112" s="1"/>
  <c r="Q134" i="110" a="1"/>
  <c r="Q134" i="110" s="1"/>
  <c r="I138" i="112"/>
  <c r="K138" i="112" s="1" a="1"/>
  <c r="K138" i="112" s="1"/>
  <c r="I179" i="112"/>
  <c r="K179" i="112" s="1" a="1"/>
  <c r="K179" i="112" s="1"/>
  <c r="Q145" i="110" a="1"/>
  <c r="Q145" i="110" s="1"/>
  <c r="Q122" i="110" a="1"/>
  <c r="Q122" i="110" s="1"/>
  <c r="Q124" i="110" a="1"/>
  <c r="Q124" i="110" s="1"/>
  <c r="Q116" i="110" a="1"/>
  <c r="Q116" i="110" s="1"/>
  <c r="Q117" i="110" a="1"/>
  <c r="Q117" i="110" s="1"/>
  <c r="Q151" i="110" a="1"/>
  <c r="Q151" i="110" s="1"/>
  <c r="Q158" i="110" a="1"/>
  <c r="Q158" i="110" s="1"/>
  <c r="Q123" i="110" a="1"/>
  <c r="Q123" i="110" s="1"/>
  <c r="I144" i="112"/>
  <c r="K144" i="112" s="1" a="1"/>
  <c r="K144" i="112" s="1"/>
  <c r="Q118" i="110" a="1"/>
  <c r="Q118" i="110" s="1"/>
  <c r="Q154" i="110" a="1"/>
  <c r="Q154" i="110" s="1"/>
  <c r="I157" i="112"/>
  <c r="K157" i="112" s="1" a="1"/>
  <c r="K157" i="112" s="1"/>
  <c r="Q135" i="110" a="1"/>
  <c r="Q135" i="110" s="1"/>
  <c r="Q156" i="110" a="1"/>
  <c r="Q156" i="110" s="1"/>
  <c r="Q150" i="110" a="1"/>
  <c r="Q150" i="110" s="1"/>
  <c r="Q130" i="110" a="1"/>
  <c r="Q130" i="110" s="1"/>
  <c r="Q129" i="110" a="1"/>
  <c r="Q129" i="110" s="1"/>
  <c r="Q153" i="110" a="1"/>
  <c r="Q153" i="110" s="1"/>
  <c r="Q146" i="110" a="1"/>
  <c r="Q146" i="110" s="1"/>
  <c r="Q152" i="110" a="1"/>
  <c r="Q152" i="110" s="1"/>
  <c r="Q133" i="110" a="1"/>
  <c r="Q133" i="110" s="1"/>
  <c r="Q155" i="110" a="1"/>
  <c r="Q155" i="110" s="1"/>
  <c r="F65" i="109" s="1" a="1"/>
  <c r="F65" i="109" s="1"/>
  <c r="Q160" i="110" a="1"/>
  <c r="Q160" i="110" s="1"/>
  <c r="Q114" i="110" a="1"/>
  <c r="Q114" i="110" s="1"/>
  <c r="Q113" i="110" a="1"/>
  <c r="Q113" i="110" s="1"/>
  <c r="Q136" i="110" a="1"/>
  <c r="Q136" i="110" s="1"/>
  <c r="Q119" i="110" a="1"/>
  <c r="Q119" i="110" s="1"/>
  <c r="Q132" i="110" a="1"/>
  <c r="Q132" i="110" s="1"/>
  <c r="Q144" i="110" a="1"/>
  <c r="Q144" i="110" s="1"/>
  <c r="Q125" i="110" a="1"/>
  <c r="Q125" i="110" s="1"/>
  <c r="Q128" i="110" a="1"/>
  <c r="Q128" i="110" s="1"/>
  <c r="Q141" i="110" a="1"/>
  <c r="Q141" i="110" s="1"/>
  <c r="Q115" i="110" a="1"/>
  <c r="Q115" i="110" s="1"/>
  <c r="Q120" i="110" a="1"/>
  <c r="Q120" i="110" s="1"/>
  <c r="Q140" i="110" a="1"/>
  <c r="Q140" i="110" s="1"/>
  <c r="Q139" i="110" a="1"/>
  <c r="Q139" i="110" s="1"/>
  <c r="Q127" i="110" a="1"/>
  <c r="Q127" i="110" s="1"/>
  <c r="Q149" i="110" a="1"/>
  <c r="Q149" i="110" s="1"/>
  <c r="F63" i="109" s="1" a="1"/>
  <c r="F63" i="109" s="1"/>
  <c r="G63" i="109" s="1" a="1"/>
  <c r="G63" i="109" s="1"/>
  <c r="H33" i="13" s="1"/>
  <c r="I33" i="13" s="1"/>
  <c r="Q148" i="110" a="1"/>
  <c r="Q148" i="110" s="1"/>
  <c r="Q159" i="110" a="1"/>
  <c r="Q159" i="110" s="1"/>
  <c r="Q147" i="110" a="1"/>
  <c r="Q147" i="110" s="1"/>
  <c r="Q142" i="110" a="1"/>
  <c r="Q142" i="110" s="1"/>
  <c r="Q121" i="110" a="1"/>
  <c r="Q121" i="110" s="1"/>
  <c r="Q161" i="110" a="1"/>
  <c r="Q161" i="110" s="1"/>
  <c r="E63" i="105"/>
  <c r="E52" i="106"/>
  <c r="E45" i="105"/>
  <c r="E43" i="105"/>
  <c r="E49" i="106"/>
  <c r="E46" i="106"/>
  <c r="E50" i="106"/>
  <c r="E51" i="106"/>
  <c r="E43" i="106"/>
  <c r="E44" i="106"/>
  <c r="E45" i="106"/>
  <c r="E44" i="105"/>
  <c r="E46" i="105"/>
  <c r="E64" i="105"/>
  <c r="E61" i="105"/>
  <c r="E62" i="105"/>
  <c r="J38" i="78"/>
  <c r="J37" i="78"/>
  <c r="J36" i="78"/>
  <c r="J35" i="78"/>
  <c r="J34" i="78"/>
  <c r="J33" i="78"/>
  <c r="J32" i="78"/>
  <c r="J79" i="78"/>
  <c r="J77" i="78"/>
  <c r="J76" i="78"/>
  <c r="J75" i="78"/>
  <c r="J68" i="78"/>
  <c r="J67" i="78"/>
  <c r="J66" i="78"/>
  <c r="J65" i="78"/>
  <c r="J59" i="78"/>
  <c r="J58" i="78"/>
  <c r="J57" i="78"/>
  <c r="J56" i="78"/>
  <c r="J50" i="78"/>
  <c r="J49" i="78"/>
  <c r="J48" i="78"/>
  <c r="J47" i="78"/>
  <c r="J46" i="78"/>
  <c r="J40" i="78"/>
  <c r="J39" i="78"/>
  <c r="J26" i="78"/>
  <c r="J25" i="78"/>
  <c r="J24" i="78"/>
  <c r="J23" i="78"/>
  <c r="J22" i="78"/>
  <c r="J21" i="78"/>
  <c r="J15" i="78"/>
  <c r="J14" i="78"/>
  <c r="J13" i="78"/>
  <c r="J12" i="78"/>
  <c r="J11" i="78"/>
  <c r="J10" i="78"/>
  <c r="J9" i="78"/>
  <c r="J8" i="78"/>
  <c r="O176" i="84" l="1" a="1"/>
  <c r="O176" i="84" s="1"/>
  <c r="P19" i="88" s="1"/>
  <c r="R31" i="88" s="1" a="1"/>
  <c r="R31" i="88" s="1"/>
  <c r="D60" i="84"/>
  <c r="N65" i="84" s="1" a="1"/>
  <c r="N65" i="84" s="1"/>
  <c r="N103" i="84" s="1" a="1"/>
  <c r="N103" i="84" s="1"/>
  <c r="D114" i="83" a="1"/>
  <c r="D114" i="83" s="1"/>
  <c r="F205" i="83" a="1"/>
  <c r="F205" i="83" s="1"/>
  <c r="Q206" i="83" a="1"/>
  <c r="Q206" i="83" s="1"/>
  <c r="F206" i="83" a="1"/>
  <c r="F206" i="83" s="1"/>
  <c r="Q205" i="83" a="1"/>
  <c r="Q205" i="83" s="1"/>
  <c r="N182" i="92"/>
  <c r="P184" i="92" s="1"/>
  <c r="F241" i="124" a="1"/>
  <c r="F241" i="124" s="1"/>
  <c r="F239" i="124" a="1"/>
  <c r="F239" i="124" s="1"/>
  <c r="F237" i="124" a="1"/>
  <c r="F237" i="124" s="1"/>
  <c r="Q133" i="83" a="1"/>
  <c r="Q133" i="83" s="1"/>
  <c r="P50" i="84"/>
  <c r="G285" i="124" a="1"/>
  <c r="G285" i="124" s="1"/>
  <c r="E298" i="124" s="1"/>
  <c r="I285" i="124" a="1"/>
  <c r="I285" i="124" s="1"/>
  <c r="E299" i="124" s="1"/>
  <c r="R133" i="83" a="1"/>
  <c r="R133" i="83" s="1"/>
  <c r="Q50" i="84"/>
  <c r="F240" i="124" a="1"/>
  <c r="F240" i="124" s="1"/>
  <c r="F238" i="124" a="1"/>
  <c r="F238" i="124" s="1"/>
  <c r="F242" i="124" a="1"/>
  <c r="F242" i="124" s="1"/>
  <c r="G65" i="109" a="1"/>
  <c r="G65" i="109" s="1"/>
  <c r="H35" i="13" s="1"/>
  <c r="I35" i="13" s="1"/>
  <c r="F245" i="124" a="1"/>
  <c r="F245" i="124" s="1"/>
  <c r="F243" i="124" a="1"/>
  <c r="F243" i="124" s="1"/>
  <c r="R213" i="84" a="1"/>
  <c r="R213" i="84" s="1"/>
  <c r="T244" i="84" s="1" a="1"/>
  <c r="T244" i="84" s="1"/>
  <c r="H65" i="84" a="1"/>
  <c r="H65" i="84" s="1"/>
  <c r="H103" i="84" s="1" a="1"/>
  <c r="H103" i="84" s="1"/>
  <c r="H126" i="84" a="1"/>
  <c r="H126" i="84" s="1"/>
  <c r="E126" i="84" a="1"/>
  <c r="E126" i="84" s="1"/>
  <c r="E65" i="84" a="1"/>
  <c r="E65" i="84" s="1"/>
  <c r="E103" i="84" s="1" a="1"/>
  <c r="E103" i="84" s="1"/>
  <c r="G126" i="84" a="1"/>
  <c r="G126" i="84" s="1"/>
  <c r="G65" i="84" a="1"/>
  <c r="G65" i="84" s="1"/>
  <c r="G103" i="84" s="1" a="1"/>
  <c r="G103" i="84" s="1"/>
  <c r="F65" i="84" a="1"/>
  <c r="F65" i="84" s="1"/>
  <c r="F103" i="84" s="1" a="1"/>
  <c r="F103" i="84" s="1"/>
  <c r="F126" i="84" a="1"/>
  <c r="F126" i="84" s="1"/>
  <c r="N146" i="84" a="1"/>
  <c r="N146" i="84" s="1"/>
  <c r="R23" i="90"/>
  <c r="R19" i="89"/>
  <c r="R24" i="89" s="1" a="1"/>
  <c r="R24" i="89" s="1"/>
  <c r="E131" i="124"/>
  <c r="E159" i="124" s="1"/>
  <c r="G62" i="109" a="1"/>
  <c r="G62" i="109" s="1"/>
  <c r="H32" i="13" s="1"/>
  <c r="I32" i="13" s="1"/>
  <c r="E151" i="112"/>
  <c r="E42" i="13" s="1" a="1"/>
  <c r="E42" i="13" s="1"/>
  <c r="H42" i="13" s="1"/>
  <c r="E192" i="112"/>
  <c r="E603" i="124" s="1"/>
  <c r="E56" i="106"/>
  <c r="E55" i="106"/>
  <c r="E69" i="105"/>
  <c r="E57" i="106"/>
  <c r="E67" i="105"/>
  <c r="E58" i="106"/>
  <c r="I531" i="124" s="1"/>
  <c r="E70" i="105"/>
  <c r="I530" i="124" s="1"/>
  <c r="E68" i="105"/>
  <c r="Q250" i="84" a="1"/>
  <c r="Q250" i="84" s="1"/>
  <c r="Q247" i="84" a="1"/>
  <c r="Q247" i="84" s="1"/>
  <c r="Q244" i="84" a="1"/>
  <c r="Q244" i="84" s="1"/>
  <c r="Q248" i="84" a="1"/>
  <c r="Q248" i="84" s="1"/>
  <c r="Q245" i="84" a="1"/>
  <c r="Q245" i="84" s="1"/>
  <c r="Q249" i="84" a="1"/>
  <c r="Q249" i="84" s="1"/>
  <c r="Q246" i="84" a="1"/>
  <c r="Q246" i="84" s="1"/>
  <c r="Q243" i="84" a="1"/>
  <c r="Q243" i="84" s="1"/>
  <c r="D79" i="78"/>
  <c r="D77" i="78"/>
  <c r="D76" i="78"/>
  <c r="D75" i="78"/>
  <c r="D68" i="78"/>
  <c r="D67" i="78"/>
  <c r="D66" i="78"/>
  <c r="D65" i="78"/>
  <c r="D59" i="78"/>
  <c r="D58" i="78"/>
  <c r="D57" i="78"/>
  <c r="J61" i="78"/>
  <c r="D56" i="78"/>
  <c r="D50" i="78"/>
  <c r="D49" i="78"/>
  <c r="D48" i="78"/>
  <c r="D47" i="78"/>
  <c r="D46" i="78"/>
  <c r="D40" i="78"/>
  <c r="D39" i="78"/>
  <c r="D37" i="78"/>
  <c r="D36" i="78"/>
  <c r="D35" i="78"/>
  <c r="D34" i="78"/>
  <c r="D33" i="78"/>
  <c r="D32" i="78"/>
  <c r="D26" i="78"/>
  <c r="D25" i="78"/>
  <c r="D24" i="78"/>
  <c r="D23" i="78"/>
  <c r="D22" i="78"/>
  <c r="D21" i="78"/>
  <c r="D15" i="78"/>
  <c r="D14" i="78"/>
  <c r="D12" i="78"/>
  <c r="D11" i="78"/>
  <c r="D10" i="78"/>
  <c r="D133" i="83" l="1" a="1"/>
  <c r="D133" i="83" s="1"/>
  <c r="D50" i="84"/>
  <c r="Q126" i="84" a="1"/>
  <c r="Q126" i="84" s="1"/>
  <c r="Q65" i="84" a="1"/>
  <c r="Q65" i="84" s="1"/>
  <c r="Q103" i="84" s="1" a="1"/>
  <c r="Q103" i="84" s="1"/>
  <c r="Q146" i="84" s="1" a="1"/>
  <c r="Q146" i="84" s="1"/>
  <c r="T247" i="84" a="1"/>
  <c r="T247" i="84" s="1"/>
  <c r="T248" i="84" a="1"/>
  <c r="T248" i="84" s="1"/>
  <c r="U24" i="85" s="1"/>
  <c r="U45" i="85" s="1" a="1"/>
  <c r="U45" i="85" s="1"/>
  <c r="P126" i="84" a="1"/>
  <c r="P126" i="84" s="1"/>
  <c r="P65" i="84" a="1"/>
  <c r="P65" i="84" s="1"/>
  <c r="P103" i="84" s="1" a="1"/>
  <c r="P103" i="84" s="1"/>
  <c r="T243" i="84" a="1"/>
  <c r="T243" i="84" s="1"/>
  <c r="U19" i="85" s="1"/>
  <c r="U40" i="85" s="1" a="1"/>
  <c r="U40" i="85" s="1"/>
  <c r="S19" i="88"/>
  <c r="U31" i="88" s="1" a="1"/>
  <c r="U31" i="88" s="1"/>
  <c r="U19" i="89" s="1"/>
  <c r="U24" i="89" s="1" a="1"/>
  <c r="U24" i="89" s="1"/>
  <c r="T245" i="84" a="1"/>
  <c r="T245" i="84" s="1"/>
  <c r="U21" i="85" s="1"/>
  <c r="U42" i="85" s="1" a="1"/>
  <c r="U42" i="85" s="1"/>
  <c r="T249" i="84" a="1"/>
  <c r="T249" i="84" s="1"/>
  <c r="T250" i="84" a="1"/>
  <c r="T250" i="84" s="1"/>
  <c r="U47" i="87" s="1"/>
  <c r="T246" i="84" a="1"/>
  <c r="T246" i="84" s="1"/>
  <c r="F146" i="84" a="1"/>
  <c r="F146" i="84" s="1"/>
  <c r="F213" i="84" s="1" a="1"/>
  <c r="F213" i="84" s="1"/>
  <c r="G146" i="84" a="1"/>
  <c r="G146" i="84" s="1"/>
  <c r="G176" i="84" s="1" a="1"/>
  <c r="G176" i="84" s="1"/>
  <c r="H146" i="84" a="1"/>
  <c r="H146" i="84" s="1"/>
  <c r="H213" i="84" s="1" a="1"/>
  <c r="H213" i="84" s="1"/>
  <c r="E146" i="84" a="1"/>
  <c r="E146" i="84" s="1"/>
  <c r="H176" i="84" a="1"/>
  <c r="H176" i="84" s="1"/>
  <c r="N213" i="84" a="1"/>
  <c r="N213" i="84" s="1"/>
  <c r="N176" i="84" a="1"/>
  <c r="N176" i="84" s="1"/>
  <c r="R21" i="85"/>
  <c r="R42" i="85" s="1" a="1"/>
  <c r="R42" i="85" s="1"/>
  <c r="R42" i="87"/>
  <c r="R20" i="85"/>
  <c r="R41" i="85" s="1" a="1"/>
  <c r="R41" i="85" s="1"/>
  <c r="R41" i="87"/>
  <c r="R23" i="85"/>
  <c r="R44" i="85" s="1" a="1"/>
  <c r="R44" i="85" s="1"/>
  <c r="R44" i="87"/>
  <c r="R22" i="85"/>
  <c r="R43" i="85" s="1" a="1"/>
  <c r="R43" i="85" s="1"/>
  <c r="R23" i="86"/>
  <c r="R43" i="87"/>
  <c r="R45" i="87"/>
  <c r="R24" i="85"/>
  <c r="R45" i="85" s="1" a="1"/>
  <c r="R45" i="85" s="1"/>
  <c r="U41" i="87"/>
  <c r="U20" i="85"/>
  <c r="U41" i="85" s="1" a="1"/>
  <c r="U41" i="85" s="1"/>
  <c r="U46" i="87"/>
  <c r="U25" i="85"/>
  <c r="U46" i="85" s="1" a="1"/>
  <c r="U46" i="85" s="1"/>
  <c r="U23" i="85"/>
  <c r="U44" i="85" s="1" a="1"/>
  <c r="U44" i="85" s="1"/>
  <c r="U44" i="87"/>
  <c r="R19" i="85"/>
  <c r="R40" i="85" s="1" a="1"/>
  <c r="R40" i="85" s="1"/>
  <c r="R40" i="87"/>
  <c r="R46" i="87"/>
  <c r="R25" i="85"/>
  <c r="R46" i="85" s="1" a="1"/>
  <c r="R46" i="85" s="1"/>
  <c r="R26" i="85"/>
  <c r="R47" i="85" s="1" a="1"/>
  <c r="R47" i="85" s="1"/>
  <c r="R47" i="87"/>
  <c r="R24" i="86"/>
  <c r="E73" i="109"/>
  <c r="E533" i="124" a="1"/>
  <c r="E533" i="124" s="1"/>
  <c r="J81" i="78"/>
  <c r="J52" i="78"/>
  <c r="J28" i="78"/>
  <c r="J42" i="78"/>
  <c r="J70" i="78"/>
  <c r="J17" i="78"/>
  <c r="P146" i="84" l="1" a="1"/>
  <c r="P146" i="84" s="1"/>
  <c r="U23" i="90"/>
  <c r="U42" i="87"/>
  <c r="U45" i="87"/>
  <c r="D65" i="84" a="1"/>
  <c r="D65" i="84" s="1"/>
  <c r="D103" i="84" s="1" a="1"/>
  <c r="D103" i="84" s="1"/>
  <c r="D126" i="84" a="1"/>
  <c r="D126" i="84" s="1"/>
  <c r="D146" i="84" s="1" a="1"/>
  <c r="D146" i="84" s="1"/>
  <c r="U40" i="87"/>
  <c r="U76" i="87" s="1" a="1"/>
  <c r="U76" i="87" s="1"/>
  <c r="U26" i="85"/>
  <c r="U47" i="85" s="1" a="1"/>
  <c r="U47" i="85" s="1"/>
  <c r="U24" i="86"/>
  <c r="U22" i="85"/>
  <c r="U43" i="85" s="1" a="1"/>
  <c r="U43" i="85" s="1"/>
  <c r="U43" i="87"/>
  <c r="U23" i="86"/>
  <c r="P213" i="84" a="1"/>
  <c r="P213" i="84" s="1"/>
  <c r="P176" i="84" a="1"/>
  <c r="P176" i="84" s="1"/>
  <c r="Q213" i="84" a="1"/>
  <c r="Q213" i="84" s="1"/>
  <c r="Q176" i="84" a="1"/>
  <c r="Q176" i="84" s="1"/>
  <c r="F176" i="84" a="1"/>
  <c r="F176" i="84" s="1"/>
  <c r="G213" i="84" a="1"/>
  <c r="G213" i="84" s="1"/>
  <c r="J243" i="84" a="1"/>
  <c r="J243" i="84" s="1"/>
  <c r="J249" i="84" a="1"/>
  <c r="J249" i="84" s="1"/>
  <c r="J250" i="84" a="1"/>
  <c r="J250" i="84" s="1"/>
  <c r="J245" i="84" a="1"/>
  <c r="J245" i="84" s="1"/>
  <c r="J244" i="84" a="1"/>
  <c r="J244" i="84" s="1"/>
  <c r="J246" i="84" a="1"/>
  <c r="J246" i="84" s="1"/>
  <c r="H19" i="88"/>
  <c r="J31" i="88" s="1" a="1"/>
  <c r="J31" i="88" s="1"/>
  <c r="J247" i="84" a="1"/>
  <c r="J247" i="84" s="1"/>
  <c r="J248" i="84" a="1"/>
  <c r="J248" i="84" s="1"/>
  <c r="F19" i="88"/>
  <c r="H31" i="88" s="1" a="1"/>
  <c r="H31" i="88" s="1"/>
  <c r="H249" i="84" a="1"/>
  <c r="H249" i="84" s="1"/>
  <c r="H246" i="84" a="1"/>
  <c r="H246" i="84" s="1"/>
  <c r="H243" i="84" a="1"/>
  <c r="H243" i="84" s="1"/>
  <c r="H250" i="84" a="1"/>
  <c r="H250" i="84" s="1"/>
  <c r="H247" i="84" a="1"/>
  <c r="H247" i="84" s="1"/>
  <c r="H244" i="84" a="1"/>
  <c r="H244" i="84" s="1"/>
  <c r="H245" i="84" a="1"/>
  <c r="H245" i="84" s="1"/>
  <c r="H248" i="84" a="1"/>
  <c r="H248" i="84" s="1"/>
  <c r="G19" i="88"/>
  <c r="I31" i="88" s="1" a="1"/>
  <c r="I31" i="88" s="1"/>
  <c r="I245" i="84" a="1"/>
  <c r="I245" i="84" s="1"/>
  <c r="I247" i="84" a="1"/>
  <c r="I247" i="84" s="1"/>
  <c r="I244" i="84" a="1"/>
  <c r="I244" i="84" s="1"/>
  <c r="I249" i="84" a="1"/>
  <c r="I249" i="84" s="1"/>
  <c r="I246" i="84" a="1"/>
  <c r="I246" i="84" s="1"/>
  <c r="I243" i="84" a="1"/>
  <c r="I243" i="84" s="1"/>
  <c r="I250" i="84" a="1"/>
  <c r="I250" i="84" s="1"/>
  <c r="I248" i="84" a="1"/>
  <c r="I248" i="84" s="1"/>
  <c r="E213" i="84" a="1"/>
  <c r="E213" i="84" s="1"/>
  <c r="E176" i="84" a="1"/>
  <c r="E176" i="84" s="1"/>
  <c r="O19" i="88"/>
  <c r="Q31" i="88" s="1" a="1"/>
  <c r="Q31" i="88" s="1"/>
  <c r="P243" i="84" a="1"/>
  <c r="P243" i="84" s="1"/>
  <c r="P250" i="84" a="1"/>
  <c r="P250" i="84" s="1"/>
  <c r="P247" i="84" a="1"/>
  <c r="P247" i="84" s="1"/>
  <c r="P246" i="84" a="1"/>
  <c r="P246" i="84" s="1"/>
  <c r="P244" i="84" a="1"/>
  <c r="P244" i="84" s="1"/>
  <c r="P245" i="84" a="1"/>
  <c r="P245" i="84" s="1"/>
  <c r="P248" i="84" a="1"/>
  <c r="P248" i="84" s="1"/>
  <c r="P249" i="84" a="1"/>
  <c r="P249" i="84" s="1"/>
  <c r="U141" i="87" a="1"/>
  <c r="U141" i="87" s="1"/>
  <c r="U108" i="87" a="1"/>
  <c r="U108" i="87" s="1"/>
  <c r="U78" i="87" a="1"/>
  <c r="U78" i="87" s="1"/>
  <c r="U112" i="87" a="1"/>
  <c r="U112" i="87" s="1"/>
  <c r="U82" i="87" a="1"/>
  <c r="U82" i="87" s="1"/>
  <c r="U145" i="87" a="1"/>
  <c r="U145" i="87" s="1"/>
  <c r="R77" i="87" a="1"/>
  <c r="R77" i="87" s="1"/>
  <c r="R140" i="87" a="1"/>
  <c r="R140" i="87" s="1"/>
  <c r="R107" i="87" a="1"/>
  <c r="R107" i="87" s="1"/>
  <c r="U144" i="87" a="1"/>
  <c r="U144" i="87" s="1"/>
  <c r="U111" i="87" a="1"/>
  <c r="U111" i="87" s="1"/>
  <c r="U81" i="87" a="1"/>
  <c r="U81" i="87" s="1"/>
  <c r="U140" i="87" a="1"/>
  <c r="U140" i="87" s="1"/>
  <c r="U107" i="87" a="1"/>
  <c r="U107" i="87" s="1"/>
  <c r="U77" i="87" a="1"/>
  <c r="U77" i="87" s="1"/>
  <c r="R78" i="87" a="1"/>
  <c r="R78" i="87" s="1"/>
  <c r="R141" i="87" a="1"/>
  <c r="R141" i="87" s="1"/>
  <c r="R108" i="87" a="1"/>
  <c r="R108" i="87" s="1"/>
  <c r="R145" i="87" a="1"/>
  <c r="R145" i="87" s="1"/>
  <c r="R82" i="87" a="1"/>
  <c r="R82" i="87" s="1"/>
  <c r="R112" i="87" a="1"/>
  <c r="R112" i="87" s="1"/>
  <c r="R80" i="87" a="1"/>
  <c r="R80" i="87" s="1"/>
  <c r="R143" i="87" a="1"/>
  <c r="R143" i="87" s="1"/>
  <c r="R110" i="87" a="1"/>
  <c r="R110" i="87" s="1"/>
  <c r="U80" i="87" a="1"/>
  <c r="U80" i="87" s="1"/>
  <c r="U110" i="87" a="1"/>
  <c r="U110" i="87" s="1"/>
  <c r="U143" i="87" a="1"/>
  <c r="U143" i="87" s="1"/>
  <c r="R106" i="87" a="1"/>
  <c r="R106" i="87" s="1"/>
  <c r="R139" i="87" a="1"/>
  <c r="R139" i="87" s="1"/>
  <c r="R76" i="87" a="1"/>
  <c r="R76" i="87" s="1"/>
  <c r="R81" i="87" a="1"/>
  <c r="R81" i="87" s="1"/>
  <c r="R111" i="87" a="1"/>
  <c r="R111" i="87" s="1"/>
  <c r="R144" i="87" a="1"/>
  <c r="R144" i="87" s="1"/>
  <c r="D176" i="84" a="1"/>
  <c r="D176" i="84" s="1"/>
  <c r="D213" i="84" a="1"/>
  <c r="D213" i="84" s="1"/>
  <c r="E83" i="78"/>
  <c r="G58" i="80"/>
  <c r="G59" i="80" s="1"/>
  <c r="G56" i="80"/>
  <c r="G57" i="80" s="1"/>
  <c r="G54" i="80"/>
  <c r="F60" i="80"/>
  <c r="F58" i="80"/>
  <c r="F59" i="80" s="1"/>
  <c r="F50" i="80"/>
  <c r="F48" i="80"/>
  <c r="F49" i="80" s="1"/>
  <c r="E23" i="72" a="1"/>
  <c r="E23" i="72" s="1"/>
  <c r="U139" i="87" l="1" a="1"/>
  <c r="U139" i="87" s="1"/>
  <c r="U106" i="87" a="1"/>
  <c r="U106" i="87" s="1"/>
  <c r="R19" i="88"/>
  <c r="T31" i="88" s="1" a="1"/>
  <c r="T31" i="88" s="1"/>
  <c r="S245" i="84" a="1"/>
  <c r="S245" i="84" s="1"/>
  <c r="S248" i="84" a="1"/>
  <c r="S248" i="84" s="1"/>
  <c r="S250" i="84" a="1"/>
  <c r="S250" i="84" s="1"/>
  <c r="S247" i="84" a="1"/>
  <c r="S247" i="84" s="1"/>
  <c r="S249" i="84" a="1"/>
  <c r="S249" i="84" s="1"/>
  <c r="S244" i="84" a="1"/>
  <c r="S244" i="84" s="1"/>
  <c r="S246" i="84" a="1"/>
  <c r="S246" i="84" s="1"/>
  <c r="S243" i="84" a="1"/>
  <c r="S243" i="84" s="1"/>
  <c r="Q19" i="88"/>
  <c r="S31" i="88" s="1" a="1"/>
  <c r="S31" i="88" s="1"/>
  <c r="R245" i="84" a="1"/>
  <c r="R245" i="84" s="1"/>
  <c r="R243" i="84" a="1"/>
  <c r="R243" i="84" s="1"/>
  <c r="R248" i="84" a="1"/>
  <c r="R248" i="84" s="1"/>
  <c r="R247" i="84" a="1"/>
  <c r="R247" i="84" s="1"/>
  <c r="R249" i="84" a="1"/>
  <c r="R249" i="84" s="1"/>
  <c r="R246" i="84" a="1"/>
  <c r="R246" i="84" s="1"/>
  <c r="R250" i="84" a="1"/>
  <c r="R250" i="84" s="1"/>
  <c r="R244" i="84" a="1"/>
  <c r="R244" i="84" s="1"/>
  <c r="I24" i="85"/>
  <c r="I45" i="85" s="1" a="1"/>
  <c r="I45" i="85" s="1"/>
  <c r="I45" i="87"/>
  <c r="H40" i="87"/>
  <c r="H19" i="85"/>
  <c r="H40" i="85" s="1" a="1"/>
  <c r="H40" i="85" s="1"/>
  <c r="I24" i="86"/>
  <c r="I26" i="85"/>
  <c r="I47" i="85" s="1" a="1"/>
  <c r="I47" i="85" s="1"/>
  <c r="I47" i="87"/>
  <c r="H43" i="87"/>
  <c r="H22" i="85"/>
  <c r="H43" i="85" s="1" a="1"/>
  <c r="H43" i="85" s="1"/>
  <c r="H23" i="86"/>
  <c r="I19" i="85"/>
  <c r="I40" i="85" s="1" a="1"/>
  <c r="I40" i="85" s="1"/>
  <c r="I40" i="87"/>
  <c r="H25" i="85"/>
  <c r="H46" i="85" s="1" a="1"/>
  <c r="H46" i="85" s="1"/>
  <c r="H46" i="87"/>
  <c r="I43" i="87"/>
  <c r="I23" i="86"/>
  <c r="I22" i="85"/>
  <c r="I43" i="85" s="1" a="1"/>
  <c r="I43" i="85" s="1"/>
  <c r="H19" i="89"/>
  <c r="H24" i="89" s="1" a="1"/>
  <c r="H24" i="89" s="1"/>
  <c r="H23" i="90"/>
  <c r="J24" i="85"/>
  <c r="J45" i="85" s="1" a="1"/>
  <c r="J45" i="85" s="1"/>
  <c r="J45" i="87"/>
  <c r="H24" i="86"/>
  <c r="H26" i="85"/>
  <c r="H47" i="85" s="1" a="1"/>
  <c r="H47" i="85" s="1"/>
  <c r="H47" i="87"/>
  <c r="I25" i="85"/>
  <c r="I46" i="85" s="1" a="1"/>
  <c r="I46" i="85" s="1"/>
  <c r="I46" i="87"/>
  <c r="I20" i="85"/>
  <c r="I41" i="85" s="1" a="1"/>
  <c r="I41" i="85" s="1"/>
  <c r="I41" i="87"/>
  <c r="J44" i="87"/>
  <c r="J23" i="85"/>
  <c r="J44" i="85" s="1" a="1"/>
  <c r="J44" i="85" s="1"/>
  <c r="I23" i="85"/>
  <c r="I44" i="85" s="1" a="1"/>
  <c r="I44" i="85" s="1"/>
  <c r="I44" i="87"/>
  <c r="J23" i="90"/>
  <c r="J19" i="89"/>
  <c r="J24" i="89" s="1" a="1"/>
  <c r="J24" i="89" s="1"/>
  <c r="I21" i="85"/>
  <c r="I42" i="85" s="1" a="1"/>
  <c r="I42" i="85" s="1"/>
  <c r="I42" i="87"/>
  <c r="J22" i="85"/>
  <c r="J43" i="85" s="1" a="1"/>
  <c r="J43" i="85" s="1"/>
  <c r="J43" i="87"/>
  <c r="J23" i="86"/>
  <c r="I23" i="90"/>
  <c r="I19" i="89"/>
  <c r="I24" i="89" s="1" a="1"/>
  <c r="I24" i="89" s="1"/>
  <c r="J20" i="85"/>
  <c r="J41" i="85" s="1" a="1"/>
  <c r="J41" i="85" s="1"/>
  <c r="J41" i="87"/>
  <c r="H24" i="85"/>
  <c r="H45" i="85" s="1" a="1"/>
  <c r="H45" i="85" s="1"/>
  <c r="H45" i="87"/>
  <c r="J21" i="85"/>
  <c r="J42" i="85" s="1" a="1"/>
  <c r="J42" i="85" s="1"/>
  <c r="J42" i="87"/>
  <c r="H21" i="85"/>
  <c r="H42" i="85" s="1" a="1"/>
  <c r="H42" i="85" s="1"/>
  <c r="H42" i="87"/>
  <c r="J47" i="87"/>
  <c r="J24" i="86"/>
  <c r="J26" i="85"/>
  <c r="J47" i="85" s="1" a="1"/>
  <c r="J47" i="85" s="1"/>
  <c r="H20" i="85"/>
  <c r="H41" i="85" s="1" a="1"/>
  <c r="H41" i="85" s="1"/>
  <c r="H41" i="87"/>
  <c r="J46" i="87"/>
  <c r="J25" i="85"/>
  <c r="J46" i="85" s="1" a="1"/>
  <c r="J46" i="85" s="1"/>
  <c r="G248" i="84" a="1"/>
  <c r="G248" i="84" s="1"/>
  <c r="G247" i="84" a="1"/>
  <c r="G247" i="84" s="1"/>
  <c r="G243" i="84" a="1"/>
  <c r="G243" i="84" s="1"/>
  <c r="G250" i="84" a="1"/>
  <c r="G250" i="84" s="1"/>
  <c r="G246" i="84" a="1"/>
  <c r="G246" i="84" s="1"/>
  <c r="G245" i="84" a="1"/>
  <c r="G245" i="84" s="1"/>
  <c r="E19" i="88"/>
  <c r="G31" i="88" s="1" a="1"/>
  <c r="G31" i="88" s="1"/>
  <c r="G244" i="84" a="1"/>
  <c r="G244" i="84" s="1"/>
  <c r="G249" i="84" a="1"/>
  <c r="G249" i="84" s="1"/>
  <c r="H44" i="87"/>
  <c r="H23" i="85"/>
  <c r="H44" i="85" s="1" a="1"/>
  <c r="H44" i="85" s="1"/>
  <c r="J19" i="85"/>
  <c r="J40" i="85" s="1" a="1"/>
  <c r="J40" i="85" s="1"/>
  <c r="J40" i="87"/>
  <c r="Q46" i="87"/>
  <c r="Q25" i="85"/>
  <c r="Q46" i="85" s="1" a="1"/>
  <c r="Q46" i="85" s="1"/>
  <c r="Q24" i="85"/>
  <c r="Q45" i="85" s="1" a="1"/>
  <c r="Q45" i="85" s="1"/>
  <c r="Q45" i="87"/>
  <c r="Q21" i="85"/>
  <c r="Q42" i="85" s="1" a="1"/>
  <c r="Q42" i="85" s="1"/>
  <c r="Q42" i="87"/>
  <c r="Q41" i="87"/>
  <c r="Q20" i="85"/>
  <c r="Q41" i="85" s="1" a="1"/>
  <c r="Q41" i="85" s="1"/>
  <c r="Q23" i="86"/>
  <c r="Q43" i="87"/>
  <c r="Q22" i="85"/>
  <c r="Q43" i="85" s="1" a="1"/>
  <c r="Q43" i="85" s="1"/>
  <c r="Q23" i="85"/>
  <c r="Q44" i="85" s="1" a="1"/>
  <c r="Q44" i="85" s="1"/>
  <c r="Q44" i="87"/>
  <c r="Q24" i="86"/>
  <c r="Q47" i="87"/>
  <c r="Q26" i="85"/>
  <c r="Q47" i="85" s="1" a="1"/>
  <c r="Q47" i="85" s="1"/>
  <c r="Q40" i="87"/>
  <c r="Q19" i="85"/>
  <c r="Q40" i="85" s="1" a="1"/>
  <c r="Q40" i="85" s="1"/>
  <c r="Q23" i="90"/>
  <c r="Q19" i="89"/>
  <c r="Q24" i="89" s="1" a="1"/>
  <c r="Q24" i="89" s="1"/>
  <c r="D19" i="88"/>
  <c r="F31" i="88" s="1" a="1"/>
  <c r="F31" i="88" s="1"/>
  <c r="F243" i="84" a="1"/>
  <c r="F243" i="84" s="1"/>
  <c r="F249" i="84" a="1"/>
  <c r="F249" i="84" s="1"/>
  <c r="F246" i="84" a="1"/>
  <c r="F246" i="84" s="1"/>
  <c r="F250" i="84" a="1"/>
  <c r="F250" i="84" s="1"/>
  <c r="F247" i="84" a="1"/>
  <c r="F247" i="84" s="1"/>
  <c r="F244" i="84" a="1"/>
  <c r="F244" i="84" s="1"/>
  <c r="F248" i="84" a="1"/>
  <c r="F248" i="84" s="1"/>
  <c r="F245" i="84" a="1"/>
  <c r="F245" i="84" s="1"/>
  <c r="S23" i="85" l="1"/>
  <c r="S44" i="85" s="1" a="1"/>
  <c r="S44" i="85" s="1"/>
  <c r="S44" i="87"/>
  <c r="S24" i="85"/>
  <c r="S45" i="85" s="1" a="1"/>
  <c r="S45" i="85" s="1"/>
  <c r="S45" i="87"/>
  <c r="S19" i="85"/>
  <c r="S40" i="85" s="1" a="1"/>
  <c r="S40" i="85" s="1"/>
  <c r="S40" i="87"/>
  <c r="S19" i="89"/>
  <c r="S24" i="89" s="1" a="1"/>
  <c r="S24" i="89" s="1"/>
  <c r="S23" i="90"/>
  <c r="T19" i="85"/>
  <c r="T40" i="85" s="1" a="1"/>
  <c r="T40" i="85" s="1"/>
  <c r="T40" i="87"/>
  <c r="S42" i="87"/>
  <c r="S21" i="85"/>
  <c r="S42" i="85" s="1" a="1"/>
  <c r="S42" i="85" s="1"/>
  <c r="T22" i="85"/>
  <c r="T43" i="85" s="1" a="1"/>
  <c r="T43" i="85" s="1"/>
  <c r="T23" i="86"/>
  <c r="T43" i="87"/>
  <c r="T20" i="85"/>
  <c r="T41" i="85" s="1" a="1"/>
  <c r="T41" i="85" s="1"/>
  <c r="T41" i="87"/>
  <c r="T25" i="85"/>
  <c r="T46" i="85" s="1" a="1"/>
  <c r="T46" i="85" s="1"/>
  <c r="T46" i="87"/>
  <c r="T44" i="87"/>
  <c r="T23" i="85"/>
  <c r="T44" i="85" s="1" a="1"/>
  <c r="T44" i="85" s="1"/>
  <c r="S20" i="85"/>
  <c r="S41" i="85" s="1" a="1"/>
  <c r="S41" i="85" s="1"/>
  <c r="S41" i="87"/>
  <c r="T24" i="86"/>
  <c r="T26" i="85"/>
  <c r="T47" i="85" s="1" a="1"/>
  <c r="T47" i="85" s="1"/>
  <c r="T47" i="87"/>
  <c r="S26" i="85"/>
  <c r="S47" i="85" s="1" a="1"/>
  <c r="S47" i="85" s="1"/>
  <c r="S24" i="86"/>
  <c r="S47" i="87"/>
  <c r="T45" i="87"/>
  <c r="T24" i="85"/>
  <c r="T45" i="85" s="1" a="1"/>
  <c r="T45" i="85" s="1"/>
  <c r="S22" i="85"/>
  <c r="S43" i="85" s="1" a="1"/>
  <c r="S43" i="85" s="1"/>
  <c r="S23" i="86"/>
  <c r="S43" i="87"/>
  <c r="T42" i="87"/>
  <c r="T21" i="85"/>
  <c r="T42" i="85" s="1" a="1"/>
  <c r="T42" i="85" s="1"/>
  <c r="S25" i="85"/>
  <c r="S46" i="85" s="1" a="1"/>
  <c r="S46" i="85" s="1"/>
  <c r="S46" i="87"/>
  <c r="T19" i="89"/>
  <c r="T24" i="89" s="1" a="1"/>
  <c r="T24" i="89" s="1"/>
  <c r="T23" i="90"/>
  <c r="H107" i="87" a="1"/>
  <c r="H107" i="87" s="1"/>
  <c r="H140" i="87" a="1"/>
  <c r="H140" i="87" s="1"/>
  <c r="H77" i="87" a="1"/>
  <c r="H77" i="87" s="1"/>
  <c r="G19" i="85"/>
  <c r="G40" i="85" s="1" a="1"/>
  <c r="G40" i="85" s="1"/>
  <c r="G40" i="87"/>
  <c r="H80" i="87" a="1"/>
  <c r="H80" i="87" s="1"/>
  <c r="H143" i="87" a="1"/>
  <c r="H143" i="87" s="1"/>
  <c r="H110" i="87" a="1"/>
  <c r="H110" i="87" s="1"/>
  <c r="G25" i="85"/>
  <c r="G46" i="85" s="1" a="1"/>
  <c r="G46" i="85" s="1"/>
  <c r="G46" i="87"/>
  <c r="J140" i="87" a="1"/>
  <c r="J140" i="87" s="1"/>
  <c r="J77" i="87" a="1"/>
  <c r="J77" i="87" s="1"/>
  <c r="J107" i="87" a="1"/>
  <c r="J107" i="87" s="1"/>
  <c r="H145" i="87" a="1"/>
  <c r="H145" i="87" s="1"/>
  <c r="H82" i="87" a="1"/>
  <c r="H82" i="87" s="1"/>
  <c r="H112" i="87" a="1"/>
  <c r="H112" i="87" s="1"/>
  <c r="J139" i="87" a="1"/>
  <c r="J139" i="87" s="1"/>
  <c r="J76" i="87" a="1"/>
  <c r="J76" i="87" s="1"/>
  <c r="J106" i="87" a="1"/>
  <c r="J106" i="87" s="1"/>
  <c r="J141" i="87" a="1"/>
  <c r="J141" i="87" s="1"/>
  <c r="J78" i="87" a="1"/>
  <c r="J78" i="87" s="1"/>
  <c r="J108" i="87" a="1"/>
  <c r="J108" i="87" s="1"/>
  <c r="I140" i="87" a="1"/>
  <c r="I140" i="87" s="1"/>
  <c r="I107" i="87" a="1"/>
  <c r="I107" i="87" s="1"/>
  <c r="I77" i="87" a="1"/>
  <c r="I77" i="87" s="1"/>
  <c r="H81" i="87" a="1"/>
  <c r="H81" i="87" s="1"/>
  <c r="H111" i="87" a="1"/>
  <c r="H111" i="87" s="1"/>
  <c r="H144" i="87" a="1"/>
  <c r="H144" i="87" s="1"/>
  <c r="I145" i="87" a="1"/>
  <c r="I145" i="87" s="1"/>
  <c r="I82" i="87" a="1"/>
  <c r="I82" i="87" s="1"/>
  <c r="I112" i="87" a="1"/>
  <c r="I112" i="87" s="1"/>
  <c r="G20" i="85"/>
  <c r="G41" i="85" s="1" a="1"/>
  <c r="G41" i="85" s="1"/>
  <c r="G41" i="87"/>
  <c r="J80" i="87" a="1"/>
  <c r="J80" i="87" s="1"/>
  <c r="J110" i="87" a="1"/>
  <c r="J110" i="87" s="1"/>
  <c r="J143" i="87" a="1"/>
  <c r="J143" i="87" s="1"/>
  <c r="G23" i="85"/>
  <c r="G44" i="85" s="1" a="1"/>
  <c r="G44" i="85" s="1"/>
  <c r="G44" i="87"/>
  <c r="I141" i="87" a="1"/>
  <c r="I141" i="87" s="1"/>
  <c r="I78" i="87" a="1"/>
  <c r="I78" i="87" s="1"/>
  <c r="I108" i="87" a="1"/>
  <c r="I108" i="87" s="1"/>
  <c r="G23" i="90"/>
  <c r="G19" i="89"/>
  <c r="G24" i="89" s="1" a="1"/>
  <c r="G24" i="89" s="1"/>
  <c r="I110" i="87" a="1"/>
  <c r="I110" i="87" s="1"/>
  <c r="I80" i="87" a="1"/>
  <c r="I80" i="87" s="1"/>
  <c r="I143" i="87" a="1"/>
  <c r="I143" i="87" s="1"/>
  <c r="H106" i="87" a="1"/>
  <c r="H106" i="87" s="1"/>
  <c r="H76" i="87" a="1"/>
  <c r="H76" i="87" s="1"/>
  <c r="H139" i="87" a="1"/>
  <c r="H139" i="87" s="1"/>
  <c r="G21" i="85"/>
  <c r="G42" i="85" s="1" a="1"/>
  <c r="G42" i="85" s="1"/>
  <c r="G42" i="87"/>
  <c r="I139" i="87" a="1"/>
  <c r="I139" i="87" s="1"/>
  <c r="I106" i="87" a="1"/>
  <c r="I106" i="87" s="1"/>
  <c r="I76" i="87" a="1"/>
  <c r="I76" i="87" s="1"/>
  <c r="I81" i="87" a="1"/>
  <c r="I81" i="87" s="1"/>
  <c r="I111" i="87" a="1"/>
  <c r="I111" i="87" s="1"/>
  <c r="I144" i="87" a="1"/>
  <c r="I144" i="87" s="1"/>
  <c r="J112" i="87" a="1"/>
  <c r="J112" i="87" s="1"/>
  <c r="J145" i="87" a="1"/>
  <c r="J145" i="87" s="1"/>
  <c r="J82" i="87" a="1"/>
  <c r="J82" i="87" s="1"/>
  <c r="G43" i="87"/>
  <c r="G23" i="86"/>
  <c r="G22" i="85"/>
  <c r="G43" i="85" s="1" a="1"/>
  <c r="G43" i="85" s="1"/>
  <c r="G24" i="85"/>
  <c r="G45" i="85" s="1" a="1"/>
  <c r="G45" i="85" s="1"/>
  <c r="G45" i="87"/>
  <c r="G24" i="86"/>
  <c r="G26" i="85"/>
  <c r="G47" i="85" s="1" a="1"/>
  <c r="G47" i="85" s="1"/>
  <c r="G47" i="87"/>
  <c r="H108" i="87" a="1"/>
  <c r="H108" i="87" s="1"/>
  <c r="H141" i="87" a="1"/>
  <c r="H141" i="87" s="1"/>
  <c r="H78" i="87" a="1"/>
  <c r="H78" i="87" s="1"/>
  <c r="J144" i="87" a="1"/>
  <c r="J144" i="87" s="1"/>
  <c r="J81" i="87" a="1"/>
  <c r="J81" i="87" s="1"/>
  <c r="J111" i="87" a="1"/>
  <c r="J111" i="87" s="1"/>
  <c r="Q80" i="87" a="1"/>
  <c r="Q80" i="87" s="1"/>
  <c r="Q143" i="87" a="1"/>
  <c r="Q143" i="87" s="1"/>
  <c r="Q110" i="87" a="1"/>
  <c r="Q110" i="87" s="1"/>
  <c r="Q78" i="87" a="1"/>
  <c r="Q78" i="87" s="1"/>
  <c r="Q141" i="87" a="1"/>
  <c r="Q141" i="87" s="1"/>
  <c r="Q108" i="87" a="1"/>
  <c r="Q108" i="87" s="1"/>
  <c r="Q111" i="87" a="1"/>
  <c r="Q111" i="87" s="1"/>
  <c r="Q81" i="87" a="1"/>
  <c r="Q81" i="87" s="1"/>
  <c r="Q144" i="87" a="1"/>
  <c r="Q144" i="87" s="1"/>
  <c r="Q112" i="87" a="1"/>
  <c r="Q112" i="87" s="1"/>
  <c r="Q82" i="87" a="1"/>
  <c r="Q82" i="87" s="1"/>
  <c r="Q145" i="87" a="1"/>
  <c r="Q145" i="87" s="1"/>
  <c r="Q76" i="87" a="1"/>
  <c r="Q76" i="87" s="1"/>
  <c r="Q106" i="87" a="1"/>
  <c r="Q106" i="87" s="1"/>
  <c r="Q139" i="87" a="1"/>
  <c r="Q139" i="87" s="1"/>
  <c r="Q140" i="87" a="1"/>
  <c r="Q140" i="87" s="1"/>
  <c r="Q77" i="87" a="1"/>
  <c r="Q77" i="87" s="1"/>
  <c r="Q107" i="87" a="1"/>
  <c r="Q107" i="87" s="1"/>
  <c r="F43" i="87"/>
  <c r="F22" i="85"/>
  <c r="F43" i="85" s="1" a="1"/>
  <c r="F43" i="85" s="1"/>
  <c r="F23" i="86"/>
  <c r="F46" i="87"/>
  <c r="F25" i="85"/>
  <c r="F46" i="85" s="1" a="1"/>
  <c r="F46" i="85" s="1"/>
  <c r="F47" i="87"/>
  <c r="F26" i="85"/>
  <c r="F47" i="85" s="1" a="1"/>
  <c r="F47" i="85" s="1"/>
  <c r="F24" i="86"/>
  <c r="F23" i="90"/>
  <c r="F19" i="89"/>
  <c r="F24" i="89" s="1" a="1"/>
  <c r="F24" i="89" s="1"/>
  <c r="F44" i="87"/>
  <c r="F23" i="85"/>
  <c r="F44" i="85" s="1" a="1"/>
  <c r="F44" i="85" s="1"/>
  <c r="F41" i="87"/>
  <c r="F20" i="85"/>
  <c r="F41" i="85" s="1" a="1"/>
  <c r="F41" i="85" s="1"/>
  <c r="F40" i="87"/>
  <c r="F19" i="85"/>
  <c r="F40" i="85" s="1" a="1"/>
  <c r="F40" i="85" s="1"/>
  <c r="F42" i="87"/>
  <c r="F21" i="85"/>
  <c r="F42" i="85" s="1" a="1"/>
  <c r="F42" i="85" s="1"/>
  <c r="F45" i="87"/>
  <c r="F24" i="85"/>
  <c r="F45" i="85" s="1" a="1"/>
  <c r="F45" i="85" s="1"/>
  <c r="G55" i="80"/>
  <c r="D39" i="80"/>
  <c r="D32" i="80"/>
  <c r="D76" i="72" a="1"/>
  <c r="F78" i="72" s="1"/>
  <c r="D73" i="72"/>
  <c r="E69" i="72"/>
  <c r="E68" i="72"/>
  <c r="D65" i="72" a="1"/>
  <c r="E66" i="72" s="1"/>
  <c r="D62" i="72"/>
  <c r="F56" i="72"/>
  <c r="E56" i="72"/>
  <c r="F55" i="72"/>
  <c r="E55" i="72"/>
  <c r="D52" i="72" a="1"/>
  <c r="F54" i="72" s="1"/>
  <c r="D48" i="72" a="1"/>
  <c r="D48" i="72" s="1"/>
  <c r="D46" i="72"/>
  <c r="G40" i="72"/>
  <c r="E76" i="13" s="1"/>
  <c r="P49" i="85" l="1"/>
  <c r="R61" i="85" s="1"/>
  <c r="P26" i="89"/>
  <c r="S38" i="89" s="1"/>
  <c r="S106" i="87" a="1"/>
  <c r="S106" i="87" s="1"/>
  <c r="S76" i="87" a="1"/>
  <c r="S76" i="87" s="1"/>
  <c r="S139" i="87" a="1"/>
  <c r="S139" i="87" s="1"/>
  <c r="T144" i="87" a="1"/>
  <c r="T144" i="87" s="1"/>
  <c r="T81" i="87" a="1"/>
  <c r="T81" i="87" s="1"/>
  <c r="T111" i="87" a="1"/>
  <c r="T111" i="87" s="1"/>
  <c r="S141" i="87" a="1"/>
  <c r="S141" i="87" s="1"/>
  <c r="S108" i="87" a="1"/>
  <c r="S108" i="87" s="1"/>
  <c r="S78" i="87" a="1"/>
  <c r="S78" i="87" s="1"/>
  <c r="S82" i="87" a="1"/>
  <c r="S82" i="87" s="1"/>
  <c r="S145" i="87" a="1"/>
  <c r="S145" i="87" s="1"/>
  <c r="S112" i="87" a="1"/>
  <c r="S112" i="87" s="1"/>
  <c r="T110" i="87" a="1"/>
  <c r="T110" i="87" s="1"/>
  <c r="T80" i="87" a="1"/>
  <c r="T80" i="87" s="1"/>
  <c r="T143" i="87" a="1"/>
  <c r="T143" i="87" s="1"/>
  <c r="T112" i="87" a="1"/>
  <c r="T112" i="87" s="1"/>
  <c r="T82" i="87" a="1"/>
  <c r="T82" i="87" s="1"/>
  <c r="T145" i="87" a="1"/>
  <c r="T145" i="87" s="1"/>
  <c r="T139" i="87" a="1"/>
  <c r="T139" i="87" s="1"/>
  <c r="T76" i="87" a="1"/>
  <c r="T76" i="87" s="1"/>
  <c r="T106" i="87" a="1"/>
  <c r="T106" i="87" s="1"/>
  <c r="T141" i="87" a="1"/>
  <c r="T141" i="87" s="1"/>
  <c r="T78" i="87" a="1"/>
  <c r="T78" i="87" s="1"/>
  <c r="T108" i="87" a="1"/>
  <c r="T108" i="87" s="1"/>
  <c r="T77" i="87" a="1"/>
  <c r="T77" i="87" s="1"/>
  <c r="T140" i="87" a="1"/>
  <c r="T140" i="87" s="1"/>
  <c r="T107" i="87" a="1"/>
  <c r="T107" i="87" s="1"/>
  <c r="S80" i="87" a="1"/>
  <c r="S80" i="87" s="1"/>
  <c r="S143" i="87" a="1"/>
  <c r="S143" i="87" s="1"/>
  <c r="S110" i="87" a="1"/>
  <c r="S110" i="87" s="1"/>
  <c r="S111" i="87" a="1"/>
  <c r="S111" i="87" s="1"/>
  <c r="S144" i="87" a="1"/>
  <c r="S144" i="87" s="1"/>
  <c r="S81" i="87" a="1"/>
  <c r="S81" i="87" s="1"/>
  <c r="S140" i="87" a="1"/>
  <c r="S140" i="87" s="1"/>
  <c r="S107" i="87" a="1"/>
  <c r="S107" i="87" s="1"/>
  <c r="S77" i="87" a="1"/>
  <c r="S77" i="87" s="1"/>
  <c r="G144" i="87" a="1"/>
  <c r="G144" i="87" s="1"/>
  <c r="G111" i="87" a="1"/>
  <c r="G111" i="87" s="1"/>
  <c r="G81" i="87" a="1"/>
  <c r="G81" i="87" s="1"/>
  <c r="G107" i="87" a="1"/>
  <c r="G107" i="87" s="1"/>
  <c r="G140" i="87" a="1"/>
  <c r="G140" i="87" s="1"/>
  <c r="G77" i="87" a="1"/>
  <c r="G77" i="87" s="1"/>
  <c r="G112" i="87" a="1"/>
  <c r="G112" i="87" s="1"/>
  <c r="G145" i="87" a="1"/>
  <c r="G145" i="87" s="1"/>
  <c r="G82" i="87" a="1"/>
  <c r="G82" i="87" s="1"/>
  <c r="G143" i="87" a="1"/>
  <c r="G143" i="87" s="1"/>
  <c r="G80" i="87" a="1"/>
  <c r="G80" i="87" s="1"/>
  <c r="G110" i="87" a="1"/>
  <c r="G110" i="87" s="1"/>
  <c r="G106" i="87" a="1"/>
  <c r="G106" i="87" s="1"/>
  <c r="G76" i="87" a="1"/>
  <c r="G76" i="87" s="1"/>
  <c r="G139" i="87" a="1"/>
  <c r="G139" i="87" s="1"/>
  <c r="G78" i="87" a="1"/>
  <c r="G78" i="87" s="1"/>
  <c r="G141" i="87" a="1"/>
  <c r="G141" i="87" s="1"/>
  <c r="G108" i="87" a="1"/>
  <c r="G108" i="87" s="1"/>
  <c r="E26" i="89"/>
  <c r="I38" i="89" s="1"/>
  <c r="E49" i="85"/>
  <c r="I61" i="85" s="1"/>
  <c r="F106" i="87" a="1"/>
  <c r="F106" i="87" s="1"/>
  <c r="F139" i="87" a="1"/>
  <c r="F139" i="87" s="1"/>
  <c r="F76" i="87" a="1"/>
  <c r="F76" i="87" s="1"/>
  <c r="F140" i="87" a="1"/>
  <c r="F140" i="87" s="1"/>
  <c r="F77" i="87" a="1"/>
  <c r="F77" i="87" s="1"/>
  <c r="F107" i="87" a="1"/>
  <c r="F107" i="87" s="1"/>
  <c r="F112" i="87" a="1"/>
  <c r="F112" i="87" s="1"/>
  <c r="F145" i="87" a="1"/>
  <c r="F145" i="87" s="1"/>
  <c r="F82" i="87" a="1"/>
  <c r="F82" i="87" s="1"/>
  <c r="F141" i="87" a="1"/>
  <c r="F141" i="87" s="1"/>
  <c r="F78" i="87" a="1"/>
  <c r="F78" i="87" s="1"/>
  <c r="F108" i="87" a="1"/>
  <c r="F108" i="87" s="1"/>
  <c r="F111" i="87" a="1"/>
  <c r="F111" i="87" s="1"/>
  <c r="F81" i="87" a="1"/>
  <c r="F81" i="87" s="1"/>
  <c r="F144" i="87" a="1"/>
  <c r="F144" i="87" s="1"/>
  <c r="F110" i="87" a="1"/>
  <c r="F110" i="87" s="1"/>
  <c r="F80" i="87" a="1"/>
  <c r="F80" i="87" s="1"/>
  <c r="F143" i="87" a="1"/>
  <c r="F143" i="87" s="1"/>
  <c r="E67" i="72"/>
  <c r="E54" i="72"/>
  <c r="D52" i="72"/>
  <c r="D76" i="72"/>
  <c r="D65" i="72"/>
  <c r="E65" i="72" s="1"/>
  <c r="E70" i="72" l="1"/>
  <c r="F52" i="72"/>
  <c r="E52" i="72"/>
  <c r="F70" i="13" l="1" a="1"/>
  <c r="F70" i="13" s="1"/>
  <c r="I70" i="13" s="1"/>
  <c r="E70" i="13" a="1"/>
  <c r="E70" i="13" s="1"/>
  <c r="H70" i="13" s="1"/>
  <c r="E69" i="13" a="1"/>
  <c r="E69" i="13" s="1"/>
  <c r="H69" i="13" s="1"/>
  <c r="F68" i="13" a="1"/>
  <c r="F68" i="13" s="1"/>
  <c r="I68" i="13" s="1"/>
  <c r="E68" i="13" a="1"/>
  <c r="E68" i="13" s="1"/>
  <c r="H68" i="13" s="1"/>
  <c r="E67" i="13" a="1"/>
  <c r="E67" i="13" s="1"/>
  <c r="H67" i="13" s="1"/>
  <c r="D67" i="13" a="1"/>
  <c r="D67" i="13" s="1"/>
  <c r="E66" i="13" a="1"/>
  <c r="E66" i="13" s="1"/>
  <c r="F65" i="13" a="1"/>
  <c r="F65" i="13" s="1"/>
  <c r="I65" i="13" s="1"/>
  <c r="E65" i="13" a="1"/>
  <c r="E65" i="13" s="1"/>
  <c r="H65" i="13" s="1"/>
  <c r="F64" i="13" a="1"/>
  <c r="F64" i="13" s="1"/>
  <c r="I64" i="13" s="1"/>
  <c r="E64" i="13" a="1"/>
  <c r="E64" i="13" s="1"/>
  <c r="H64" i="13" s="1"/>
  <c r="F63" i="13" a="1"/>
  <c r="F63" i="13" s="1"/>
  <c r="I63" i="13" s="1"/>
  <c r="E63" i="13" a="1"/>
  <c r="E63" i="13" s="1"/>
  <c r="H63" i="13" s="1"/>
  <c r="F62" i="13" a="1"/>
  <c r="F62" i="13" s="1"/>
  <c r="I62" i="13" s="1"/>
  <c r="E62" i="13" a="1"/>
  <c r="E62" i="13" s="1"/>
  <c r="H62" i="13" s="1"/>
  <c r="F61" i="13" a="1"/>
  <c r="F61" i="13" s="1"/>
  <c r="I61" i="13" s="1"/>
  <c r="E61" i="13" a="1"/>
  <c r="E61" i="13" s="1"/>
  <c r="H61" i="13" s="1"/>
  <c r="F59" i="13" a="1"/>
  <c r="F59" i="13" s="1"/>
  <c r="I59" i="13" s="1"/>
  <c r="E59" i="13" a="1"/>
  <c r="E59" i="13" s="1"/>
  <c r="H59" i="13" s="1"/>
  <c r="F57" i="13" a="1"/>
  <c r="F57" i="13" s="1"/>
  <c r="I57" i="13" s="1"/>
  <c r="E57" i="13" a="1"/>
  <c r="E57" i="13" s="1"/>
  <c r="H57" i="13" s="1"/>
  <c r="F56" i="13" a="1"/>
  <c r="F56" i="13" s="1"/>
  <c r="I56" i="13" s="1"/>
  <c r="E56" i="13" a="1"/>
  <c r="E56" i="13" s="1"/>
  <c r="H56" i="13" s="1"/>
  <c r="F55" i="13" a="1"/>
  <c r="F55" i="13" s="1"/>
  <c r="I55" i="13" s="1"/>
  <c r="E55" i="13" a="1"/>
  <c r="E55" i="13" s="1"/>
  <c r="H55" i="13" s="1"/>
  <c r="F66" i="13" l="1"/>
  <c r="I66" i="13" s="1"/>
  <c r="H66" i="13"/>
  <c r="F69" i="13"/>
  <c r="I69" i="13" s="1"/>
  <c r="F67" i="13"/>
  <c r="I67" i="13" s="1"/>
  <c r="I49" i="13" l="1"/>
  <c r="I50" i="13" s="1"/>
  <c r="H49" i="13"/>
  <c r="H50" i="13" s="1"/>
  <c r="F49" i="13"/>
  <c r="E49" i="13" a="1"/>
  <c r="E49" i="13" s="1"/>
  <c r="D49" i="13" a="1"/>
  <c r="D49" i="13" s="1"/>
  <c r="E259" i="79" l="1"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G9" i="91"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I222" i="83" s="1"/>
  <c r="D174" i="79" a="1"/>
  <c r="D174" i="79" s="1"/>
  <c r="D173" i="79" a="1"/>
  <c r="D173" i="79" s="1"/>
  <c r="D170" i="79" a="1"/>
  <c r="D169" i="79" a="1"/>
  <c r="D169" i="79" s="1"/>
  <c r="D168" i="79" a="1"/>
  <c r="D168" i="79" s="1"/>
  <c r="D167" i="79" a="1"/>
  <c r="D167" i="79" s="1"/>
  <c r="D164" i="79" a="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F7" i="79" a="1"/>
  <c r="F7" i="79" s="1"/>
  <c r="E7" i="79" a="1"/>
  <c r="E7" i="79" s="1"/>
  <c r="D7" i="79" a="1"/>
  <c r="D7" i="79" s="1"/>
  <c r="D5" i="79" a="1"/>
  <c r="D5" i="79" s="1"/>
  <c r="I223" i="83" l="1"/>
  <c r="G43" i="115"/>
  <c r="G53" i="96"/>
  <c r="P113" i="94"/>
  <c r="Q290" i="84"/>
  <c r="G97" i="99"/>
  <c r="G51" i="116"/>
  <c r="G55" i="86"/>
  <c r="O591" i="124"/>
  <c r="G149" i="98"/>
  <c r="G591" i="124"/>
  <c r="G48" i="89"/>
  <c r="R71" i="85"/>
  <c r="P185" i="92"/>
  <c r="N187" i="92" s="1" a="1"/>
  <c r="N187" i="92" s="1"/>
  <c r="G71" i="85"/>
  <c r="G185" i="92"/>
  <c r="E187" i="92" s="1" a="1"/>
  <c r="E187" i="92" s="1"/>
  <c r="Q43" i="115"/>
  <c r="G56" i="88"/>
  <c r="G82" i="98"/>
  <c r="R303" i="83"/>
  <c r="R50" i="90"/>
  <c r="G303" i="83"/>
  <c r="G50" i="90"/>
  <c r="G83" i="94"/>
  <c r="R55" i="86"/>
  <c r="G290" i="84"/>
  <c r="R48" i="89"/>
  <c r="Q51" i="116"/>
  <c r="R56" i="88"/>
  <c r="D164" i="79"/>
  <c r="J15" i="116"/>
  <c r="I68" i="125"/>
  <c r="I14" i="90"/>
  <c r="J14" i="86"/>
  <c r="H25" i="116"/>
  <c r="D170" i="79"/>
  <c r="J37" i="116"/>
  <c r="P230" i="83"/>
  <c r="P231" i="83"/>
  <c r="P232" i="83"/>
  <c r="P229" i="83"/>
  <c r="G8" i="91"/>
  <c r="I62" i="85"/>
  <c r="I39" i="89"/>
  <c r="I49" i="125"/>
  <c r="E19" i="75"/>
  <c r="H51" i="79"/>
  <c r="E22" i="75"/>
  <c r="H50" i="79"/>
  <c r="J88" i="125" s="1"/>
  <c r="H48" i="79"/>
  <c r="I20" i="97" s="1"/>
  <c r="H54" i="79"/>
  <c r="H49" i="79"/>
  <c r="H52" i="79"/>
  <c r="H53" i="79"/>
  <c r="H28" i="97" l="1" a="1"/>
  <c r="H28" i="97" s="1"/>
  <c r="H29" i="97" a="1"/>
  <c r="H29" i="97" s="1"/>
  <c r="J45" i="88"/>
  <c r="I53" i="125"/>
  <c r="I55" i="94"/>
  <c r="I43" i="89"/>
  <c r="J54" i="98"/>
  <c r="S99" i="94"/>
  <c r="I66" i="85"/>
  <c r="I129" i="98"/>
  <c r="J92" i="99"/>
  <c r="J35" i="115"/>
  <c r="I25" i="116" a="1"/>
  <c r="I25" i="116" s="1"/>
  <c r="D46" i="116" s="1"/>
  <c r="S25" i="116" a="1"/>
  <c r="S25" i="116" s="1"/>
  <c r="N46" i="116" s="1"/>
  <c r="I51" i="95"/>
  <c r="I51" i="94"/>
  <c r="I63" i="85"/>
  <c r="P68" i="85" s="1" a="1"/>
  <c r="P68" i="85" s="1"/>
  <c r="R70" i="85" s="1"/>
  <c r="P73" i="85" s="1" a="1"/>
  <c r="P73" i="85" s="1"/>
  <c r="R30" i="86" a="1"/>
  <c r="R30" i="86" s="1"/>
  <c r="R29" i="86" a="1"/>
  <c r="R29" i="86" s="1"/>
  <c r="U30" i="86" a="1"/>
  <c r="U30" i="86" s="1"/>
  <c r="U29" i="86" a="1"/>
  <c r="U29" i="86" s="1"/>
  <c r="I30" i="86" a="1"/>
  <c r="I30" i="86" s="1"/>
  <c r="H30" i="86" a="1"/>
  <c r="H30" i="86" s="1"/>
  <c r="H29" i="86" a="1"/>
  <c r="H29" i="86" s="1"/>
  <c r="J30" i="86" a="1"/>
  <c r="J30" i="86" s="1"/>
  <c r="J29" i="86" a="1"/>
  <c r="J29" i="86" s="1"/>
  <c r="Q30" i="86" a="1"/>
  <c r="Q30" i="86" s="1"/>
  <c r="Q29" i="86" a="1"/>
  <c r="Q29" i="86" s="1"/>
  <c r="I29" i="86" a="1"/>
  <c r="I29" i="86" s="1"/>
  <c r="F30" i="86" a="1"/>
  <c r="F30" i="86" s="1"/>
  <c r="T29" i="86" a="1"/>
  <c r="T29" i="86" s="1"/>
  <c r="S30" i="86" a="1"/>
  <c r="S30" i="86" s="1"/>
  <c r="F29" i="86" a="1"/>
  <c r="F29" i="86" s="1"/>
  <c r="G29" i="86" a="1"/>
  <c r="G29" i="86" s="1"/>
  <c r="G30" i="86" a="1"/>
  <c r="G30" i="86" s="1"/>
  <c r="T30" i="86" a="1"/>
  <c r="T30" i="86" s="1"/>
  <c r="S29" i="86" a="1"/>
  <c r="S29" i="86" s="1"/>
  <c r="O74" i="125" a="1"/>
  <c r="O74" i="125" s="1"/>
  <c r="T86" i="125" s="1"/>
  <c r="O90" i="125" s="1" a="1"/>
  <c r="O90" i="125" s="1"/>
  <c r="R586" i="124" s="1"/>
  <c r="E74" i="125" a="1"/>
  <c r="E74" i="125" s="1"/>
  <c r="J86" i="125" s="1"/>
  <c r="E90" i="125" s="1" a="1"/>
  <c r="E90" i="125" s="1"/>
  <c r="J586" i="124" s="1"/>
  <c r="I126" i="98"/>
  <c r="R28" i="90" a="1"/>
  <c r="R28" i="90" s="1"/>
  <c r="U28" i="90" a="1"/>
  <c r="U28" i="90" s="1"/>
  <c r="J28" i="90" a="1"/>
  <c r="J28" i="90" s="1"/>
  <c r="Q28" i="90" a="1"/>
  <c r="Q28" i="90" s="1"/>
  <c r="I28" i="90" a="1"/>
  <c r="I28" i="90" s="1"/>
  <c r="H28" i="90" a="1"/>
  <c r="H28" i="90" s="1"/>
  <c r="F28" i="90" a="1"/>
  <c r="F28" i="90" s="1"/>
  <c r="T28" i="90" a="1"/>
  <c r="T28" i="90" s="1"/>
  <c r="G28" i="90" a="1"/>
  <c r="G28" i="90" s="1"/>
  <c r="S28" i="90" a="1"/>
  <c r="S28" i="90" s="1"/>
  <c r="I40" i="89"/>
  <c r="J51" i="98"/>
  <c r="E229" i="83" a="1"/>
  <c r="E229" i="83" s="1"/>
  <c r="E231" i="83" a="1"/>
  <c r="E231" i="83" s="1"/>
  <c r="E232" i="83" a="1"/>
  <c r="E232" i="83" s="1"/>
  <c r="P228" i="83" a="1"/>
  <c r="P228" i="83" s="1"/>
  <c r="E228" i="83" a="1"/>
  <c r="E228" i="83" s="1"/>
  <c r="E230" i="83" a="1"/>
  <c r="E230" i="83" s="1"/>
  <c r="J38" i="116"/>
  <c r="I264" i="84"/>
  <c r="J45" i="90"/>
  <c r="I44" i="86"/>
  <c r="J15" i="125"/>
  <c r="I50" i="125"/>
  <c r="K46" i="96"/>
  <c r="S94" i="94"/>
  <c r="E68" i="85" a="1"/>
  <c r="E68" i="85" s="1"/>
  <c r="G70" i="85" s="1"/>
  <c r="E73" i="85" s="1" a="1"/>
  <c r="E73" i="85" s="1"/>
  <c r="P45" i="89" a="1"/>
  <c r="P45" i="89" s="1"/>
  <c r="R47" i="89" s="1"/>
  <c r="P50" i="89" s="1" a="1"/>
  <c r="P50" i="89" s="1"/>
  <c r="E45" i="89" a="1"/>
  <c r="E45" i="89" s="1"/>
  <c r="G47" i="89" s="1"/>
  <c r="E50" i="89" s="1" a="1"/>
  <c r="E50" i="89" s="1"/>
  <c r="O55" i="125" a="1"/>
  <c r="O55" i="125" s="1"/>
  <c r="R585" i="124" s="1"/>
  <c r="E55" i="125" a="1"/>
  <c r="E55" i="125" s="1"/>
  <c r="J585" i="124" s="1"/>
  <c r="T238" i="83" a="1"/>
  <c r="T238" i="83" s="1"/>
  <c r="T291" i="83" s="1" a="1"/>
  <c r="T291" i="83" s="1"/>
  <c r="T242" i="83" a="1"/>
  <c r="T242" i="83" s="1"/>
  <c r="T295" i="83" s="1" a="1"/>
  <c r="T295" i="83" s="1"/>
  <c r="S238" i="83" a="1"/>
  <c r="S238" i="83" s="1"/>
  <c r="S291" i="83" s="1" a="1"/>
  <c r="S291" i="83" s="1"/>
  <c r="R238" i="83" a="1"/>
  <c r="R238" i="83" s="1"/>
  <c r="R291" i="83" s="1" a="1"/>
  <c r="R291" i="83" s="1"/>
  <c r="R242" i="83" a="1"/>
  <c r="R242" i="83" s="1"/>
  <c r="R295" i="83" s="1" a="1"/>
  <c r="R295" i="83" s="1"/>
  <c r="S242" i="83" a="1"/>
  <c r="S242" i="83" s="1"/>
  <c r="S295" i="83" s="1" a="1"/>
  <c r="S295" i="83" s="1"/>
  <c r="U238" i="83" a="1"/>
  <c r="U238" i="83" s="1"/>
  <c r="U291" i="83" s="1" a="1"/>
  <c r="U291" i="83" s="1"/>
  <c r="U242" i="83" a="1"/>
  <c r="U242" i="83" s="1"/>
  <c r="U295" i="83" s="1" a="1"/>
  <c r="U295" i="83" s="1"/>
  <c r="Q238" i="83" a="1"/>
  <c r="Q238" i="83" s="1"/>
  <c r="Q291" i="83" s="1" a="1"/>
  <c r="Q291" i="83" s="1"/>
  <c r="Q242" i="83" a="1"/>
  <c r="Q242" i="83" s="1"/>
  <c r="Q295" i="83" s="1" a="1"/>
  <c r="Q295" i="83" s="1"/>
  <c r="T245" i="83" a="1"/>
  <c r="T245" i="83" s="1"/>
  <c r="T298" i="83" s="1" a="1"/>
  <c r="T298" i="83" s="1"/>
  <c r="U245" i="83" a="1"/>
  <c r="U245" i="83" s="1"/>
  <c r="U298" i="83" s="1" a="1"/>
  <c r="U298" i="83" s="1"/>
  <c r="U241" i="83" a="1"/>
  <c r="U241" i="83" s="1"/>
  <c r="U294" i="83" s="1" a="1"/>
  <c r="U294" i="83" s="1"/>
  <c r="S241" i="83" a="1"/>
  <c r="S241" i="83" s="1"/>
  <c r="S294" i="83" s="1" a="1"/>
  <c r="S294" i="83" s="1"/>
  <c r="T241" i="83" a="1"/>
  <c r="T241" i="83" s="1"/>
  <c r="T294" i="83" s="1" a="1"/>
  <c r="T294" i="83" s="1"/>
  <c r="R245" i="83" a="1"/>
  <c r="R245" i="83" s="1"/>
  <c r="R298" i="83" s="1" a="1"/>
  <c r="R298" i="83" s="1"/>
  <c r="S245" i="83" a="1"/>
  <c r="S245" i="83" s="1"/>
  <c r="S298" i="83" s="1" a="1"/>
  <c r="S298" i="83" s="1"/>
  <c r="R241" i="83" a="1"/>
  <c r="R241" i="83" s="1"/>
  <c r="R294" i="83" s="1" a="1"/>
  <c r="R294" i="83" s="1"/>
  <c r="Q245" i="83" a="1"/>
  <c r="Q245" i="83" s="1"/>
  <c r="Q298" i="83" s="1" a="1"/>
  <c r="Q298" i="83" s="1"/>
  <c r="Q241" i="83" a="1"/>
  <c r="Q241" i="83" s="1"/>
  <c r="Q294" i="83" s="1" a="1"/>
  <c r="Q294" i="83" s="1"/>
  <c r="S240" i="83" a="1"/>
  <c r="S240" i="83" s="1"/>
  <c r="S293" i="83" s="1" a="1"/>
  <c r="S293" i="83" s="1"/>
  <c r="R240" i="83" a="1"/>
  <c r="R240" i="83" s="1"/>
  <c r="R293" i="83" s="1" a="1"/>
  <c r="R293" i="83" s="1"/>
  <c r="T244" i="83" a="1"/>
  <c r="T244" i="83" s="1"/>
  <c r="T297" i="83" s="1" a="1"/>
  <c r="T297" i="83" s="1"/>
  <c r="U244" i="83" a="1"/>
  <c r="U244" i="83" s="1"/>
  <c r="U297" i="83" s="1" a="1"/>
  <c r="U297" i="83" s="1"/>
  <c r="T240" i="83" a="1"/>
  <c r="T240" i="83" s="1"/>
  <c r="T293" i="83" s="1" a="1"/>
  <c r="T293" i="83" s="1"/>
  <c r="S244" i="83" a="1"/>
  <c r="S244" i="83" s="1"/>
  <c r="S297" i="83" s="1" a="1"/>
  <c r="S297" i="83" s="1"/>
  <c r="R244" i="83" a="1"/>
  <c r="R244" i="83" s="1"/>
  <c r="R297" i="83" s="1" a="1"/>
  <c r="R297" i="83" s="1"/>
  <c r="Q240" i="83" a="1"/>
  <c r="Q240" i="83" s="1"/>
  <c r="Q293" i="83" s="1" a="1"/>
  <c r="Q293" i="83" s="1"/>
  <c r="Q244" i="83" a="1"/>
  <c r="Q244" i="83" s="1"/>
  <c r="Q297" i="83" s="1" a="1"/>
  <c r="Q297" i="83" s="1"/>
  <c r="U240" i="83" a="1"/>
  <c r="U240" i="83" s="1"/>
  <c r="U293" i="83" s="1" a="1"/>
  <c r="U293" i="83" s="1"/>
  <c r="R239" i="83" a="1"/>
  <c r="R239" i="83" s="1"/>
  <c r="R292" i="83" s="1" a="1"/>
  <c r="R292" i="83" s="1"/>
  <c r="S243" i="83" a="1"/>
  <c r="S243" i="83" s="1"/>
  <c r="S296" i="83" s="1" a="1"/>
  <c r="S296" i="83" s="1"/>
  <c r="R243" i="83" a="1"/>
  <c r="R243" i="83" s="1"/>
  <c r="R296" i="83" s="1" a="1"/>
  <c r="R296" i="83" s="1"/>
  <c r="S239" i="83" a="1"/>
  <c r="S239" i="83" s="1"/>
  <c r="S292" i="83" s="1" a="1"/>
  <c r="S292" i="83" s="1"/>
  <c r="T243" i="83" a="1"/>
  <c r="T243" i="83" s="1"/>
  <c r="T296" i="83" s="1" a="1"/>
  <c r="T296" i="83" s="1"/>
  <c r="T239" i="83" a="1"/>
  <c r="T239" i="83" s="1"/>
  <c r="T292" i="83" s="1" a="1"/>
  <c r="T292" i="83" s="1"/>
  <c r="U243" i="83" a="1"/>
  <c r="U243" i="83" s="1"/>
  <c r="U296" i="83" s="1" a="1"/>
  <c r="U296" i="83" s="1"/>
  <c r="Q243" i="83" a="1"/>
  <c r="Q243" i="83" s="1"/>
  <c r="Q296" i="83" s="1" a="1"/>
  <c r="Q296" i="83" s="1"/>
  <c r="Q239" i="83" a="1"/>
  <c r="Q239" i="83" s="1"/>
  <c r="Q292" i="83" s="1" a="1"/>
  <c r="Q292" i="83" s="1"/>
  <c r="U239" i="83" a="1"/>
  <c r="U239" i="83" s="1"/>
  <c r="U292" i="83" s="1" a="1"/>
  <c r="U292" i="83" s="1"/>
  <c r="E24" i="72" a="1"/>
  <c r="E24" i="72" s="1"/>
  <c r="F24" i="72"/>
  <c r="P30" i="90" l="1"/>
  <c r="U43" i="90" s="1"/>
  <c r="P47" i="90" s="1" a="1"/>
  <c r="P47" i="90" s="1"/>
  <c r="R49" i="90" s="1"/>
  <c r="P52" i="90" s="1" a="1"/>
  <c r="P52" i="90" s="1"/>
  <c r="Q237" i="83" a="1"/>
  <c r="Q237" i="83" s="1"/>
  <c r="Q290" i="83" s="1" a="1"/>
  <c r="Q290" i="83" s="1"/>
  <c r="U237" i="83" a="1"/>
  <c r="U237" i="83" s="1"/>
  <c r="U290" i="83" s="1" a="1"/>
  <c r="U290" i="83" s="1"/>
  <c r="R237" i="83" a="1"/>
  <c r="R237" i="83" s="1"/>
  <c r="R290" i="83" s="1" a="1"/>
  <c r="R290" i="83" s="1"/>
  <c r="T237" i="83" a="1"/>
  <c r="T237" i="83" s="1"/>
  <c r="T290" i="83" s="1" a="1"/>
  <c r="T290" i="83" s="1"/>
  <c r="S237" i="83" a="1"/>
  <c r="S237" i="83" s="1"/>
  <c r="S290" i="83" s="1" a="1"/>
  <c r="S290" i="83" s="1"/>
  <c r="Q55" i="87"/>
  <c r="Q49" i="86" a="1"/>
  <c r="Q49" i="86" s="1"/>
  <c r="O46" i="116" a="1"/>
  <c r="O46" i="116" s="1"/>
  <c r="O48" i="116" s="1"/>
  <c r="Q50" i="116" s="1"/>
  <c r="O53" i="116" s="1" a="1"/>
  <c r="O53" i="116" s="1"/>
  <c r="T49" i="86" a="1"/>
  <c r="T49" i="86" s="1"/>
  <c r="T55" i="87"/>
  <c r="G241" i="83" a="1"/>
  <c r="G241" i="83" s="1"/>
  <c r="G294" i="83" s="1" a="1"/>
  <c r="G294" i="83" s="1"/>
  <c r="F241" i="83" a="1"/>
  <c r="F241" i="83" s="1"/>
  <c r="F294" i="83" s="1" a="1"/>
  <c r="F294" i="83" s="1"/>
  <c r="F245" i="83" a="1"/>
  <c r="F245" i="83" s="1"/>
  <c r="F298" i="83" s="1" a="1"/>
  <c r="F298" i="83" s="1"/>
  <c r="H245" i="83" a="1"/>
  <c r="H245" i="83" s="1"/>
  <c r="H298" i="83" s="1" a="1"/>
  <c r="H298" i="83" s="1"/>
  <c r="J241" i="83" a="1"/>
  <c r="J241" i="83" s="1"/>
  <c r="J294" i="83" s="1" a="1"/>
  <c r="J294" i="83" s="1"/>
  <c r="J245" i="83" a="1"/>
  <c r="J245" i="83" s="1"/>
  <c r="J298" i="83" s="1" a="1"/>
  <c r="J298" i="83" s="1"/>
  <c r="I245" i="83" a="1"/>
  <c r="I245" i="83" s="1"/>
  <c r="I298" i="83" s="1" a="1"/>
  <c r="I298" i="83" s="1"/>
  <c r="H241" i="83" a="1"/>
  <c r="H241" i="83" s="1"/>
  <c r="H294" i="83" s="1" a="1"/>
  <c r="H294" i="83" s="1"/>
  <c r="G245" i="83" a="1"/>
  <c r="G245" i="83" s="1"/>
  <c r="G298" i="83" s="1" a="1"/>
  <c r="G298" i="83" s="1"/>
  <c r="I241" i="83" a="1"/>
  <c r="I241" i="83" s="1"/>
  <c r="I294" i="83" s="1" a="1"/>
  <c r="I294" i="83" s="1"/>
  <c r="Q59" i="87"/>
  <c r="Q50" i="86" a="1"/>
  <c r="Q50" i="86" s="1"/>
  <c r="E46" i="116" a="1"/>
  <c r="E46" i="116" s="1"/>
  <c r="E48" i="116" s="1"/>
  <c r="G50" i="116" s="1"/>
  <c r="E53" i="116" s="1" a="1"/>
  <c r="E53" i="116" s="1"/>
  <c r="F244" i="83" a="1"/>
  <c r="F244" i="83" s="1"/>
  <c r="F297" i="83" s="1" a="1"/>
  <c r="F297" i="83" s="1"/>
  <c r="I240" i="83" a="1"/>
  <c r="I240" i="83" s="1"/>
  <c r="I293" i="83" s="1" a="1"/>
  <c r="I293" i="83" s="1"/>
  <c r="J240" i="83" a="1"/>
  <c r="J240" i="83" s="1"/>
  <c r="J293" i="83" s="1" a="1"/>
  <c r="J293" i="83" s="1"/>
  <c r="G244" i="83" a="1"/>
  <c r="G244" i="83" s="1"/>
  <c r="G297" i="83" s="1" a="1"/>
  <c r="G297" i="83" s="1"/>
  <c r="I244" i="83" a="1"/>
  <c r="I244" i="83" s="1"/>
  <c r="I297" i="83" s="1" a="1"/>
  <c r="I297" i="83" s="1"/>
  <c r="G240" i="83" a="1"/>
  <c r="G240" i="83" s="1"/>
  <c r="G293" i="83" s="1" a="1"/>
  <c r="G293" i="83" s="1"/>
  <c r="F240" i="83" a="1"/>
  <c r="F240" i="83" s="1"/>
  <c r="F293" i="83" s="1" a="1"/>
  <c r="F293" i="83" s="1"/>
  <c r="J244" i="83" a="1"/>
  <c r="J244" i="83" s="1"/>
  <c r="J297" i="83" s="1" a="1"/>
  <c r="J297" i="83" s="1"/>
  <c r="H240" i="83" a="1"/>
  <c r="H240" i="83" s="1"/>
  <c r="H293" i="83" s="1" a="1"/>
  <c r="H293" i="83" s="1"/>
  <c r="H244" i="83" a="1"/>
  <c r="H244" i="83" s="1"/>
  <c r="H297" i="83" s="1" a="1"/>
  <c r="H297" i="83" s="1"/>
  <c r="J49" i="86" a="1"/>
  <c r="J49" i="86" s="1"/>
  <c r="J55" i="87"/>
  <c r="H50" i="86" a="1"/>
  <c r="H50" i="86" s="1"/>
  <c r="H59" i="87"/>
  <c r="T50" i="86" a="1"/>
  <c r="T50" i="86" s="1"/>
  <c r="T59" i="87"/>
  <c r="I50" i="86" a="1"/>
  <c r="I50" i="86" s="1"/>
  <c r="I59" i="87"/>
  <c r="G59" i="87"/>
  <c r="G50" i="86" a="1"/>
  <c r="G50" i="86" s="1"/>
  <c r="U49" i="86" a="1"/>
  <c r="U49" i="86" s="1"/>
  <c r="U55" i="87"/>
  <c r="J242" i="83" a="1"/>
  <c r="J242" i="83" s="1"/>
  <c r="J295" i="83" s="1" a="1"/>
  <c r="J295" i="83" s="1"/>
  <c r="F238" i="83" a="1"/>
  <c r="F238" i="83" s="1"/>
  <c r="F291" i="83" s="1" a="1"/>
  <c r="F291" i="83" s="1"/>
  <c r="I238" i="83" a="1"/>
  <c r="I238" i="83" s="1"/>
  <c r="I291" i="83" s="1" a="1"/>
  <c r="I291" i="83" s="1"/>
  <c r="F242" i="83" a="1"/>
  <c r="F242" i="83" s="1"/>
  <c r="F295" i="83" s="1" a="1"/>
  <c r="F295" i="83" s="1"/>
  <c r="J238" i="83" a="1"/>
  <c r="J238" i="83" s="1"/>
  <c r="J291" i="83" s="1" a="1"/>
  <c r="J291" i="83" s="1"/>
  <c r="G238" i="83" a="1"/>
  <c r="G238" i="83" s="1"/>
  <c r="G291" i="83" s="1" a="1"/>
  <c r="G291" i="83" s="1"/>
  <c r="G242" i="83" a="1"/>
  <c r="G242" i="83" s="1"/>
  <c r="G295" i="83" s="1" a="1"/>
  <c r="G295" i="83" s="1"/>
  <c r="I242" i="83" a="1"/>
  <c r="I242" i="83" s="1"/>
  <c r="I295" i="83" s="1" a="1"/>
  <c r="I295" i="83" s="1"/>
  <c r="H238" i="83" a="1"/>
  <c r="H238" i="83" s="1"/>
  <c r="H291" i="83" s="1" a="1"/>
  <c r="H291" i="83" s="1"/>
  <c r="H242" i="83" a="1"/>
  <c r="H242" i="83" s="1"/>
  <c r="H295" i="83" s="1" a="1"/>
  <c r="H295" i="83" s="1"/>
  <c r="G49" i="86" a="1"/>
  <c r="G49" i="86" s="1"/>
  <c r="G55" i="87"/>
  <c r="U50" i="86" a="1"/>
  <c r="U50" i="86" s="1"/>
  <c r="U59" i="87"/>
  <c r="J59" i="87"/>
  <c r="J50" i="86" a="1"/>
  <c r="J50" i="86" s="1"/>
  <c r="H55" i="87"/>
  <c r="H49" i="86" a="1"/>
  <c r="H49" i="86" s="1"/>
  <c r="S49" i="86" a="1"/>
  <c r="S49" i="86" s="1"/>
  <c r="S55" i="87"/>
  <c r="E30" i="90"/>
  <c r="J43" i="90" s="1"/>
  <c r="E47" i="90" s="1" a="1"/>
  <c r="E47" i="90" s="1"/>
  <c r="G49" i="90" s="1"/>
  <c r="E52" i="90" s="1" a="1"/>
  <c r="E52" i="90" s="1"/>
  <c r="F49" i="86" a="1"/>
  <c r="F49" i="86" s="1"/>
  <c r="F55" i="87"/>
  <c r="R55" i="87"/>
  <c r="R49" i="86" a="1"/>
  <c r="R49" i="86" s="1"/>
  <c r="Q279" i="84" a="1"/>
  <c r="Q279" i="84" s="1"/>
  <c r="T283" i="84" a="1"/>
  <c r="T283" i="84" s="1"/>
  <c r="T279" i="84" a="1"/>
  <c r="T279" i="84" s="1"/>
  <c r="Q282" i="84" a="1"/>
  <c r="Q282" i="84" s="1"/>
  <c r="T280" i="84" a="1"/>
  <c r="T280" i="84" s="1"/>
  <c r="Q285" i="84" a="1"/>
  <c r="Q285" i="84" s="1"/>
  <c r="T284" i="84" a="1"/>
  <c r="T284" i="84" s="1"/>
  <c r="Q281" i="84" a="1"/>
  <c r="Q281" i="84" s="1"/>
  <c r="Q280" i="84" a="1"/>
  <c r="Q280" i="84" s="1"/>
  <c r="Q284" i="84" a="1"/>
  <c r="Q284" i="84" s="1"/>
  <c r="Q283" i="84" a="1"/>
  <c r="Q283" i="84" s="1"/>
  <c r="T282" i="84" a="1"/>
  <c r="T282" i="84" s="1"/>
  <c r="Q278" i="84" a="1"/>
  <c r="Q278" i="84" s="1"/>
  <c r="T285" i="84" a="1"/>
  <c r="T285" i="84" s="1"/>
  <c r="T281" i="84" a="1"/>
  <c r="T281" i="84" s="1"/>
  <c r="T278" i="84" a="1"/>
  <c r="T278" i="84" s="1"/>
  <c r="I278" i="84" a="1"/>
  <c r="I278" i="84" s="1"/>
  <c r="J280" i="84" a="1"/>
  <c r="J280" i="84" s="1"/>
  <c r="J284" i="84" a="1"/>
  <c r="J284" i="84" s="1"/>
  <c r="J278" i="84" a="1"/>
  <c r="J278" i="84" s="1"/>
  <c r="I279" i="84" a="1"/>
  <c r="I279" i="84" s="1"/>
  <c r="H281" i="84" a="1"/>
  <c r="H281" i="84" s="1"/>
  <c r="P284" i="84" a="1"/>
  <c r="P284" i="84" s="1"/>
  <c r="J282" i="84" a="1"/>
  <c r="J282" i="84" s="1"/>
  <c r="H280" i="84" a="1"/>
  <c r="H280" i="84" s="1"/>
  <c r="I283" i="84" a="1"/>
  <c r="I283" i="84" s="1"/>
  <c r="P279" i="84" a="1"/>
  <c r="P279" i="84" s="1"/>
  <c r="J283" i="84" a="1"/>
  <c r="J283" i="84" s="1"/>
  <c r="I282" i="84" a="1"/>
  <c r="I282" i="84" s="1"/>
  <c r="P278" i="84" a="1"/>
  <c r="P278" i="84" s="1"/>
  <c r="H285" i="84" a="1"/>
  <c r="H285" i="84" s="1"/>
  <c r="H278" i="84" a="1"/>
  <c r="H278" i="84" s="1"/>
  <c r="H284" i="84" a="1"/>
  <c r="H284" i="84" s="1"/>
  <c r="J279" i="84" a="1"/>
  <c r="J279" i="84" s="1"/>
  <c r="J285" i="84" a="1"/>
  <c r="J285" i="84" s="1"/>
  <c r="H279" i="84" a="1"/>
  <c r="H279" i="84" s="1"/>
  <c r="P281" i="84" a="1"/>
  <c r="P281" i="84" s="1"/>
  <c r="J281" i="84" a="1"/>
  <c r="J281" i="84" s="1"/>
  <c r="P280" i="84" a="1"/>
  <c r="P280" i="84" s="1"/>
  <c r="P285" i="84" a="1"/>
  <c r="P285" i="84" s="1"/>
  <c r="I285" i="84" a="1"/>
  <c r="I285" i="84" s="1"/>
  <c r="I281" i="84" a="1"/>
  <c r="I281" i="84" s="1"/>
  <c r="I284" i="84" a="1"/>
  <c r="I284" i="84" s="1"/>
  <c r="H283" i="84" a="1"/>
  <c r="H283" i="84" s="1"/>
  <c r="P282" i="84" a="1"/>
  <c r="P282" i="84" s="1"/>
  <c r="I280" i="84" a="1"/>
  <c r="I280" i="84" s="1"/>
  <c r="H282" i="84" a="1"/>
  <c r="H282" i="84" s="1"/>
  <c r="P283" i="84" a="1"/>
  <c r="P283" i="84" s="1"/>
  <c r="G283" i="84" a="1"/>
  <c r="G283" i="84" s="1"/>
  <c r="F284" i="84" a="1"/>
  <c r="F284" i="84" s="1"/>
  <c r="R282" i="84" a="1"/>
  <c r="R282" i="84" s="1"/>
  <c r="R279" i="84" a="1"/>
  <c r="R279" i="84" s="1"/>
  <c r="F278" i="84" a="1"/>
  <c r="F278" i="84" s="1"/>
  <c r="S279" i="84" a="1"/>
  <c r="S279" i="84" s="1"/>
  <c r="R284" i="84" a="1"/>
  <c r="R284" i="84" s="1"/>
  <c r="G280" i="84" a="1"/>
  <c r="G280" i="84" s="1"/>
  <c r="S285" i="84" a="1"/>
  <c r="S285" i="84" s="1"/>
  <c r="R281" i="84" a="1"/>
  <c r="R281" i="84" s="1"/>
  <c r="G285" i="84" a="1"/>
  <c r="G285" i="84" s="1"/>
  <c r="S278" i="84" a="1"/>
  <c r="S278" i="84" s="1"/>
  <c r="S284" i="84" a="1"/>
  <c r="S284" i="84" s="1"/>
  <c r="S280" i="84" a="1"/>
  <c r="S280" i="84" s="1"/>
  <c r="F280" i="84" a="1"/>
  <c r="F280" i="84" s="1"/>
  <c r="G284" i="84" a="1"/>
  <c r="G284" i="84" s="1"/>
  <c r="R283" i="84" a="1"/>
  <c r="R283" i="84" s="1"/>
  <c r="G278" i="84" a="1"/>
  <c r="G278" i="84" s="1"/>
  <c r="G282" i="84" a="1"/>
  <c r="G282" i="84" s="1"/>
  <c r="R280" i="84" a="1"/>
  <c r="R280" i="84" s="1"/>
  <c r="F283" i="84" a="1"/>
  <c r="F283" i="84" s="1"/>
  <c r="R285" i="84" a="1"/>
  <c r="R285" i="84" s="1"/>
  <c r="R278" i="84" a="1"/>
  <c r="R278" i="84" s="1"/>
  <c r="S282" i="84" a="1"/>
  <c r="S282" i="84" s="1"/>
  <c r="S283" i="84" a="1"/>
  <c r="S283" i="84" s="1"/>
  <c r="F282" i="84" a="1"/>
  <c r="F282" i="84" s="1"/>
  <c r="F281" i="84" a="1"/>
  <c r="F281" i="84" s="1"/>
  <c r="S281" i="84" a="1"/>
  <c r="S281" i="84" s="1"/>
  <c r="F279" i="84" a="1"/>
  <c r="F279" i="84" s="1"/>
  <c r="F285" i="84" a="1"/>
  <c r="F285" i="84" s="1"/>
  <c r="G281" i="84" a="1"/>
  <c r="G281" i="84" s="1"/>
  <c r="G279" i="84" a="1"/>
  <c r="G279" i="84" s="1"/>
  <c r="S50" i="86" a="1"/>
  <c r="S50" i="86" s="1"/>
  <c r="S59" i="87"/>
  <c r="R50" i="86" a="1"/>
  <c r="R50" i="86" s="1"/>
  <c r="R59" i="87"/>
  <c r="I239" i="83" a="1"/>
  <c r="I239" i="83" s="1"/>
  <c r="I292" i="83" s="1" a="1"/>
  <c r="I292" i="83" s="1"/>
  <c r="J239" i="83" a="1"/>
  <c r="J239" i="83" s="1"/>
  <c r="J292" i="83" s="1" a="1"/>
  <c r="J292" i="83" s="1"/>
  <c r="G243" i="83" a="1"/>
  <c r="G243" i="83" s="1"/>
  <c r="G296" i="83" s="1" a="1"/>
  <c r="G296" i="83" s="1"/>
  <c r="H239" i="83" a="1"/>
  <c r="H239" i="83" s="1"/>
  <c r="H292" i="83" s="1" a="1"/>
  <c r="H292" i="83" s="1"/>
  <c r="F239" i="83" a="1"/>
  <c r="F239" i="83" s="1"/>
  <c r="F292" i="83" s="1" a="1"/>
  <c r="F292" i="83" s="1"/>
  <c r="H243" i="83" a="1"/>
  <c r="H243" i="83" s="1"/>
  <c r="H296" i="83" s="1" a="1"/>
  <c r="H296" i="83" s="1"/>
  <c r="F243" i="83" a="1"/>
  <c r="F243" i="83" s="1"/>
  <c r="F296" i="83" s="1" a="1"/>
  <c r="F296" i="83" s="1"/>
  <c r="G239" i="83" a="1"/>
  <c r="G239" i="83" s="1"/>
  <c r="G292" i="83" s="1" a="1"/>
  <c r="G292" i="83" s="1"/>
  <c r="I243" i="83" a="1"/>
  <c r="I243" i="83" s="1"/>
  <c r="I296" i="83" s="1" a="1"/>
  <c r="I296" i="83" s="1"/>
  <c r="J243" i="83" a="1"/>
  <c r="J243" i="83" s="1"/>
  <c r="J296" i="83" s="1" a="1"/>
  <c r="J296" i="83" s="1"/>
  <c r="F59" i="87"/>
  <c r="F50" i="86" a="1"/>
  <c r="F50" i="86" s="1"/>
  <c r="G237" i="83" a="1"/>
  <c r="G237" i="83" s="1"/>
  <c r="G290" i="83" s="1" a="1"/>
  <c r="G290" i="83" s="1"/>
  <c r="I237" i="83" a="1"/>
  <c r="I237" i="83" s="1"/>
  <c r="I290" i="83" s="1" a="1"/>
  <c r="I290" i="83" s="1"/>
  <c r="J237" i="83" a="1"/>
  <c r="J237" i="83" s="1"/>
  <c r="J290" i="83" s="1" a="1"/>
  <c r="J290" i="83" s="1"/>
  <c r="F237" i="83" a="1"/>
  <c r="F237" i="83" s="1"/>
  <c r="F290" i="83" s="1" a="1"/>
  <c r="F290" i="83" s="1"/>
  <c r="H237" i="83" a="1"/>
  <c r="H237" i="83" s="1"/>
  <c r="H290" i="83" s="1" a="1"/>
  <c r="H290" i="83" s="1"/>
  <c r="I49" i="86" a="1"/>
  <c r="I49" i="86" s="1"/>
  <c r="I55" i="87"/>
  <c r="F44" i="80"/>
  <c r="F54" i="80"/>
  <c r="F55" i="80" s="1"/>
  <c r="I16" i="77"/>
  <c r="I15" i="77"/>
  <c r="I14" i="77"/>
  <c r="I13" i="77"/>
  <c r="I12" i="77"/>
  <c r="I11" i="77"/>
  <c r="I10" i="77"/>
  <c r="I9" i="77"/>
  <c r="I8" i="77"/>
  <c r="I7" i="77"/>
  <c r="S113" i="87" l="1" a="1"/>
  <c r="S113" i="87" s="1"/>
  <c r="S83" i="87" a="1"/>
  <c r="S83" i="87" s="1"/>
  <c r="S146" i="87" a="1"/>
  <c r="S146" i="87" s="1"/>
  <c r="F142" i="87" a="1"/>
  <c r="F142" i="87" s="1"/>
  <c r="F109" i="87" a="1"/>
  <c r="F109" i="87" s="1"/>
  <c r="F79" i="87" a="1"/>
  <c r="F79" i="87" s="1"/>
  <c r="I83" i="87" a="1"/>
  <c r="I83" i="87" s="1"/>
  <c r="I146" i="87" a="1"/>
  <c r="I146" i="87" s="1"/>
  <c r="I113" i="87" a="1"/>
  <c r="I113" i="87" s="1"/>
  <c r="H146" i="87" a="1"/>
  <c r="H146" i="87" s="1"/>
  <c r="H83" i="87" a="1"/>
  <c r="H83" i="87" s="1"/>
  <c r="H113" i="87" a="1"/>
  <c r="H113" i="87" s="1"/>
  <c r="F146" i="87" a="1"/>
  <c r="F146" i="87" s="1"/>
  <c r="F83" i="87" a="1"/>
  <c r="F83" i="87" s="1"/>
  <c r="F113" i="87" a="1"/>
  <c r="F113" i="87" s="1"/>
  <c r="E287" i="84"/>
  <c r="G289" i="84" s="1"/>
  <c r="E292" i="84" s="1" a="1"/>
  <c r="E292" i="84" s="1"/>
  <c r="E52" i="86"/>
  <c r="G54" i="86" s="1"/>
  <c r="E57" i="86" s="1" a="1"/>
  <c r="E57" i="86" s="1"/>
  <c r="T146" i="87" a="1"/>
  <c r="T146" i="87" s="1"/>
  <c r="T113" i="87" a="1"/>
  <c r="T113" i="87" s="1"/>
  <c r="T83" i="87" a="1"/>
  <c r="T83" i="87" s="1"/>
  <c r="J142" i="87" a="1"/>
  <c r="J142" i="87" s="1"/>
  <c r="J109" i="87" a="1"/>
  <c r="J109" i="87" s="1"/>
  <c r="J79" i="87" a="1"/>
  <c r="J79" i="87" s="1"/>
  <c r="I109" i="87" a="1"/>
  <c r="I109" i="87" s="1"/>
  <c r="I142" i="87" a="1"/>
  <c r="I142" i="87" s="1"/>
  <c r="I79" i="87" a="1"/>
  <c r="I79" i="87" s="1"/>
  <c r="J83" i="87" a="1"/>
  <c r="J83" i="87" s="1"/>
  <c r="J146" i="87" a="1"/>
  <c r="J146" i="87" s="1"/>
  <c r="J113" i="87" a="1"/>
  <c r="J113" i="87" s="1"/>
  <c r="Q142" i="87" a="1"/>
  <c r="Q142" i="87" s="1"/>
  <c r="Q79" i="87" a="1"/>
  <c r="Q79" i="87" s="1"/>
  <c r="Q109" i="87" a="1"/>
  <c r="Q109" i="87" s="1"/>
  <c r="Q83" i="87" a="1"/>
  <c r="Q83" i="87" s="1"/>
  <c r="Q146" i="87" a="1"/>
  <c r="Q146" i="87" s="1"/>
  <c r="Q113" i="87" a="1"/>
  <c r="Q113" i="87" s="1"/>
  <c r="E22" i="72"/>
  <c r="U146" i="87" a="1"/>
  <c r="U146" i="87" s="1"/>
  <c r="U83" i="87" a="1"/>
  <c r="U83" i="87" s="1"/>
  <c r="U113" i="87" a="1"/>
  <c r="U113" i="87" s="1"/>
  <c r="U109" i="87" a="1"/>
  <c r="U109" i="87" s="1"/>
  <c r="U79" i="87" a="1"/>
  <c r="U79" i="87" s="1"/>
  <c r="U142" i="87" a="1"/>
  <c r="U142" i="87" s="1"/>
  <c r="S142" i="87" a="1"/>
  <c r="S142" i="87" s="1"/>
  <c r="S109" i="87" a="1"/>
  <c r="S109" i="87" s="1"/>
  <c r="S79" i="87" a="1"/>
  <c r="S79" i="87" s="1"/>
  <c r="P52" i="86"/>
  <c r="R54" i="86" s="1"/>
  <c r="P57" i="86" s="1" a="1"/>
  <c r="P57" i="86" s="1"/>
  <c r="E300" i="83"/>
  <c r="O287" i="84"/>
  <c r="Q289" i="84" s="1"/>
  <c r="O292" i="84" s="1" a="1"/>
  <c r="O292" i="84" s="1"/>
  <c r="G109" i="87" a="1"/>
  <c r="G109" i="87" s="1"/>
  <c r="G79" i="87" a="1"/>
  <c r="G79" i="87" s="1"/>
  <c r="G142" i="87" a="1"/>
  <c r="G142" i="87" s="1"/>
  <c r="T79" i="87" a="1"/>
  <c r="T79" i="87" s="1"/>
  <c r="T142" i="87" a="1"/>
  <c r="T142" i="87" s="1"/>
  <c r="T109" i="87" a="1"/>
  <c r="T109" i="87" s="1"/>
  <c r="H142" i="87" a="1"/>
  <c r="H142" i="87" s="1"/>
  <c r="H109" i="87" a="1"/>
  <c r="H109" i="87" s="1"/>
  <c r="H79" i="87" a="1"/>
  <c r="H79" i="87" s="1"/>
  <c r="R83" i="87" a="1"/>
  <c r="R83" i="87" s="1"/>
  <c r="R113" i="87" a="1"/>
  <c r="R113" i="87" s="1"/>
  <c r="R146" i="87" a="1"/>
  <c r="R146" i="87" s="1"/>
  <c r="G146" i="87" a="1"/>
  <c r="G146" i="87" s="1"/>
  <c r="G113" i="87" a="1"/>
  <c r="G113" i="87" s="1"/>
  <c r="G83" i="87" a="1"/>
  <c r="G83" i="87" s="1"/>
  <c r="R79" i="87" a="1"/>
  <c r="R79" i="87" s="1"/>
  <c r="R142" i="87" a="1"/>
  <c r="R142" i="87" s="1"/>
  <c r="R109" i="87" a="1"/>
  <c r="R109" i="87" s="1"/>
  <c r="P300" i="83"/>
  <c r="F45" i="80"/>
  <c r="F17" i="13" a="1"/>
  <c r="F17" i="13" s="1"/>
  <c r="I17" i="13" s="1" a="1"/>
  <c r="I17" i="13" s="1"/>
  <c r="E17" i="13" a="1"/>
  <c r="E17" i="13" s="1"/>
  <c r="H17" i="13" s="1" a="1"/>
  <c r="H17" i="13" s="1"/>
  <c r="F16" i="13" a="1"/>
  <c r="F16" i="13" s="1"/>
  <c r="I16" i="13" s="1" a="1"/>
  <c r="I16" i="13" s="1"/>
  <c r="E16" i="13" a="1"/>
  <c r="E16" i="13" s="1"/>
  <c r="H16" i="13" s="1" a="1"/>
  <c r="H16" i="13" s="1"/>
  <c r="F14" i="13" a="1"/>
  <c r="F14" i="13" s="1"/>
  <c r="I14" i="13" s="1" a="1"/>
  <c r="I14" i="13" s="1"/>
  <c r="F13" i="13" a="1"/>
  <c r="F13" i="13" s="1"/>
  <c r="I13" i="13" s="1" a="1"/>
  <c r="I13" i="13" s="1"/>
  <c r="E13" i="13" a="1"/>
  <c r="E13" i="13" s="1"/>
  <c r="H13" i="13" s="1" a="1"/>
  <c r="H13" i="13" s="1"/>
  <c r="F12" i="13" a="1"/>
  <c r="F12" i="13" s="1"/>
  <c r="I12" i="13" s="1" a="1"/>
  <c r="I12" i="13" s="1"/>
  <c r="E12" i="13" l="1" a="1"/>
  <c r="E12" i="13" s="1"/>
  <c r="H12" i="13" s="1" a="1"/>
  <c r="H12" i="13" s="1"/>
  <c r="E14" i="13" a="1"/>
  <c r="E14" i="13" s="1"/>
  <c r="H14" i="13" s="1" a="1"/>
  <c r="H14" i="13" s="1"/>
  <c r="E148" i="87"/>
  <c r="F46" i="80"/>
  <c r="F56" i="80"/>
  <c r="F57" i="80" s="1"/>
  <c r="E85" i="87"/>
  <c r="E115" i="87"/>
  <c r="P115" i="87"/>
  <c r="P85" i="87"/>
  <c r="P148" i="87"/>
  <c r="F10" i="13" a="1"/>
  <c r="F10" i="13" s="1"/>
  <c r="I10" i="13" s="1" a="1"/>
  <c r="I10" i="13" s="1"/>
  <c r="E10" i="13" a="1"/>
  <c r="E10" i="13" s="1"/>
  <c r="H10" i="13" s="1" a="1"/>
  <c r="H10" i="13" s="1"/>
  <c r="F47" i="80" l="1"/>
  <c r="G48" i="80"/>
  <c r="G49" i="80" s="1"/>
  <c r="G44" i="80"/>
  <c r="G45" i="80" s="1"/>
  <c r="G46" i="80"/>
  <c r="G47" i="80" s="1"/>
  <c r="E10" i="76" a="1"/>
  <c r="E10" i="76" s="1"/>
  <c r="E9" i="76" a="1"/>
  <c r="E9" i="76" s="1"/>
  <c r="I18" i="99" l="1"/>
  <c r="I14" i="99" s="1"/>
  <c r="S98" i="94"/>
  <c r="I128" i="98"/>
  <c r="I125" i="98" s="1"/>
  <c r="I54" i="94"/>
  <c r="I50" i="94" s="1"/>
  <c r="J53" i="98"/>
  <c r="J50" i="98" s="1"/>
  <c r="I60" i="99"/>
  <c r="I56" i="99" s="1"/>
  <c r="F31" i="93"/>
  <c r="G31" i="93" s="1"/>
  <c r="G14" i="93"/>
  <c r="I14" i="93" s="1"/>
  <c r="F43" i="93"/>
  <c r="G43" i="93" s="1"/>
  <c r="E320" i="124" s="1" a="1"/>
  <c r="E320" i="124" s="1"/>
  <c r="G19" i="93"/>
  <c r="I19" i="93" s="1"/>
  <c r="F30" i="93"/>
  <c r="G30" i="93" s="1"/>
  <c r="G12" i="93"/>
  <c r="H55" i="93"/>
  <c r="F29" i="93"/>
  <c r="G29" i="93" s="1"/>
  <c r="G18" i="93"/>
  <c r="I18" i="93" s="1"/>
  <c r="F28" i="93"/>
  <c r="G28" i="93" s="1"/>
  <c r="F26" i="93"/>
  <c r="G26" i="93" s="1"/>
  <c r="H54" i="93"/>
  <c r="F27" i="93"/>
  <c r="G27" i="93" s="1"/>
  <c r="F25" i="93"/>
  <c r="F44" i="93"/>
  <c r="G44" i="93" s="1"/>
  <c r="G21" i="93"/>
  <c r="I21" i="93" s="1"/>
  <c r="G20" i="93"/>
  <c r="I20" i="93" s="1"/>
  <c r="H56" i="93"/>
  <c r="G13" i="93"/>
  <c r="I13" i="93" s="1"/>
  <c r="F42" i="93"/>
  <c r="G42" i="93" s="1"/>
  <c r="F34" i="93"/>
  <c r="G34" i="93" s="1"/>
  <c r="F33" i="93"/>
  <c r="G33" i="93" s="1"/>
  <c r="F32" i="93"/>
  <c r="G32" i="93" s="1"/>
  <c r="G17" i="93"/>
  <c r="I17" i="93" s="1"/>
  <c r="G16" i="93"/>
  <c r="I16" i="93" s="1"/>
  <c r="G15" i="93"/>
  <c r="I15" i="93" s="1"/>
  <c r="E31" i="13" a="1"/>
  <c r="E31" i="13" s="1"/>
  <c r="H31" i="13" s="1" a="1"/>
  <c r="H31" i="13" s="1"/>
  <c r="E30" i="13" a="1"/>
  <c r="E30" i="13" s="1"/>
  <c r="E29" i="13" a="1"/>
  <c r="E29" i="13" s="1"/>
  <c r="H29" i="13" s="1"/>
  <c r="E28" i="13" a="1"/>
  <c r="E28" i="13" s="1"/>
  <c r="E27" i="13" a="1"/>
  <c r="E27" i="13" s="1"/>
  <c r="H27" i="13" s="1" a="1"/>
  <c r="H27" i="13" s="1"/>
  <c r="E26" i="13" a="1"/>
  <c r="E26" i="13" s="1"/>
  <c r="H26" i="13" s="1"/>
  <c r="F25" i="13" a="1"/>
  <c r="F25" i="13" s="1"/>
  <c r="I25" i="13" s="1" a="1"/>
  <c r="I25" i="13" s="1"/>
  <c r="E25" i="13" a="1"/>
  <c r="E25" i="13" s="1"/>
  <c r="H25" i="13" s="1" a="1"/>
  <c r="H25" i="13" s="1"/>
  <c r="E13" i="72"/>
  <c r="E18" i="75"/>
  <c r="E20" i="75" s="1"/>
  <c r="E21" i="75" s="1"/>
  <c r="E20" i="72"/>
  <c r="J56" i="93" l="1"/>
  <c r="I56" i="93"/>
  <c r="J55" i="93"/>
  <c r="I55" i="93"/>
  <c r="E25" i="97" a="1"/>
  <c r="I12" i="93"/>
  <c r="P11" i="94" a="1"/>
  <c r="H320" i="124" a="1"/>
  <c r="H320" i="124" s="1"/>
  <c r="G320" i="124" a="1"/>
  <c r="G320" i="124" s="1"/>
  <c r="F320" i="124" a="1"/>
  <c r="D5" i="13"/>
  <c r="E30" i="101"/>
  <c r="D29" i="82"/>
  <c r="D28" i="82"/>
  <c r="D25" i="82"/>
  <c r="D10" i="82"/>
  <c r="D24" i="82"/>
  <c r="D37" i="72"/>
  <c r="D79" i="13"/>
  <c r="D74" i="13"/>
  <c r="G25" i="93"/>
  <c r="E252" i="124" s="1" a="1"/>
  <c r="P21" i="94" a="1"/>
  <c r="F72" i="99" a="1"/>
  <c r="F72" i="99" s="1"/>
  <c r="F69" i="99" a="1"/>
  <c r="F69" i="99" s="1"/>
  <c r="F68" i="99" a="1"/>
  <c r="F68" i="99" s="1"/>
  <c r="F70" i="99" a="1"/>
  <c r="F70" i="99" s="1"/>
  <c r="F74" i="99" a="1"/>
  <c r="F74" i="99" s="1"/>
  <c r="F75" i="99" a="1"/>
  <c r="F75" i="99" s="1"/>
  <c r="F73" i="99" a="1"/>
  <c r="F73" i="99" s="1"/>
  <c r="F71" i="99" a="1"/>
  <c r="F71" i="99" s="1"/>
  <c r="J17" i="125"/>
  <c r="J14" i="125" s="1"/>
  <c r="J37" i="115"/>
  <c r="J34" i="115" s="1" a="1"/>
  <c r="J34" i="115" s="1"/>
  <c r="J46" i="88"/>
  <c r="J44" i="88" s="1"/>
  <c r="K48" i="96"/>
  <c r="K45" i="96" s="1"/>
  <c r="I54" i="93"/>
  <c r="F20" i="96" a="1"/>
  <c r="F20" i="96" s="1"/>
  <c r="G20" i="96" a="1"/>
  <c r="J54" i="93"/>
  <c r="F144" i="98" a="1"/>
  <c r="F144" i="98" s="1"/>
  <c r="F140" i="98" a="1"/>
  <c r="F140" i="98" s="1"/>
  <c r="F143" i="98" a="1"/>
  <c r="F143" i="98" s="1"/>
  <c r="F141" i="98" a="1"/>
  <c r="F141" i="98" s="1"/>
  <c r="F139" i="98" a="1"/>
  <c r="F139" i="98" s="1"/>
  <c r="F138" i="98" a="1"/>
  <c r="F138" i="98" s="1"/>
  <c r="F137" i="98" a="1"/>
  <c r="F137" i="98" s="1"/>
  <c r="F142" i="98" a="1"/>
  <c r="F142" i="98" s="1"/>
  <c r="N106" i="94"/>
  <c r="N105" i="94"/>
  <c r="O108" i="94" a="1"/>
  <c r="O108" i="94" s="1"/>
  <c r="F30" i="13"/>
  <c r="I30" i="13" s="1" a="1"/>
  <c r="I30" i="13" s="1"/>
  <c r="H30" i="13" a="1"/>
  <c r="H30" i="13" s="1"/>
  <c r="F28" i="13"/>
  <c r="I28" i="13" s="1" a="1"/>
  <c r="I28" i="13" s="1"/>
  <c r="H28" i="13" a="1"/>
  <c r="H28" i="13" s="1"/>
  <c r="F26" i="13"/>
  <c r="I26" i="13" s="1"/>
  <c r="F27" i="13"/>
  <c r="I27" i="13" s="1" a="1"/>
  <c r="I27" i="13" s="1"/>
  <c r="F29" i="13"/>
  <c r="I29" i="13" s="1"/>
  <c r="F31" i="13"/>
  <c r="I31" i="13" s="1" a="1"/>
  <c r="I31" i="13" s="1"/>
  <c r="E19" i="125" l="1" a="1"/>
  <c r="E19" i="125" s="1"/>
  <c r="J584" i="124" s="1"/>
  <c r="E588" i="124" s="1" a="1"/>
  <c r="E588" i="124" s="1"/>
  <c r="G590" i="124" s="1"/>
  <c r="E593" i="124" s="1" a="1"/>
  <c r="E593" i="124" s="1"/>
  <c r="O19" i="125" a="1"/>
  <c r="O19" i="125" s="1"/>
  <c r="R584" i="124" s="1"/>
  <c r="M588" i="124" s="1" a="1"/>
  <c r="M588" i="124" s="1"/>
  <c r="O590" i="124" s="1"/>
  <c r="M593" i="124" s="1" a="1"/>
  <c r="M593" i="124" s="1"/>
  <c r="I37" i="101"/>
  <c r="I39" i="101"/>
  <c r="I38" i="101"/>
  <c r="I48" i="101"/>
  <c r="I46" i="101"/>
  <c r="E50" i="101" s="1"/>
  <c r="I47" i="101"/>
  <c r="G20" i="96"/>
  <c r="I20" i="96" s="1" a="1"/>
  <c r="I20" i="96" s="1"/>
  <c r="I22" i="96" a="1"/>
  <c r="I22" i="96" s="1"/>
  <c r="I21" i="96" a="1"/>
  <c r="I21" i="96" s="1"/>
  <c r="P21" i="94"/>
  <c r="Q21" i="94" s="1"/>
  <c r="Q29" i="94"/>
  <c r="Q22" i="94"/>
  <c r="Q25" i="94"/>
  <c r="Q26" i="94"/>
  <c r="Q28" i="94"/>
  <c r="Q24" i="94"/>
  <c r="Q30" i="94"/>
  <c r="Q23" i="94"/>
  <c r="Q27" i="94"/>
  <c r="S93" i="94"/>
  <c r="E252" i="124"/>
  <c r="J255" i="124" a="1"/>
  <c r="J255" i="124" s="1"/>
  <c r="J259" i="124" a="1"/>
  <c r="J259" i="124" s="1"/>
  <c r="J253" i="124" a="1"/>
  <c r="J253" i="124" s="1"/>
  <c r="J258" i="124" a="1"/>
  <c r="J258" i="124" s="1"/>
  <c r="J261" i="124" a="1"/>
  <c r="J261" i="124" s="1"/>
  <c r="J254" i="124" a="1"/>
  <c r="J254" i="124" s="1"/>
  <c r="J257" i="124" a="1"/>
  <c r="J257" i="124" s="1"/>
  <c r="J256" i="124" a="1"/>
  <c r="J256" i="124" s="1"/>
  <c r="J260" i="124" a="1"/>
  <c r="J260" i="124" s="1"/>
  <c r="K260" i="124" a="1"/>
  <c r="K260" i="124" s="1"/>
  <c r="H257" i="124" a="1"/>
  <c r="H257" i="124" s="1"/>
  <c r="H253" i="124" a="1"/>
  <c r="H253" i="124" s="1"/>
  <c r="H260" i="124" a="1"/>
  <c r="H260" i="124" s="1"/>
  <c r="H256" i="124" a="1"/>
  <c r="H256" i="124" s="1"/>
  <c r="K256" i="124" a="1"/>
  <c r="K256" i="124" s="1"/>
  <c r="K261" i="124" a="1"/>
  <c r="K261" i="124" s="1"/>
  <c r="H255" i="124" a="1"/>
  <c r="H255" i="124" s="1"/>
  <c r="K255" i="124" a="1"/>
  <c r="K255" i="124" s="1"/>
  <c r="K259" i="124" a="1"/>
  <c r="K259" i="124" s="1"/>
  <c r="K257" i="124" a="1"/>
  <c r="K257" i="124" s="1"/>
  <c r="K254" i="124" a="1"/>
  <c r="K254" i="124" s="1"/>
  <c r="H261" i="124" a="1"/>
  <c r="H261" i="124" s="1"/>
  <c r="H259" i="124" a="1"/>
  <c r="H259" i="124" s="1"/>
  <c r="H258" i="124" a="1"/>
  <c r="H258" i="124" s="1"/>
  <c r="K253" i="124" a="1"/>
  <c r="K253" i="124" s="1"/>
  <c r="H254" i="124" a="1"/>
  <c r="H254" i="124" s="1"/>
  <c r="K258" i="124" a="1"/>
  <c r="K258" i="124" s="1"/>
  <c r="G261" i="124" a="1"/>
  <c r="G261" i="124" s="1"/>
  <c r="G256" i="124" a="1"/>
  <c r="G256" i="124" s="1"/>
  <c r="G254" i="124" a="1"/>
  <c r="G254" i="124" s="1"/>
  <c r="G259" i="124" a="1"/>
  <c r="G259" i="124" s="1"/>
  <c r="G257" i="124" a="1"/>
  <c r="G257" i="124" s="1"/>
  <c r="G258" i="124" a="1"/>
  <c r="G258" i="124" s="1"/>
  <c r="G260" i="124" a="1"/>
  <c r="G260" i="124" s="1"/>
  <c r="G253" i="124" a="1"/>
  <c r="G253" i="124" s="1"/>
  <c r="G255" i="124" a="1"/>
  <c r="G255" i="124" s="1"/>
  <c r="P11" i="94"/>
  <c r="Q18" i="94"/>
  <c r="Q19" i="94"/>
  <c r="Q14" i="94"/>
  <c r="Q12" i="94"/>
  <c r="Q15" i="94"/>
  <c r="Q17" i="94"/>
  <c r="Q16" i="94"/>
  <c r="Q13" i="94"/>
  <c r="Q20" i="94"/>
  <c r="N108" i="94"/>
  <c r="E33" i="95" a="1"/>
  <c r="E33" i="95" s="1"/>
  <c r="G33" i="95" s="1" a="1"/>
  <c r="G33" i="95" s="1"/>
  <c r="E72" i="95" s="1" a="1"/>
  <c r="E72" i="95" s="1"/>
  <c r="E26" i="94" a="1"/>
  <c r="E26" i="94" s="1"/>
  <c r="G26" i="94" s="1" a="1"/>
  <c r="G26" i="94" s="1"/>
  <c r="E24" i="94" a="1"/>
  <c r="E24" i="94" s="1"/>
  <c r="G24" i="94" s="1" a="1"/>
  <c r="G24" i="94" s="1"/>
  <c r="E26" i="95" a="1"/>
  <c r="E26" i="95" s="1"/>
  <c r="G26" i="95" s="1" a="1"/>
  <c r="G26" i="95" s="1"/>
  <c r="E65" i="95" s="1" a="1"/>
  <c r="E65" i="95" s="1"/>
  <c r="E37" i="95" a="1"/>
  <c r="E37" i="95" s="1"/>
  <c r="G37" i="95" s="1" a="1"/>
  <c r="G37" i="95" s="1"/>
  <c r="E76" i="95" s="1" a="1"/>
  <c r="E76" i="95" s="1"/>
  <c r="E34" i="95" a="1"/>
  <c r="E34" i="95" s="1"/>
  <c r="G34" i="95" s="1" a="1"/>
  <c r="G34" i="95" s="1"/>
  <c r="E73" i="95" s="1" a="1"/>
  <c r="E73" i="95" s="1"/>
  <c r="E19" i="95" a="1"/>
  <c r="E19" i="95" s="1"/>
  <c r="G19" i="95" s="1" a="1"/>
  <c r="G19" i="95" s="1"/>
  <c r="E58" i="95" s="1" a="1"/>
  <c r="E58" i="95" s="1"/>
  <c r="E30" i="95" a="1"/>
  <c r="E30" i="95" s="1"/>
  <c r="G30" i="95" s="1" a="1"/>
  <c r="G30" i="95" s="1"/>
  <c r="E69" i="95" s="1" a="1"/>
  <c r="E69" i="95" s="1"/>
  <c r="E35" i="95" a="1"/>
  <c r="E35" i="95" s="1"/>
  <c r="G35" i="95" s="1" a="1"/>
  <c r="G35" i="95" s="1"/>
  <c r="E74" i="95" s="1" a="1"/>
  <c r="E74" i="95" s="1"/>
  <c r="E35" i="94" a="1"/>
  <c r="E35" i="94" s="1"/>
  <c r="G35" i="94" s="1" a="1"/>
  <c r="G35" i="94" s="1"/>
  <c r="E20" i="94" a="1"/>
  <c r="E20" i="94" s="1"/>
  <c r="G20" i="94" s="1" a="1"/>
  <c r="G20" i="94" s="1"/>
  <c r="E28" i="95" a="1"/>
  <c r="E28" i="95" s="1"/>
  <c r="G28" i="95" s="1" a="1"/>
  <c r="G28" i="95" s="1"/>
  <c r="E67" i="95" s="1" a="1"/>
  <c r="E67" i="95" s="1"/>
  <c r="E28" i="94" a="1"/>
  <c r="E28" i="94" s="1"/>
  <c r="G28" i="94" s="1" a="1"/>
  <c r="G28" i="94" s="1"/>
  <c r="E23" i="94" a="1"/>
  <c r="E23" i="94" s="1"/>
  <c r="G23" i="94" s="1" a="1"/>
  <c r="G23" i="94" s="1"/>
  <c r="E27" i="95" a="1"/>
  <c r="E27" i="95" s="1"/>
  <c r="G27" i="95" s="1" a="1"/>
  <c r="G27" i="95" s="1"/>
  <c r="E66" i="95" s="1" a="1"/>
  <c r="E66" i="95" s="1"/>
  <c r="E32" i="95" a="1"/>
  <c r="E32" i="95" s="1"/>
  <c r="G32" i="95" s="1" a="1"/>
  <c r="G32" i="95" s="1"/>
  <c r="E71" i="95" s="1" a="1"/>
  <c r="E71" i="95" s="1"/>
  <c r="E23" i="95" a="1"/>
  <c r="E23" i="95" s="1"/>
  <c r="G23" i="95" s="1" a="1"/>
  <c r="G23" i="95" s="1"/>
  <c r="E62" i="95" s="1" a="1"/>
  <c r="E62" i="95" s="1"/>
  <c r="E21" i="95" a="1"/>
  <c r="E21" i="95" s="1"/>
  <c r="G21" i="95" s="1" a="1"/>
  <c r="G21" i="95" s="1"/>
  <c r="E60" i="95" s="1" a="1"/>
  <c r="E60" i="95" s="1"/>
  <c r="E25" i="95" a="1"/>
  <c r="E25" i="95" s="1"/>
  <c r="G25" i="95" s="1" a="1"/>
  <c r="G25" i="95" s="1"/>
  <c r="E64" i="95" s="1" a="1"/>
  <c r="E64" i="95" s="1"/>
  <c r="E32" i="94" a="1"/>
  <c r="E32" i="94" s="1"/>
  <c r="G32" i="94" s="1" a="1"/>
  <c r="G32" i="94" s="1"/>
  <c r="E37" i="94" a="1"/>
  <c r="E37" i="94" s="1"/>
  <c r="G37" i="94" s="1" a="1"/>
  <c r="G37" i="94" s="1"/>
  <c r="E34" i="94" a="1"/>
  <c r="E34" i="94" s="1"/>
  <c r="G34" i="94" s="1" a="1"/>
  <c r="G34" i="94" s="1"/>
  <c r="E25" i="94" a="1"/>
  <c r="E25" i="94" s="1"/>
  <c r="G25" i="94" s="1" a="1"/>
  <c r="G25" i="94" s="1"/>
  <c r="E27" i="94" a="1"/>
  <c r="E27" i="94" s="1"/>
  <c r="G27" i="94" s="1" a="1"/>
  <c r="G27" i="94" s="1"/>
  <c r="E36" i="95" a="1"/>
  <c r="E36" i="95" s="1"/>
  <c r="G36" i="95" s="1" a="1"/>
  <c r="G36" i="95" s="1"/>
  <c r="E75" i="95" s="1" a="1"/>
  <c r="E75" i="95" s="1"/>
  <c r="E31" i="95" a="1"/>
  <c r="E31" i="95" s="1"/>
  <c r="G31" i="95" s="1" a="1"/>
  <c r="G31" i="95" s="1"/>
  <c r="E70" i="95" s="1" a="1"/>
  <c r="E70" i="95" s="1"/>
  <c r="E29" i="95" a="1"/>
  <c r="E29" i="95" s="1"/>
  <c r="G29" i="95" s="1" a="1"/>
  <c r="G29" i="95" s="1"/>
  <c r="E68" i="95" s="1" a="1"/>
  <c r="E68" i="95" s="1"/>
  <c r="E20" i="95" a="1"/>
  <c r="E20" i="95" s="1"/>
  <c r="G20" i="95" s="1" a="1"/>
  <c r="G20" i="95" s="1"/>
  <c r="E59" i="95" s="1" a="1"/>
  <c r="E59" i="95" s="1"/>
  <c r="E24" i="95" a="1"/>
  <c r="E24" i="95" s="1"/>
  <c r="G24" i="95" s="1" a="1"/>
  <c r="G24" i="95" s="1"/>
  <c r="E63" i="95" s="1" a="1"/>
  <c r="E63" i="95" s="1"/>
  <c r="E19" i="94" a="1"/>
  <c r="E19" i="94" s="1"/>
  <c r="G19" i="94" s="1" a="1"/>
  <c r="G19" i="94" s="1"/>
  <c r="E36" i="94" a="1"/>
  <c r="E36" i="94" s="1"/>
  <c r="G36" i="94" s="1" a="1"/>
  <c r="G36" i="94" s="1"/>
  <c r="E21" i="94" a="1"/>
  <c r="E21" i="94" s="1"/>
  <c r="G21" i="94" s="1" a="1"/>
  <c r="G21" i="94" s="1"/>
  <c r="E236" i="124" a="1"/>
  <c r="E29" i="94" a="1"/>
  <c r="E29" i="94" s="1"/>
  <c r="G29" i="94" s="1" a="1"/>
  <c r="G29" i="94" s="1"/>
  <c r="E30" i="94" a="1"/>
  <c r="E30" i="94" s="1"/>
  <c r="G30" i="94" s="1" a="1"/>
  <c r="G30" i="94" s="1"/>
  <c r="E22" i="95" a="1"/>
  <c r="E22" i="95" s="1"/>
  <c r="G22" i="95" s="1" a="1"/>
  <c r="G22" i="95" s="1"/>
  <c r="E61" i="95" s="1" a="1"/>
  <c r="E61" i="95" s="1"/>
  <c r="E22" i="94" a="1"/>
  <c r="E22" i="94" s="1"/>
  <c r="G22" i="94" s="1" a="1"/>
  <c r="G22" i="94" s="1"/>
  <c r="E33" i="94" a="1"/>
  <c r="E33" i="94" s="1"/>
  <c r="G33" i="94" s="1" a="1"/>
  <c r="G33" i="94" s="1"/>
  <c r="E31" i="94" a="1"/>
  <c r="E31" i="94" s="1"/>
  <c r="G31" i="94" s="1" a="1"/>
  <c r="G31" i="94" s="1"/>
  <c r="E25" i="97"/>
  <c r="H25" i="97" s="1" a="1"/>
  <c r="H25" i="97" s="1"/>
  <c r="H26" i="97" a="1"/>
  <c r="H26" i="97" s="1"/>
  <c r="H27" i="97" a="1"/>
  <c r="H27" i="97" s="1"/>
  <c r="F320" i="124"/>
  <c r="J326" i="124" a="1"/>
  <c r="J326" i="124" s="1"/>
  <c r="J321" i="124" a="1"/>
  <c r="J321" i="124" s="1"/>
  <c r="I323" i="124" a="1"/>
  <c r="I323" i="124" s="1"/>
  <c r="J328" i="124" a="1"/>
  <c r="J328" i="124" s="1"/>
  <c r="J329" i="124" a="1"/>
  <c r="J329" i="124" s="1"/>
  <c r="I326" i="124" a="1"/>
  <c r="I326" i="124" s="1"/>
  <c r="J322" i="124" a="1"/>
  <c r="J322" i="124" s="1"/>
  <c r="I329" i="124" a="1"/>
  <c r="I329" i="124" s="1"/>
  <c r="J325" i="124" a="1"/>
  <c r="J325" i="124" s="1"/>
  <c r="I322" i="124" a="1"/>
  <c r="I322" i="124" s="1"/>
  <c r="I328" i="124" a="1"/>
  <c r="I328" i="124" s="1"/>
  <c r="J324" i="124" a="1"/>
  <c r="J324" i="124" s="1"/>
  <c r="I321" i="124" a="1"/>
  <c r="I321" i="124" s="1"/>
  <c r="J327" i="124" a="1"/>
  <c r="J327" i="124" s="1"/>
  <c r="I327" i="124" a="1"/>
  <c r="I327" i="124" s="1"/>
  <c r="I325" i="124" a="1"/>
  <c r="I325" i="124" s="1"/>
  <c r="J323" i="124" a="1"/>
  <c r="J323" i="124" s="1"/>
  <c r="I324" i="124" a="1"/>
  <c r="I324" i="124" s="1"/>
  <c r="R51" i="88" a="1"/>
  <c r="R51" i="88" s="1"/>
  <c r="U51" i="88" a="1"/>
  <c r="U51" i="88" s="1"/>
  <c r="H51" i="88" a="1"/>
  <c r="H51" i="88" s="1"/>
  <c r="I51" i="88" a="1"/>
  <c r="I51" i="88" s="1"/>
  <c r="Q51" i="88" a="1"/>
  <c r="Q51" i="88" s="1"/>
  <c r="J51" i="88" a="1"/>
  <c r="J51" i="88" s="1"/>
  <c r="S51" i="88" a="1"/>
  <c r="S51" i="88" s="1"/>
  <c r="F51" i="88" a="1"/>
  <c r="F51" i="88" s="1"/>
  <c r="T51" i="88" a="1"/>
  <c r="T51" i="88" s="1"/>
  <c r="G51" i="88" a="1"/>
  <c r="G51" i="88" s="1"/>
  <c r="O40" i="115" a="1"/>
  <c r="O40" i="115" s="1"/>
  <c r="E40" i="115" a="1"/>
  <c r="E40" i="115" s="1"/>
  <c r="R302" i="83"/>
  <c r="P305" i="83" s="1" a="1"/>
  <c r="P305" i="83" s="1"/>
  <c r="G302" i="83"/>
  <c r="E305" i="83" s="1" a="1"/>
  <c r="E305" i="83" s="1"/>
  <c r="P53" i="88" l="1"/>
  <c r="E24" i="98"/>
  <c r="H24" i="98" s="1" a="1"/>
  <c r="H24" i="98" s="1"/>
  <c r="E64" i="98" s="1"/>
  <c r="F64" i="98" s="1" a="1"/>
  <c r="F64" i="98" s="1"/>
  <c r="E28" i="99"/>
  <c r="F28" i="99" s="1" a="1"/>
  <c r="F28" i="99" s="1"/>
  <c r="E65" i="94" a="1"/>
  <c r="E65" i="94" s="1"/>
  <c r="E27" i="99"/>
  <c r="F27" i="99" s="1" a="1"/>
  <c r="F27" i="99" s="1"/>
  <c r="E23" i="98"/>
  <c r="H23" i="98" s="1" a="1"/>
  <c r="H23" i="98" s="1"/>
  <c r="E63" i="98" s="1"/>
  <c r="F63" i="98" s="1" a="1"/>
  <c r="F63" i="98" s="1"/>
  <c r="E64" i="94" a="1"/>
  <c r="E64" i="94" s="1"/>
  <c r="G42" i="115"/>
  <c r="E45" i="115" s="1" a="1"/>
  <c r="E45" i="115" s="1"/>
  <c r="E24" i="13" a="1"/>
  <c r="E24" i="13" s="1"/>
  <c r="H24" i="13" s="1" a="1"/>
  <c r="H24" i="13" s="1"/>
  <c r="E32" i="99"/>
  <c r="F32" i="99" s="1" a="1"/>
  <c r="F32" i="99" s="1"/>
  <c r="E28" i="98"/>
  <c r="H28" i="98" s="1" a="1"/>
  <c r="H28" i="98" s="1"/>
  <c r="E68" i="98" s="1"/>
  <c r="F68" i="98" s="1" a="1"/>
  <c r="F68" i="98" s="1"/>
  <c r="E69" i="94" a="1"/>
  <c r="E69" i="94" s="1"/>
  <c r="E38" i="99"/>
  <c r="F38" i="99" s="1" a="1"/>
  <c r="F38" i="99" s="1"/>
  <c r="E34" i="98"/>
  <c r="H34" i="98" s="1" a="1"/>
  <c r="H34" i="98" s="1"/>
  <c r="E74" i="98" s="1"/>
  <c r="F74" i="98" s="1" a="1"/>
  <c r="F74" i="98" s="1"/>
  <c r="E75" i="94" a="1"/>
  <c r="E75" i="94" s="1"/>
  <c r="E40" i="99"/>
  <c r="F40" i="99" s="1" a="1"/>
  <c r="F40" i="99" s="1"/>
  <c r="E36" i="98"/>
  <c r="H36" i="98" s="1" a="1"/>
  <c r="H36" i="98" s="1"/>
  <c r="E76" i="98" s="1"/>
  <c r="F76" i="98" s="1" a="1"/>
  <c r="F76" i="98" s="1"/>
  <c r="E77" i="94" a="1"/>
  <c r="E77" i="94" s="1"/>
  <c r="Q42" i="115"/>
  <c r="O45" i="115" s="1" a="1"/>
  <c r="O45" i="115" s="1"/>
  <c r="F24" i="13" a="1"/>
  <c r="F24" i="13" s="1"/>
  <c r="I24" i="13" s="1" a="1"/>
  <c r="I24" i="13" s="1"/>
  <c r="J320" i="124" a="1"/>
  <c r="J320" i="124" s="1"/>
  <c r="E332" i="124" s="1"/>
  <c r="F60" i="13" s="1" a="1"/>
  <c r="F60" i="13" s="1"/>
  <c r="I60" i="13" s="1"/>
  <c r="I320" i="124" a="1"/>
  <c r="I320" i="124" s="1"/>
  <c r="E331" i="124" s="1"/>
  <c r="E60" i="13" s="1" a="1"/>
  <c r="E60" i="13" s="1"/>
  <c r="H60" i="13" s="1"/>
  <c r="E53" i="88"/>
  <c r="E31" i="97"/>
  <c r="E21" i="13" s="1" a="1"/>
  <c r="E21" i="13" s="1"/>
  <c r="E35" i="99"/>
  <c r="F35" i="99" s="1" a="1"/>
  <c r="F35" i="99" s="1"/>
  <c r="E31" i="98"/>
  <c r="H31" i="98" s="1" a="1"/>
  <c r="H31" i="98" s="1"/>
  <c r="E71" i="98" s="1"/>
  <c r="F71" i="98" s="1" a="1"/>
  <c r="F71" i="98" s="1"/>
  <c r="E72" i="94" a="1"/>
  <c r="E72" i="94" s="1"/>
  <c r="E24" i="99"/>
  <c r="F24" i="99" s="1" a="1"/>
  <c r="F24" i="99" s="1"/>
  <c r="E20" i="98"/>
  <c r="H20" i="98" s="1" a="1"/>
  <c r="H20" i="98" s="1"/>
  <c r="E60" i="98" s="1"/>
  <c r="F60" i="98" s="1" a="1"/>
  <c r="F60" i="98" s="1"/>
  <c r="E61" i="94" a="1"/>
  <c r="E61" i="94" s="1"/>
  <c r="E103" i="98"/>
  <c r="F103" i="98" s="1" a="1"/>
  <c r="F103" i="98" s="1"/>
  <c r="E135" i="98" s="1"/>
  <c r="F135" i="98" s="1" a="1"/>
  <c r="F135" i="98" s="1"/>
  <c r="E66" i="99"/>
  <c r="F66" i="99" s="1" a="1"/>
  <c r="F66" i="99" s="1"/>
  <c r="E35" i="98"/>
  <c r="H35" i="98" s="1" a="1"/>
  <c r="H35" i="98" s="1"/>
  <c r="E75" i="98" s="1"/>
  <c r="F75" i="98" s="1" a="1"/>
  <c r="F75" i="98" s="1"/>
  <c r="E39" i="99"/>
  <c r="F39" i="99" s="1" a="1"/>
  <c r="F39" i="99" s="1"/>
  <c r="E76" i="94" a="1"/>
  <c r="E76" i="94" s="1"/>
  <c r="E104" i="98"/>
  <c r="F104" i="98" s="1" a="1"/>
  <c r="F104" i="98" s="1"/>
  <c r="E136" i="98" s="1"/>
  <c r="F136" i="98" s="1" a="1"/>
  <c r="F136" i="98" s="1"/>
  <c r="E67" i="99"/>
  <c r="F67" i="99" s="1" a="1"/>
  <c r="F67" i="99" s="1"/>
  <c r="E33" i="98"/>
  <c r="H33" i="98" s="1" a="1"/>
  <c r="H33" i="98" s="1"/>
  <c r="E73" i="98" s="1"/>
  <c r="F73" i="98" s="1" a="1"/>
  <c r="F73" i="98" s="1"/>
  <c r="E37" i="99"/>
  <c r="F37" i="99" s="1" a="1"/>
  <c r="F37" i="99" s="1"/>
  <c r="E74" i="94" a="1"/>
  <c r="E74" i="94" s="1"/>
  <c r="E27" i="98"/>
  <c r="H27" i="98" s="1" a="1"/>
  <c r="H27" i="98" s="1"/>
  <c r="E67" i="98" s="1"/>
  <c r="F67" i="98" s="1" a="1"/>
  <c r="F67" i="98" s="1"/>
  <c r="E31" i="99"/>
  <c r="F31" i="99" s="1" a="1"/>
  <c r="F31" i="99" s="1"/>
  <c r="E68" i="94" a="1"/>
  <c r="E68" i="94" s="1"/>
  <c r="E26" i="99"/>
  <c r="F26" i="99" s="1" a="1"/>
  <c r="F26" i="99" s="1"/>
  <c r="E22" i="98"/>
  <c r="H22" i="98" s="1" a="1"/>
  <c r="H22" i="98" s="1"/>
  <c r="E62" i="98" s="1"/>
  <c r="F62" i="98" s="1" a="1"/>
  <c r="F62" i="98" s="1"/>
  <c r="E63" i="94" a="1"/>
  <c r="E63" i="94" s="1"/>
  <c r="E25" i="98"/>
  <c r="H25" i="98" s="1" a="1"/>
  <c r="H25" i="98" s="1"/>
  <c r="E65" i="98" s="1"/>
  <c r="F65" i="98" s="1" a="1"/>
  <c r="F65" i="98" s="1"/>
  <c r="E29" i="99"/>
  <c r="F29" i="99" s="1" a="1"/>
  <c r="F29" i="99" s="1"/>
  <c r="E66" i="94" a="1"/>
  <c r="E66" i="94" s="1"/>
  <c r="H252" i="124" a="1"/>
  <c r="H252" i="124" s="1"/>
  <c r="J252" i="124" a="1"/>
  <c r="J252" i="124" s="1"/>
  <c r="K252" i="124" a="1"/>
  <c r="K252" i="124" s="1"/>
  <c r="G252" i="124" a="1"/>
  <c r="G252" i="124" s="1"/>
  <c r="E32" i="96"/>
  <c r="K44" i="96" s="1"/>
  <c r="E50" i="96" s="1" a="1"/>
  <c r="E50" i="96" s="1"/>
  <c r="E65" i="99"/>
  <c r="F65" i="99" s="1" a="1"/>
  <c r="F65" i="99" s="1"/>
  <c r="E77" i="99" s="1"/>
  <c r="J90" i="99" s="1"/>
  <c r="E102" i="98"/>
  <c r="F102" i="98" s="1" a="1"/>
  <c r="F102" i="98" s="1"/>
  <c r="E134" i="98" s="1"/>
  <c r="F134" i="98" s="1" a="1"/>
  <c r="F134" i="98" s="1"/>
  <c r="J35" i="102"/>
  <c r="I566" i="124"/>
  <c r="E29" i="98"/>
  <c r="H29" i="98" s="1" a="1"/>
  <c r="H29" i="98" s="1"/>
  <c r="E69" i="98" s="1"/>
  <c r="F69" i="98" s="1" a="1"/>
  <c r="F69" i="98" s="1"/>
  <c r="E33" i="99"/>
  <c r="F33" i="99" s="1" a="1"/>
  <c r="F33" i="99" s="1"/>
  <c r="E70" i="94" a="1"/>
  <c r="E70" i="94" s="1"/>
  <c r="E36" i="99"/>
  <c r="F36" i="99" s="1" a="1"/>
  <c r="F36" i="99" s="1"/>
  <c r="E32" i="98"/>
  <c r="H32" i="98" s="1" a="1"/>
  <c r="H32" i="98" s="1"/>
  <c r="E72" i="98" s="1"/>
  <c r="F72" i="98" s="1" a="1"/>
  <c r="F72" i="98" s="1"/>
  <c r="E73" i="94" a="1"/>
  <c r="E73" i="94" s="1"/>
  <c r="E30" i="98"/>
  <c r="H30" i="98" s="1" a="1"/>
  <c r="H30" i="98" s="1"/>
  <c r="E70" i="98" s="1"/>
  <c r="F70" i="98" s="1" a="1"/>
  <c r="F70" i="98" s="1"/>
  <c r="E34" i="99"/>
  <c r="F34" i="99" s="1" a="1"/>
  <c r="F34" i="99" s="1"/>
  <c r="E71" i="94" a="1"/>
  <c r="E71" i="94" s="1"/>
  <c r="E25" i="99"/>
  <c r="F25" i="99" s="1" a="1"/>
  <c r="F25" i="99" s="1"/>
  <c r="E21" i="98"/>
  <c r="H21" i="98" s="1" a="1"/>
  <c r="H21" i="98" s="1"/>
  <c r="E61" i="98" s="1"/>
  <c r="F61" i="98" s="1" a="1"/>
  <c r="F61" i="98" s="1"/>
  <c r="E62" i="94" a="1"/>
  <c r="E62" i="94" s="1"/>
  <c r="N34" i="94"/>
  <c r="Q11" i="94"/>
  <c r="N33" i="94" s="1"/>
  <c r="E41" i="99"/>
  <c r="F41" i="99" s="1" a="1"/>
  <c r="F41" i="99" s="1"/>
  <c r="E37" i="98"/>
  <c r="H37" i="98" s="1" a="1"/>
  <c r="H37" i="98" s="1"/>
  <c r="E77" i="98" s="1"/>
  <c r="F77" i="98" s="1" a="1"/>
  <c r="F77" i="98" s="1"/>
  <c r="E78" i="94" a="1"/>
  <c r="E78" i="94" s="1"/>
  <c r="H241" i="124" a="1"/>
  <c r="H241" i="124" s="1"/>
  <c r="H238" i="124" a="1"/>
  <c r="H238" i="124" s="1"/>
  <c r="H243" i="124" a="1"/>
  <c r="H243" i="124" s="1"/>
  <c r="H244" i="124" a="1"/>
  <c r="H244" i="124" s="1"/>
  <c r="H242" i="124" a="1"/>
  <c r="H242" i="124" s="1"/>
  <c r="K238" i="124" a="1"/>
  <c r="K238" i="124" s="1"/>
  <c r="K241" i="124" a="1"/>
  <c r="K241" i="124" s="1"/>
  <c r="K242" i="124" a="1"/>
  <c r="K242" i="124" s="1"/>
  <c r="K240" i="124" a="1"/>
  <c r="K240" i="124" s="1"/>
  <c r="H239" i="124" a="1"/>
  <c r="H239" i="124" s="1"/>
  <c r="K239" i="124" a="1"/>
  <c r="K239" i="124" s="1"/>
  <c r="H237" i="124" a="1"/>
  <c r="H237" i="124" s="1"/>
  <c r="H245" i="124" a="1"/>
  <c r="H245" i="124" s="1"/>
  <c r="K245" i="124" a="1"/>
  <c r="K245" i="124" s="1"/>
  <c r="K244" i="124" a="1"/>
  <c r="K244" i="124" s="1"/>
  <c r="K237" i="124" a="1"/>
  <c r="K237" i="124" s="1"/>
  <c r="J245" i="124" a="1"/>
  <c r="J245" i="124" s="1"/>
  <c r="J240" i="124" a="1"/>
  <c r="J240" i="124" s="1"/>
  <c r="J238" i="124" a="1"/>
  <c r="J238" i="124" s="1"/>
  <c r="J241" i="124" a="1"/>
  <c r="J241" i="124" s="1"/>
  <c r="K243" i="124" a="1"/>
  <c r="K243" i="124" s="1"/>
  <c r="J244" i="124" a="1"/>
  <c r="J244" i="124" s="1"/>
  <c r="G244" i="124" a="1"/>
  <c r="G244" i="124" s="1"/>
  <c r="J243" i="124" a="1"/>
  <c r="J243" i="124" s="1"/>
  <c r="J237" i="124" a="1"/>
  <c r="J237" i="124" s="1"/>
  <c r="E236" i="124"/>
  <c r="J242" i="124" a="1"/>
  <c r="J242" i="124" s="1"/>
  <c r="H240" i="124" a="1"/>
  <c r="H240" i="124" s="1"/>
  <c r="J239" i="124" a="1"/>
  <c r="J239" i="124" s="1"/>
  <c r="G242" i="124" a="1"/>
  <c r="G242" i="124" s="1"/>
  <c r="G238" i="124" a="1"/>
  <c r="G238" i="124" s="1"/>
  <c r="G239" i="124" a="1"/>
  <c r="G239" i="124" s="1"/>
  <c r="G243" i="124" a="1"/>
  <c r="G243" i="124" s="1"/>
  <c r="G245" i="124" a="1"/>
  <c r="G245" i="124" s="1"/>
  <c r="G237" i="124" a="1"/>
  <c r="G237" i="124" s="1"/>
  <c r="G240" i="124" a="1"/>
  <c r="G240" i="124" s="1"/>
  <c r="G241" i="124" a="1"/>
  <c r="G241" i="124" s="1"/>
  <c r="E41" i="101"/>
  <c r="R55" i="88"/>
  <c r="P58" i="88" s="1" a="1"/>
  <c r="P58" i="88" s="1"/>
  <c r="F15" i="13" a="1"/>
  <c r="F15" i="13" s="1"/>
  <c r="I15" i="13" s="1" a="1"/>
  <c r="I15" i="13" s="1"/>
  <c r="E23" i="99"/>
  <c r="F23" i="99" s="1" a="1"/>
  <c r="F23" i="99" s="1"/>
  <c r="E19" i="98"/>
  <c r="H19" i="98" s="1" a="1"/>
  <c r="H19" i="98" s="1"/>
  <c r="E59" i="98" s="1"/>
  <c r="F59" i="98" s="1" a="1"/>
  <c r="F59" i="98" s="1"/>
  <c r="E60" i="94" a="1"/>
  <c r="E60" i="94" s="1"/>
  <c r="E26" i="98"/>
  <c r="H26" i="98" s="1" a="1"/>
  <c r="H26" i="98" s="1"/>
  <c r="E66" i="98" s="1"/>
  <c r="F66" i="98" s="1" a="1"/>
  <c r="F66" i="98" s="1"/>
  <c r="E30" i="99"/>
  <c r="F30" i="99" s="1" a="1"/>
  <c r="F30" i="99" s="1"/>
  <c r="E67" i="94" a="1"/>
  <c r="E67" i="94" s="1"/>
  <c r="E78" i="95"/>
  <c r="E19" i="13" s="1" a="1"/>
  <c r="E19" i="13" s="1"/>
  <c r="E11" i="13" a="1"/>
  <c r="E11" i="13" s="1"/>
  <c r="H11" i="13" s="1" a="1"/>
  <c r="H11" i="13" s="1"/>
  <c r="F11" i="13" a="1"/>
  <c r="F11" i="13" s="1"/>
  <c r="I11" i="13" s="1" a="1"/>
  <c r="I11" i="13" s="1"/>
  <c r="E146" i="98" l="1"/>
  <c r="E79" i="98"/>
  <c r="G81" i="98" s="1"/>
  <c r="E84" i="98" s="1" a="1"/>
  <c r="E84" i="98" s="1"/>
  <c r="G52" i="96"/>
  <c r="E55" i="96" s="1" a="1"/>
  <c r="E55" i="96" s="1"/>
  <c r="E20" i="13" a="1"/>
  <c r="E20" i="13" s="1"/>
  <c r="F21" i="13"/>
  <c r="I21" i="13" s="1"/>
  <c r="H21" i="13"/>
  <c r="F19" i="13"/>
  <c r="I19" i="13" s="1"/>
  <c r="H19" i="13"/>
  <c r="G55" i="88"/>
  <c r="E58" i="88" s="1" a="1"/>
  <c r="E58" i="88" s="1"/>
  <c r="E15" i="13" a="1"/>
  <c r="E15" i="13" s="1"/>
  <c r="H15" i="13" s="1" a="1"/>
  <c r="H15" i="13" s="1"/>
  <c r="J236" i="124" a="1"/>
  <c r="J236" i="124" s="1"/>
  <c r="E264" i="124" s="1"/>
  <c r="K236" i="124" a="1"/>
  <c r="K236" i="124" s="1"/>
  <c r="E267" i="124" s="1"/>
  <c r="F58" i="13" s="1" a="1"/>
  <c r="F58" i="13" s="1"/>
  <c r="I58" i="13" s="1"/>
  <c r="I71" i="13" s="1"/>
  <c r="H236" i="124" a="1"/>
  <c r="H236" i="124" s="1"/>
  <c r="E266" i="124" s="1"/>
  <c r="E58" i="13" s="1" a="1"/>
  <c r="E58" i="13" s="1"/>
  <c r="H58" i="13" s="1"/>
  <c r="H71" i="13" s="1"/>
  <c r="G236" i="124" a="1"/>
  <c r="G236" i="124" s="1"/>
  <c r="E263" i="124" s="1"/>
  <c r="S92" i="94"/>
  <c r="N110" i="94" s="1" a="1"/>
  <c r="N110" i="94" s="1"/>
  <c r="N35" i="94"/>
  <c r="E80" i="94"/>
  <c r="E43" i="99"/>
  <c r="J89" i="99" s="1"/>
  <c r="E94" i="99" s="1" a="1"/>
  <c r="E94" i="99" s="1"/>
  <c r="J34" i="102"/>
  <c r="E39" i="102" s="1" a="1"/>
  <c r="E39" i="102" s="1"/>
  <c r="I565" i="124"/>
  <c r="E570" i="124" s="1" a="1"/>
  <c r="E570" i="124" s="1"/>
  <c r="G82" i="94" l="1"/>
  <c r="E85" i="94" s="1" a="1"/>
  <c r="E85" i="94" s="1"/>
  <c r="E18" i="13" a="1"/>
  <c r="E18" i="13" s="1"/>
  <c r="H18" i="13" s="1" a="1"/>
  <c r="H18" i="13" s="1"/>
  <c r="G96" i="99"/>
  <c r="E99" i="99" s="1" a="1"/>
  <c r="E99" i="99" s="1"/>
  <c r="E23" i="13" a="1"/>
  <c r="E23" i="13" s="1"/>
  <c r="R46" i="94"/>
  <c r="N49" i="94" s="1" a="1"/>
  <c r="N49" i="94" s="1"/>
  <c r="O105" i="94" s="1"/>
  <c r="R60" i="94"/>
  <c r="N63" i="94" s="1" a="1"/>
  <c r="N63" i="94" s="1"/>
  <c r="O106" i="94" s="1"/>
  <c r="R76" i="94"/>
  <c r="N79" i="94" s="1" a="1"/>
  <c r="N79" i="94" s="1"/>
  <c r="O107" i="94" s="1"/>
  <c r="H20" i="13" a="1"/>
  <c r="H20" i="13" s="1"/>
  <c r="F20" i="13"/>
  <c r="I20" i="13" s="1" a="1"/>
  <c r="I20" i="13" s="1"/>
  <c r="P112" i="94"/>
  <c r="N115" i="94" s="1" a="1"/>
  <c r="N115" i="94" s="1"/>
  <c r="F18" i="13" a="1"/>
  <c r="F18" i="13" s="1"/>
  <c r="I18" i="13" s="1" a="1"/>
  <c r="I18" i="13" s="1"/>
  <c r="G148" i="98"/>
  <c r="E151" i="98" s="1" a="1"/>
  <c r="E151" i="98" s="1"/>
  <c r="E22" i="13" a="1"/>
  <c r="E22" i="13" s="1"/>
  <c r="H22" i="13" l="1" a="1"/>
  <c r="H22" i="13" s="1"/>
  <c r="F22" i="13"/>
  <c r="I22" i="13" s="1" a="1"/>
  <c r="I22" i="13" s="1"/>
  <c r="I43" i="13" s="1"/>
  <c r="F82" i="13" s="1"/>
  <c r="H23" i="13" a="1"/>
  <c r="H23" i="13" s="1"/>
  <c r="H43" i="13" s="1"/>
  <c r="E82" i="13" s="1"/>
  <c r="F23" i="13"/>
  <c r="I23" i="13" s="1" a="1"/>
  <c r="I23" i="13" s="1"/>
  <c r="E36" i="80" l="1"/>
  <c r="E83" i="13"/>
  <c r="E37" i="80" s="1"/>
  <c r="E53" i="72"/>
  <c r="E77" i="72" s="1"/>
  <c r="F36" i="80"/>
  <c r="F53" i="72"/>
  <c r="F77" i="72" s="1"/>
  <c r="F83" i="13"/>
  <c r="F37" i="80" s="1"/>
  <c r="F57" i="72" l="1"/>
  <c r="F81" i="72"/>
  <c r="I57" i="80"/>
  <c r="I45" i="80"/>
  <c r="I49" i="80"/>
  <c r="I59" i="80"/>
  <c r="I55" i="80"/>
  <c r="I47" i="80"/>
  <c r="I56" i="80"/>
  <c r="I44" i="80"/>
  <c r="I54" i="80"/>
  <c r="I48" i="80"/>
  <c r="I58" i="80"/>
  <c r="I46" i="80"/>
  <c r="E81" i="72"/>
  <c r="E57" i="72"/>
  <c r="H49" i="80"/>
  <c r="H57" i="80"/>
  <c r="H59" i="80"/>
  <c r="H55" i="80"/>
  <c r="H45" i="80"/>
  <c r="H47" i="80"/>
  <c r="H56" i="80"/>
  <c r="H48" i="80"/>
  <c r="H54" i="80"/>
  <c r="H44" i="80"/>
  <c r="H46" i="80"/>
  <c r="H58" i="8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<sst xmlns="http://schemas.openxmlformats.org/spreadsheetml/2006/main" count="4784" uniqueCount="1468">
  <si>
    <t>INPUTS</t>
  </si>
  <si>
    <t>APPENDICES</t>
  </si>
  <si>
    <t>CALCULATIONS</t>
  </si>
  <si>
    <t>Scope 1 source</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</si>
  <si>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</si>
  <si>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</si>
  <si>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</si>
  <si>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</si>
  <si>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</si>
  <si>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</si>
  <si>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</si>
  <si>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</si>
  <si>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</si>
  <si>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</si>
  <si>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</si>
  <si>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</si>
  <si>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</si>
  <si>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</si>
  <si>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Liveweight sold</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</si>
  <si>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</si>
  <si>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</si>
  <si>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</si>
  <si>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</si>
  <si>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</si>
  <si>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</si>
  <si>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</si>
  <si>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</si>
  <si>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</si>
  <si>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</si>
  <si>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</si>
  <si>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</si>
  <si>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</si>
  <si>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</si>
  <si>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</si>
  <si>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</si>
  <si>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</si>
  <si>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</si>
  <si>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</si>
  <si>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</si>
  <si>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</si>
  <si>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</si>
  <si>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</si>
  <si>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</si>
  <si>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</si>
  <si>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</si>
  <si>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</si>
  <si>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</si>
  <si>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</si>
  <si>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</si>
  <si>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</si>
  <si>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</si>
  <si>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</si>
  <si>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</si>
  <si>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</si>
  <si>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</si>
  <si>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</si>
  <si>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</si>
  <si>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</si>
  <si>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</si>
  <si>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</si>
  <si>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</si>
  <si>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</si>
  <si>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</si>
  <si>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</si>
  <si>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</si>
  <si>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</si>
  <si>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</si>
  <si>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</si>
  <si>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</si>
  <si>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</si>
  <si>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</si>
  <si>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</si>
  <si>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</si>
  <si>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</si>
  <si>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</si>
  <si>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</si>
  <si>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</si>
  <si>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</si>
  <si>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</si>
  <si>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</si>
  <si>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</si>
  <si>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</si>
  <si>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</si>
  <si>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</si>
  <si>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</si>
  <si>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</si>
  <si>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</si>
  <si>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</si>
  <si>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</si>
  <si>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</si>
  <si>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</si>
  <si>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</si>
  <si>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</si>
  <si>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</si>
  <si>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</si>
  <si>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</si>
  <si>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</si>
  <si>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</si>
  <si>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</si>
  <si>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</si>
  <si>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</si>
  <si>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</si>
  <si>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</si>
  <si>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</si>
  <si>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</si>
  <si>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</si>
  <si>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</si>
  <si>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</si>
  <si>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</si>
  <si>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</si>
  <si>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</si>
  <si>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</si>
  <si>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</si>
  <si>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</si>
  <si>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</si>
  <si>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</si>
  <si>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</si>
  <si>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</si>
  <si>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</si>
  <si>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t co2e/t liveweight sold</t>
  </si>
  <si>
    <t>Emissions intensity (Method 1)</t>
  </si>
  <si>
    <t>Emissions intensity (Method 2)</t>
  </si>
  <si>
    <t>Product type</t>
  </si>
  <si>
    <t>Main product</t>
  </si>
  <si>
    <t>Co-product</t>
  </si>
  <si>
    <t>CO2 removed attributed to this enterprise</t>
  </si>
  <si>
    <t>t CO2</t>
  </si>
  <si>
    <t>Total emissions for production cycle</t>
  </si>
  <si>
    <t>Total carbon removals for production cycle</t>
  </si>
  <si>
    <t>Method 1</t>
  </si>
  <si>
    <t>Method 2</t>
  </si>
  <si>
    <t>Product</t>
  </si>
  <si>
    <t>5.1.1.1-2 Inorganic fert N2O</t>
  </si>
  <si>
    <t>5.1.1.3-4 Inorganic fert CO2</t>
  </si>
  <si>
    <t>5.2.1.1-2 Organic fert N2O</t>
  </si>
  <si>
    <t>5.3.1.1-2 Lime CO2</t>
  </si>
  <si>
    <t>5.4.1.1-4 Atmos. deposition</t>
  </si>
  <si>
    <t>5.5.1.1-2 Leaching &amp; runoff</t>
  </si>
  <si>
    <t>6.2.1.1-2 Pasture residue N2O</t>
  </si>
  <si>
    <t>6.3.1.1-2 Leach &amp; runoff (pasture)</t>
  </si>
  <si>
    <t>8.1.1.1-2 Transport fuel CO2</t>
  </si>
  <si>
    <t>8.1.1.1-2 Transport fuel N2O</t>
  </si>
  <si>
    <t>8.1.1.1-2 Transport fuel CH4</t>
  </si>
  <si>
    <t>8.2.1.1-2 Stationary fuel CO2</t>
  </si>
  <si>
    <t>8.2.1.1-2 Stationary fuel CH4</t>
  </si>
  <si>
    <t>8.2.1.1-2 Stationary fuel N2O</t>
  </si>
  <si>
    <t>Input - Enterprise</t>
  </si>
  <si>
    <t>percent</t>
  </si>
  <si>
    <t>Percentage of income from liveweight sold</t>
  </si>
  <si>
    <t>Percentage of income from manure sold</t>
  </si>
  <si>
    <t>Product emissions - Mass</t>
  </si>
  <si>
    <t>Product emissions - Economic</t>
  </si>
  <si>
    <t>Mass emissions assignment</t>
  </si>
  <si>
    <t>Economic emissions assignment</t>
  </si>
  <si>
    <t>Liveweight sold - excluding removals</t>
  </si>
  <si>
    <t>Liveweight sold - net emissions</t>
  </si>
  <si>
    <t>Manure sold - excluding removals</t>
  </si>
  <si>
    <t>Manure sold - net emissions</t>
  </si>
  <si>
    <t>Input - Fertiliser Production System</t>
  </si>
  <si>
    <t>Production system</t>
  </si>
  <si>
    <t>Crop type</t>
  </si>
  <si>
    <t>Area under cropping</t>
  </si>
  <si>
    <t>Pasture</t>
  </si>
  <si>
    <t>These inputs are used for fertiliser calculations, and they take their values from the "Input - Pasture" sheet. Do not edit these cells.</t>
  </si>
  <si>
    <t>3.3.1.1-2 Enteric methane</t>
  </si>
  <si>
    <t>4.3.1.1-2 Manure methane</t>
  </si>
  <si>
    <t>4.3.1.3-4 Manure direct N2O</t>
  </si>
  <si>
    <t>4.3.1.5 Manure atmospheric deposition</t>
  </si>
  <si>
    <t>4.3.1.6-7 Manure leaching and runoff</t>
  </si>
  <si>
    <t>4.3.1.9 Soil direct N2O</t>
  </si>
  <si>
    <t>4.3.1.10-11 Soil atmospheric deposition</t>
  </si>
  <si>
    <t>4.3.1.12-13 Soil leaching and runoff</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</si>
  <si>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</si>
  <si>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</si>
  <si>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</si>
  <si>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</si>
  <si>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</si>
  <si>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</si>
  <si>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</si>
  <si>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</si>
  <si>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Milk produced</t>
  </si>
  <si>
    <t>Milk produced unit</t>
  </si>
  <si>
    <t>Percentage of income from milk sold</t>
  </si>
  <si>
    <t>Manure sold</t>
  </si>
  <si>
    <t>Milk sold - excluding removals</t>
  </si>
  <si>
    <t>Milk sold - net emissions</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</si>
  <si>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</si>
  <si>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</si>
  <si>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</si>
  <si>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</si>
  <si>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</si>
  <si>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</si>
  <si>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</si>
  <si>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</si>
  <si>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</si>
  <si>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</si>
  <si>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</si>
  <si>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</si>
  <si>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</si>
  <si>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</si>
  <si>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</si>
  <si>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</si>
  <si>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</si>
  <si>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</si>
  <si>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</si>
  <si>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</si>
  <si>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</si>
  <si>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</si>
  <si>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</si>
  <si>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</si>
  <si>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</si>
  <si>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</si>
  <si>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</si>
  <si>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</si>
  <si>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</si>
  <si>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</si>
  <si>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</si>
  <si>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</si>
  <si>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</si>
  <si>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</si>
  <si>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</si>
  <si>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</si>
  <si>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</si>
  <si>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</si>
  <si>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</si>
  <si>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</si>
  <si>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</si>
  <si>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</si>
  <si>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</si>
  <si>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</si>
  <si>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</si>
  <si>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</si>
  <si>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</si>
  <si>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</si>
  <si>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</si>
  <si>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</si>
  <si>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</si>
  <si>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Manure used as fertiliser on own farm</t>
  </si>
  <si>
    <t>Results - Activity period</t>
  </si>
  <si>
    <t>Scope 1</t>
  </si>
  <si>
    <t>Total scope 1</t>
  </si>
  <si>
    <t>Scope 2</t>
  </si>
  <si>
    <t>Scope 2 source</t>
  </si>
  <si>
    <t>Total scope 2</t>
  </si>
  <si>
    <t>Scope 3</t>
  </si>
  <si>
    <t>Scope 3 source</t>
  </si>
  <si>
    <t>15.1.1.1 Purchased livestock</t>
  </si>
  <si>
    <t>15.2.1.1 Purchased feed</t>
  </si>
  <si>
    <t>15.3.1.1 Mineral supplements</t>
  </si>
  <si>
    <t>15.4.1.1 Fertiliser</t>
  </si>
  <si>
    <t>15.5.1.1 Agrichemicals</t>
  </si>
  <si>
    <t>15.6.1.1 Lime</t>
  </si>
  <si>
    <t>15.7.1.1 Services and contractor operations</t>
  </si>
  <si>
    <t>15.10.1.1 Other: Cleaning chemicals</t>
  </si>
  <si>
    <t>15.10.1.1 Other: Pharmacy chemicals</t>
  </si>
  <si>
    <t>15.10.1.1 Other: Miscellaneous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</si>
  <si>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</si>
  <si>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</si>
  <si>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</si>
  <si>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</si>
  <si>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</si>
  <si>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</si>
  <si>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</si>
  <si>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</si>
  <si>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</si>
  <si>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</si>
  <si>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</si>
  <si>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</si>
  <si>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</si>
  <si>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</si>
  <si>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</si>
  <si>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</si>
  <si>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</si>
  <si>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Results - Product emissions intensity</t>
  </si>
  <si>
    <t>Emissions for production cycle excluding removals</t>
  </si>
  <si>
    <t>Net emissions for production cycle</t>
  </si>
  <si>
    <t>Residual product</t>
  </si>
  <si>
    <t>N/A</t>
  </si>
  <si>
    <t>Emissions intestity (Method 1)</t>
  </si>
  <si>
    <t>Emissions intestity (Method 2)</t>
  </si>
  <si>
    <t>t co2e/t milk sold</t>
  </si>
  <si>
    <t>t co2e/t manure sold</t>
  </si>
  <si>
    <t>Enterprise</t>
  </si>
  <si>
    <t>Data type</t>
  </si>
  <si>
    <t>When was the data sourced?</t>
  </si>
  <si>
    <t>Where is the data sourced from?</t>
  </si>
  <si>
    <t>How much of the data was from direct samples?</t>
  </si>
  <si>
    <t>During this emissions calculation period</t>
  </si>
  <si>
    <t>This location with spatial partitioning</t>
  </si>
  <si>
    <t>Over 90%</t>
  </si>
  <si>
    <t>Within 2 years of this emissions calculation period</t>
  </si>
  <si>
    <t>This location without spatial partitioning</t>
  </si>
  <si>
    <t>Between 51% and 90%</t>
  </si>
  <si>
    <t>Within 3 years of this emissions calculation period</t>
  </si>
  <si>
    <t>Regional-level data from a government or industry database/survey</t>
  </si>
  <si>
    <t>Within 4 years of this emissions calculation period</t>
  </si>
  <si>
    <t>State-level data from a government or industry database/survey</t>
  </si>
  <si>
    <t>Less than 20%</t>
  </si>
  <si>
    <t>Unknown, or more than 4 years of this emissions calculation period</t>
  </si>
  <si>
    <t>National-level data from a government or industry database/survey</t>
  </si>
  <si>
    <t>Unknown</t>
  </si>
  <si>
    <t>Site</t>
  </si>
  <si>
    <t>Between 21% and 50%</t>
  </si>
  <si>
    <t>Pasture management</t>
  </si>
  <si>
    <t>Fertiliser applications</t>
  </si>
  <si>
    <t>Fuel and electricity</t>
  </si>
  <si>
    <t>Farm input purchases, freight and waste outputs</t>
  </si>
  <si>
    <t>Total data quality score</t>
  </si>
  <si>
    <t>Milk sold</t>
  </si>
  <si>
    <t>Percent income from milk sold</t>
  </si>
  <si>
    <t>Dairy cattle</t>
  </si>
  <si>
    <t>Production and manure management systems</t>
  </si>
  <si>
    <t>User friendly description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</si>
  <si>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</si>
  <si>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</si>
  <si>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</si>
  <si>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</si>
  <si>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</si>
  <si>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Use of contractors and service providers</t>
  </si>
  <si>
    <t>10.1.1-2 Solid waste treatment</t>
  </si>
  <si>
    <t>9.1.1.1-2 Refrigerant leakage - Gas 1</t>
  </si>
  <si>
    <t>9.1.1.1-2 Refrigerant leakage - Gas 2</t>
  </si>
  <si>
    <t>9.1.1.1-2 Refrigerant leakage - Gas 3</t>
  </si>
  <si>
    <t>9.1.1.1-2 Refrigerant leakage - Gas 4</t>
  </si>
  <si>
    <t>9.1.1.1-2 Refrigerant leakage - Gas 5</t>
  </si>
  <si>
    <t>9.1.1.1-2 Refrigerant leakage - Gas 6</t>
  </si>
  <si>
    <t>9.1.1.1-2 Refrigerant leakage - Gas 7</t>
  </si>
  <si>
    <t>9.1.1.1-2 Refrigerant leakage - Gas 8</t>
  </si>
  <si>
    <t>9.1.1.1-2 Refrigerant leakage - Gas 9</t>
  </si>
  <si>
    <t>9.1.1.1-2 Refrigerant leakage - Gas 10</t>
  </si>
  <si>
    <t>Input -Dairy</t>
  </si>
  <si>
    <t>Herd movement</t>
  </si>
  <si>
    <t>Breed</t>
  </si>
  <si>
    <t>Medium Friesian</t>
  </si>
  <si>
    <t>Milking cows</t>
  </si>
  <si>
    <t>Heifers &gt; 1 year</t>
  </si>
  <si>
    <t>Heifers &lt; 1 year</t>
  </si>
  <si>
    <t>Bulls &gt; 1 year</t>
  </si>
  <si>
    <t>Bulls &lt; 1 year</t>
  </si>
  <si>
    <t>head</t>
  </si>
  <si>
    <t>Liveweight</t>
  </si>
  <si>
    <t>Method 1 default values (Do not edit)</t>
  </si>
  <si>
    <t>Average liveweight</t>
  </si>
  <si>
    <t>kg/head</t>
  </si>
  <si>
    <t>Average liveweight gain</t>
  </si>
  <si>
    <t>kg/head/day</t>
  </si>
  <si>
    <t>Method 2 custom values (Edit if known)</t>
  </si>
  <si>
    <t>Duration of stay</t>
  </si>
  <si>
    <t>Diet</t>
  </si>
  <si>
    <t>Dry matter digestibility</t>
  </si>
  <si>
    <t>Fraction</t>
  </si>
  <si>
    <t>Crude protein</t>
  </si>
  <si>
    <t>Milk production</t>
  </si>
  <si>
    <t>Milk production unit</t>
  </si>
  <si>
    <t>Litres of milk</t>
  </si>
  <si>
    <t>Average daily milk production</t>
  </si>
  <si>
    <t>For milk solids only:</t>
  </si>
  <si>
    <t>Method 1 (don't edit)</t>
  </si>
  <si>
    <t>Method 2 (edit if known)</t>
  </si>
  <si>
    <t>Fat content in fat and protein corrected milk</t>
  </si>
  <si>
    <t>Protein content in fat and protein corrected milk</t>
  </si>
  <si>
    <t>Production systems</t>
  </si>
  <si>
    <t>Time spent in production systems</t>
  </si>
  <si>
    <t>Production system template</t>
  </si>
  <si>
    <t>System 3: Pasture-grazed 3-9 months/year</t>
  </si>
  <si>
    <t>Percent</t>
  </si>
  <si>
    <t>Milking shed</t>
  </si>
  <si>
    <t>Feed pad</t>
  </si>
  <si>
    <t>Manure management systems</t>
  </si>
  <si>
    <t>Stage 1 MMS</t>
  </si>
  <si>
    <t>►</t>
  </si>
  <si>
    <t>Destination after stage 2 MMS (Percent)</t>
  </si>
  <si>
    <t>Sold</t>
  </si>
  <si>
    <t>Fert for own farm (eg crop)</t>
  </si>
  <si>
    <t>Direct application to soil</t>
  </si>
  <si>
    <t>Yes</t>
  </si>
  <si>
    <t>Solid storage (after solid separation) - Method 1</t>
  </si>
  <si>
    <t>Solid storage (after solid separation) - Method 2</t>
  </si>
  <si>
    <t>No</t>
  </si>
  <si>
    <t>Where deposited on farm soils as waste, what is the closest match?</t>
  </si>
  <si>
    <t>Sprinkler irrigation</t>
  </si>
  <si>
    <t>4.3.1.1-2 Manure Methane</t>
  </si>
  <si>
    <t>Function name</t>
  </si>
  <si>
    <t>Variable</t>
  </si>
  <si>
    <t>M1_Table_DMD_j</t>
  </si>
  <si>
    <t>M2_Table_DMD_j</t>
  </si>
  <si>
    <t>Dry matter digestibility (Method 1)</t>
  </si>
  <si>
    <t>Dry matter digestibility (Method 2)</t>
  </si>
  <si>
    <t>fraction</t>
  </si>
  <si>
    <t>M1_Table_qm_j</t>
  </si>
  <si>
    <t>M2_Table_qm_j</t>
  </si>
  <si>
    <t>Metabolisability of diet (Method 1)</t>
  </si>
  <si>
    <t>Metabolisability of diet (Method 2)</t>
  </si>
  <si>
    <t>M1_Table_MS_j</t>
  </si>
  <si>
    <t>Milk solids production (Method 1)</t>
  </si>
  <si>
    <t>M1_Table_MP_j_from_solids</t>
  </si>
  <si>
    <t>M2_Table_MP_j_from_solids</t>
  </si>
  <si>
    <t>Milk production from milk solids (Method 1)</t>
  </si>
  <si>
    <t>Milk production from milk solids (Method 2)</t>
  </si>
  <si>
    <t>L/head/day</t>
  </si>
  <si>
    <t>Table_MP_j</t>
  </si>
  <si>
    <t>M1_Table_MI_j</t>
  </si>
  <si>
    <t>M2_Table_MI_j</t>
  </si>
  <si>
    <t>Additional intake for milk production (Method 1)</t>
  </si>
  <si>
    <t>Additional intake for milk production (Method 2)</t>
  </si>
  <si>
    <t>M1_Table_W_j</t>
  </si>
  <si>
    <t>M2_Table_W_j</t>
  </si>
  <si>
    <t>Liveweight for each animal class j (Method 1)</t>
  </si>
  <si>
    <t>Liveweight for each animal class j (Method 2)</t>
  </si>
  <si>
    <t>M1_Table_LWG_j</t>
  </si>
  <si>
    <t>M2_Table_LWG_j</t>
  </si>
  <si>
    <t>Liveweight gain for each animal class j (Method 1)</t>
  </si>
  <si>
    <t>Liveweight gain for each animal class j (Method 2)</t>
  </si>
  <si>
    <t>Table_MR_j</t>
  </si>
  <si>
    <t>Increase in metabolic rate when producing milk</t>
  </si>
  <si>
    <t>M1_Table_I_j</t>
  </si>
  <si>
    <t>M2_Table_I_j</t>
  </si>
  <si>
    <t>Feed intake (Method 1)</t>
  </si>
  <si>
    <t>Feed intake (Method 2)</t>
  </si>
  <si>
    <t>M1_Table_VS_j</t>
  </si>
  <si>
    <t>M2_Table_VS_j</t>
  </si>
  <si>
    <t>Volatile solids for weaned cattle (Method 1)</t>
  </si>
  <si>
    <t>Volatile solids for weaned cattle (Method 2)</t>
  </si>
  <si>
    <t>M1_Table_MMS_j_m</t>
  </si>
  <si>
    <t>M2_Table_MMS_j_m</t>
  </si>
  <si>
    <t>Fraction of manure in each MMS prior to solid separation (Method 1)</t>
  </si>
  <si>
    <t>Fraction of manure in each MMS prior to solid separation (Method 2)</t>
  </si>
  <si>
    <t>MMS</t>
  </si>
  <si>
    <t>M1_Table_SS_m</t>
  </si>
  <si>
    <t>M2_Table_SS_m</t>
  </si>
  <si>
    <t>Fraction volatile solids separated to solid storage (Method 1)</t>
  </si>
  <si>
    <t>Fraction volatile solids separated to solid storage (Method 2)</t>
  </si>
  <si>
    <t>SS</t>
  </si>
  <si>
    <t>M1_Table_FVS_j_m</t>
  </si>
  <si>
    <t>Fraction volatile solids to MMS other than solid storage (Method 1)</t>
  </si>
  <si>
    <t>Fraction volatile solids to MMS other than solid storage (Method 2)</t>
  </si>
  <si>
    <t>M1_Table_MMS_j_m-4</t>
  </si>
  <si>
    <t>M2_Table_MMS_j_m-4</t>
  </si>
  <si>
    <t>Fraction volatile solids to in solid storage before transfer (Method 1)</t>
  </si>
  <si>
    <t>Fraction volatile solids to in solid storage before transfer (Method 2)</t>
  </si>
  <si>
    <t>M1_Table_FVS_j_m-4</t>
  </si>
  <si>
    <t>M2_Table_FVS_j_m-4</t>
  </si>
  <si>
    <t>Fraction volatile solids to in solid storage (Method 1)</t>
  </si>
  <si>
    <t>Fraction volatile solids to in solid storage (Method 2)</t>
  </si>
  <si>
    <t>M1_Table_MCF_i_m</t>
  </si>
  <si>
    <t>M2_Table_MCF_i_m</t>
  </si>
  <si>
    <t>Methane conversion factor for state (Method 1)</t>
  </si>
  <si>
    <t>Methane conversion factor for state (Method 2)</t>
  </si>
  <si>
    <r>
      <t>MCF</t>
    </r>
    <r>
      <rPr>
        <b/>
        <vertAlign val="subscript"/>
        <sz val="11"/>
        <color rgb="FF183C1B"/>
        <rFont val="Times New Roman"/>
        <family val="1"/>
      </rPr>
      <t>im</t>
    </r>
  </si>
  <si>
    <t>NOTE: 'Pasture range and paddock' MCF is state-based</t>
  </si>
  <si>
    <t>NOTE: 'Sump and dispersal' uses 'Daily spread' MCFs</t>
  </si>
  <si>
    <t>NOTE: Drains to paddock uses 'Liquid slurry' MCFs</t>
  </si>
  <si>
    <t>M1_M_j_m</t>
  </si>
  <si>
    <t>M2_M_j_m</t>
  </si>
  <si>
    <t>Methane from manure production of weaned cattle (Method 1)</t>
  </si>
  <si>
    <t>Methane from manure production of weaned cattle (Method 2)</t>
  </si>
  <si>
    <t>Table_N_j</t>
  </si>
  <si>
    <t>Number of dairy cattle in all classes</t>
  </si>
  <si>
    <t>Head</t>
  </si>
  <si>
    <t>M1_Table_D_j</t>
  </si>
  <si>
    <t>M2_Table_D_j</t>
  </si>
  <si>
    <t>Duration of stay of weaned dairy cattle in all classes (Method 1)</t>
  </si>
  <si>
    <t>Duration of stay of weaned dairy cattle in all classes (Method 2)</t>
  </si>
  <si>
    <t>Table_MPW_manure_j-3-5</t>
  </si>
  <si>
    <t>Methane production of pre-weaned cattle</t>
  </si>
  <si>
    <t>CH4/head/day</t>
  </si>
  <si>
    <t>M1_Table_DPW_j</t>
  </si>
  <si>
    <t>Duration of stay of of pre-weaned dairy cattle in all classes (Method 1)</t>
  </si>
  <si>
    <t>M1_Table_E_CH4</t>
  </si>
  <si>
    <t>Methane production from manure management (Method 1)</t>
  </si>
  <si>
    <t>Methane production from manure management (Method 2)</t>
  </si>
  <si>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</si>
  <si>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</si>
  <si>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</si>
  <si>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</si>
  <si>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4.3.1.3-4 Manure Direct N2O</t>
  </si>
  <si>
    <t>Table_WR_j</t>
  </si>
  <si>
    <t>Reference weight for each animal class</t>
  </si>
  <si>
    <t>M1_Table_Z_j</t>
  </si>
  <si>
    <t>Relative size for each animal class (Method 1)</t>
  </si>
  <si>
    <t>Relative size for each animal class (Method 2)</t>
  </si>
  <si>
    <t>M1_Table_L_j</t>
  </si>
  <si>
    <t>M2_Table_L_j</t>
  </si>
  <si>
    <t>Intake relative to maintenance (Method 1)</t>
  </si>
  <si>
    <t>Intake relative to maintenance (Method 2)</t>
  </si>
  <si>
    <t>M1_Table_NR_j</t>
  </si>
  <si>
    <t>M2_Table_NR_j</t>
  </si>
  <si>
    <t>Nitrogen retained in the body for each animal class j (Method 1)</t>
  </si>
  <si>
    <t>Nitrogen retained in the body for each animal class j (Method 2)</t>
  </si>
  <si>
    <t>M1_Table_CP_j</t>
  </si>
  <si>
    <t>M2_Table_CP_j</t>
  </si>
  <si>
    <t>Crude protein content of feed intake for each animal class j (Method 1)</t>
  </si>
  <si>
    <t>Crude protein content of feed intake for each animal class j (Method 2)</t>
  </si>
  <si>
    <t>M1_Table_CPI_j</t>
  </si>
  <si>
    <t>M2_Table_CPI_j</t>
  </si>
  <si>
    <t>Crude protein intake for each animal class j (Method 1)</t>
  </si>
  <si>
    <t>Crude protein intake for each animal class j (Method 2)</t>
  </si>
  <si>
    <t>M1_Table_NE_j</t>
  </si>
  <si>
    <t>M2_Table_NE_j</t>
  </si>
  <si>
    <t>Nitrogen excreted for each animal class j (Method 1)</t>
  </si>
  <si>
    <t>Nitrogen excreted for each animal class j (Method 2)</t>
  </si>
  <si>
    <t>M1_Table_D_j-1-2-4</t>
  </si>
  <si>
    <t>M2_Table_D_j-1-2-4</t>
  </si>
  <si>
    <t>Duration of stay of cattle &gt; 1 year (Method 1)</t>
  </si>
  <si>
    <t>Duration of stay of cattle &gt; 1 year (Method 2)</t>
  </si>
  <si>
    <t>M1_Table_AE_j-1-2-4</t>
  </si>
  <si>
    <t>M2_Table_AE_j-1-2-4</t>
  </si>
  <si>
    <t>Total annual nitrogen excreted cattle &gt; 1 year old (Method 1)</t>
  </si>
  <si>
    <t>Total annual nitrogen excreted cattle &gt; 1 year old (Method 2)</t>
  </si>
  <si>
    <t>Table_NPW_j-3-5</t>
  </si>
  <si>
    <t>Nitrogen excretion of pre-weaned cattle</t>
  </si>
  <si>
    <t>M1_Table_D_j-3-5</t>
  </si>
  <si>
    <t>Duration of stay of weaned cattle &lt; 1 year (Method 1)</t>
  </si>
  <si>
    <t>Duration of stay of weaned cattle &lt; 1 year (Method 2)</t>
  </si>
  <si>
    <t>Duration of stay of of pre-weaned dairy cattle in all classes (Method 2)</t>
  </si>
  <si>
    <t>M1_Table_AE_j</t>
  </si>
  <si>
    <t>Total annual nitrogen excreted cattle &lt; 1 year old (Method 1)</t>
  </si>
  <si>
    <t>Total annual nitrogen excreted cattle &lt; 1 year old (Method 2)</t>
  </si>
  <si>
    <t>Fraction of manure sent to each MMS (Method 1)</t>
  </si>
  <si>
    <t>Fraction of manure sent to each MMS (Method 2)</t>
  </si>
  <si>
    <t>M1_Table_MN_j_m</t>
  </si>
  <si>
    <t>M2_Table_MN_j_m</t>
  </si>
  <si>
    <t>Total nitrogen in each MMS (Method 1)</t>
  </si>
  <si>
    <t>Total nitrogen in each MMS (Method 2)</t>
  </si>
  <si>
    <t>Table_EF_m</t>
  </si>
  <si>
    <t>Nitrous oxide EF for each MMS</t>
  </si>
  <si>
    <r>
      <t>EF</t>
    </r>
    <r>
      <rPr>
        <b/>
        <vertAlign val="subscript"/>
        <sz val="11"/>
        <color rgb="FF183C1B"/>
        <rFont val="Times New Roman"/>
        <family val="1"/>
      </rPr>
      <t>m</t>
    </r>
  </si>
  <si>
    <t>M1_Table_E_N2O_dir</t>
  </si>
  <si>
    <t>M2_Table_E_N2O_dir</t>
  </si>
  <si>
    <t>Total annual direct N2O emissions from each MMS (Method 1)</t>
  </si>
  <si>
    <t>Total annual direct N2O emissions from each MMS (Method 2)</t>
  </si>
  <si>
    <r>
      <t>E</t>
    </r>
    <r>
      <rPr>
        <b/>
        <vertAlign val="subscript"/>
        <sz val="16"/>
        <color theme="1" tint="0.24994659260841701"/>
        <rFont val="Times New Roman"/>
        <family val="1"/>
      </rPr>
      <t>N2O,dir</t>
    </r>
  </si>
  <si>
    <r>
      <t>E</t>
    </r>
    <r>
      <rPr>
        <vertAlign val="subscript"/>
        <sz val="12"/>
        <color theme="1" tint="0.24994659260841701"/>
        <rFont val="Times New Roman"/>
        <family val="1"/>
      </rPr>
      <t>CO2e</t>
    </r>
  </si>
  <si>
    <t>4.3.1.5 Manure Atmospheric Deposition</t>
  </si>
  <si>
    <t>Table_FracGASM_m</t>
  </si>
  <si>
    <t>Fraction N volatilised from each MS</t>
  </si>
  <si>
    <r>
      <t>FracGASM</t>
    </r>
    <r>
      <rPr>
        <b/>
        <vertAlign val="subscript"/>
        <sz val="11"/>
        <color rgb="FF183C1B"/>
        <rFont val="Times New Roman"/>
        <family val="1"/>
      </rPr>
      <t>m</t>
    </r>
  </si>
  <si>
    <t>M1_Table_MN_atmos</t>
  </si>
  <si>
    <t>M2_Table_MN_atmos</t>
  </si>
  <si>
    <t>Total nitrogen volatilised from each MMS (Method 1)</t>
  </si>
  <si>
    <t>Total nitrogen volatilised from each MMS (Method 2)</t>
  </si>
  <si>
    <r>
      <t>MN</t>
    </r>
    <r>
      <rPr>
        <b/>
        <vertAlign val="subscript"/>
        <sz val="12"/>
        <color theme="1" tint="0.24994659260841701"/>
        <rFont val="Times New Roman"/>
        <family val="1"/>
      </rPr>
      <t>ATMOS</t>
    </r>
  </si>
  <si>
    <t>`</t>
  </si>
  <si>
    <r>
      <t>E</t>
    </r>
    <r>
      <rPr>
        <b/>
        <vertAlign val="subscript"/>
        <sz val="16"/>
        <color theme="1" tint="0.24994659260841701"/>
        <rFont val="Times New Roman"/>
        <family val="1"/>
      </rPr>
      <t>N2O,MMS,ad</t>
    </r>
  </si>
  <si>
    <t>4.1.1.6-7 Manure leaching and runoff</t>
  </si>
  <si>
    <t>M1_Table_MN_j_m-4</t>
  </si>
  <si>
    <t>M2_Table_MN_j_m-4</t>
  </si>
  <si>
    <t>Total nitrogen in solid storage MMS (Method 1)</t>
  </si>
  <si>
    <t>Total nitrogen in solid storage MMS (Method 2)</t>
  </si>
  <si>
    <t>M1_Table_MN_leach_j_m-4</t>
  </si>
  <si>
    <t>M2_Table_MN_leach_j_m-4</t>
  </si>
  <si>
    <t>Mass of N lost to leaching and runoff from solid storage (Method 1)</t>
  </si>
  <si>
    <t>Mass of N lost to leaching and runoff from solid storage (Method 2)</t>
  </si>
  <si>
    <t>M1_Table_EF_N2O_leach</t>
  </si>
  <si>
    <t>M2_Table_EF_N2O_leach</t>
  </si>
  <si>
    <t>Emissions from leaching and runoff (Method 1)</t>
  </si>
  <si>
    <t>Emissions from leaching and runoff (Method 2)</t>
  </si>
  <si>
    <t>4.3.1.8 Manure applied to soils</t>
  </si>
  <si>
    <t>M1_Table_MN_leach_j_m</t>
  </si>
  <si>
    <t>M2_Table_MN_leach_j_m</t>
  </si>
  <si>
    <t>Mass of N lost to leaching and runoff from MMS (Method 1)</t>
  </si>
  <si>
    <t>Mass of N lost to leaching and runoff from MMS (Method 2)</t>
  </si>
  <si>
    <t>Table_PF_scope</t>
  </si>
  <si>
    <t>Fraction of manure applied to soils within farm boundary</t>
  </si>
  <si>
    <t>PF_scope</t>
  </si>
  <si>
    <t>M1_Table_MN_soil_scope1</t>
  </si>
  <si>
    <t>M2_Table_MN_soil_scope1</t>
  </si>
  <si>
    <t>Mass of nitrogen from manure applied to soils for scope 1 emissions (Method 1)</t>
  </si>
  <si>
    <t>Mass of nitrogen from manure applied to soils for scope 1 emissions (Method 2)</t>
  </si>
  <si>
    <r>
      <t>MNSoil</t>
    </r>
    <r>
      <rPr>
        <b/>
        <vertAlign val="subscript"/>
        <sz val="16"/>
        <color theme="1" tint="0.24994659260841701"/>
        <rFont val="Times New Roman"/>
        <family val="1"/>
      </rPr>
      <t>scope1</t>
    </r>
  </si>
  <si>
    <t>M1_Table_MN_soil_scope3</t>
  </si>
  <si>
    <t>M2_Table_MN_soil_scope3</t>
  </si>
  <si>
    <t>Mass of nitrogen from manure applied to soils for scope 3 emissions (Method 1)</t>
  </si>
  <si>
    <t>Mass of nitrogen from manure applied to soils for scope 3 emissions (Method 2)</t>
  </si>
  <si>
    <r>
      <t>MNSoil</t>
    </r>
    <r>
      <rPr>
        <b/>
        <vertAlign val="subscript"/>
        <sz val="16"/>
        <color theme="1" tint="0.24994659260841701"/>
        <rFont val="Times New Roman"/>
        <family val="1"/>
      </rPr>
      <t>scope3</t>
    </r>
  </si>
  <si>
    <t>* Scope 1: Manure that is removed from MMS and used as fertiliser on the farm, for other enterprises (eg crops)</t>
  </si>
  <si>
    <t>Scope 1: Mass of nitrogen applied as fertiliser on own farm</t>
  </si>
  <si>
    <t>Table_PF_fert</t>
  </si>
  <si>
    <t>Fraction of manure applied to as fertiliser on own farm from MMS</t>
  </si>
  <si>
    <t>PF_fert</t>
  </si>
  <si>
    <t>M1_Table_MNSoil_scope3_fert</t>
  </si>
  <si>
    <t>M2_Table_MNSoil_scope3_fert</t>
  </si>
  <si>
    <t>Mass of N applied to own farm as fertiliser (Method 1)</t>
  </si>
  <si>
    <t>Mass of N applied to own farm as fertiliser (Method 2)</t>
  </si>
  <si>
    <r>
      <t>MNSoil</t>
    </r>
    <r>
      <rPr>
        <b/>
        <vertAlign val="subscript"/>
        <sz val="16"/>
        <color theme="1" tint="0.24994659260841701"/>
        <rFont val="Times New Roman"/>
        <family val="1"/>
      </rPr>
      <t>scope3,fert</t>
    </r>
  </si>
  <si>
    <t>M2_Table_AE_j</t>
  </si>
  <si>
    <t>Total annual nitrogen excreted all cattle (Method 1)</t>
  </si>
  <si>
    <t>Total annual nitrogen excreted all cattle (Method 2)</t>
  </si>
  <si>
    <t>M1_Table_MMS_j_m-14</t>
  </si>
  <si>
    <t>M2_Table_MMS_j_m-14</t>
  </si>
  <si>
    <t>Fraction of manure deposited on pasture range and paddock (Method 1)</t>
  </si>
  <si>
    <t>Fraction of manure deposited on pasture range and paddock (Method 2)</t>
  </si>
  <si>
    <t>M1_Table_MN_j_m-14</t>
  </si>
  <si>
    <t>M2_Table_MN_j_m-14</t>
  </si>
  <si>
    <t>Total nitrogen deposited on pasture range and paddock (Method 1)</t>
  </si>
  <si>
    <t>Total nitrogen deposited on pasture range and paddock (Method 2)</t>
  </si>
  <si>
    <t>Formula name</t>
  </si>
  <si>
    <t>Direct nitrous oxide emissions from urine and dung deposited on pasture (Method 1)</t>
  </si>
  <si>
    <t>Direct nitrous oxide emissions from urine and dung deposited on pasture (Method 2)</t>
  </si>
  <si>
    <t>4.3.1.10-11 Soil atmospheric deposition N2O</t>
  </si>
  <si>
    <t>M1_Table_M_vol_m-14</t>
  </si>
  <si>
    <t>M2_Table_M_vol_m-14</t>
  </si>
  <si>
    <t>Mass of N volatilised from urine and dung on pasture (Method 1)</t>
  </si>
  <si>
    <t>Mass of N volatilised from urine and dung on pasture (Method 2)</t>
  </si>
  <si>
    <r>
      <t>M</t>
    </r>
    <r>
      <rPr>
        <b/>
        <vertAlign val="subscript"/>
        <sz val="12"/>
        <color theme="1" tint="0.24994659260841701"/>
        <rFont val="Times New Roman"/>
        <family val="1"/>
      </rPr>
      <t>vol,m=14</t>
    </r>
  </si>
  <si>
    <r>
      <t>E</t>
    </r>
    <r>
      <rPr>
        <b/>
        <vertAlign val="subscript"/>
        <sz val="16"/>
        <color theme="1" tint="0.24994659260841701"/>
        <rFont val="Times New Roman"/>
        <family val="1"/>
      </rPr>
      <t>N2O,ad</t>
    </r>
  </si>
  <si>
    <t>4.3.1.12-13 Soil leaching and runoff N2O</t>
  </si>
  <si>
    <t xml:space="preserve"> </t>
  </si>
  <si>
    <t>M1_Table_M_leach_M-14</t>
  </si>
  <si>
    <t>M2_Table_M_leach_M-14</t>
  </si>
  <si>
    <t>Mass of N lost to leaching and runoff urine and faeces on pasture (Method 1)</t>
  </si>
  <si>
    <t>Mass of N lost to leaching and runoff urine and faeces on pasture (Method 2)</t>
  </si>
  <si>
    <r>
      <t>M</t>
    </r>
    <r>
      <rPr>
        <b/>
        <vertAlign val="subscript"/>
        <sz val="12"/>
        <color theme="1" tint="0.24994659260841701"/>
        <rFont val="Times New Roman"/>
        <family val="1"/>
      </rPr>
      <t>leach,m=14</t>
    </r>
  </si>
  <si>
    <r>
      <t>E</t>
    </r>
    <r>
      <rPr>
        <b/>
        <vertAlign val="subscript"/>
        <sz val="16"/>
        <color theme="1" tint="0.24994659260841701"/>
        <rFont val="Times New Roman"/>
        <family val="1"/>
      </rPr>
      <t>N2O,leach</t>
    </r>
  </si>
  <si>
    <t>Source Data - Dairy</t>
  </si>
  <si>
    <t>Dairy manure management systems</t>
  </si>
  <si>
    <t>Dairy crop or pasture production systems</t>
  </si>
  <si>
    <t>Irrigation methods</t>
  </si>
  <si>
    <t>Livestock classes</t>
  </si>
  <si>
    <t>Table_LivestockClasses_Dairy</t>
  </si>
  <si>
    <t>Symbol and MMS</t>
  </si>
  <si>
    <t>Livestock class</t>
  </si>
  <si>
    <t>Not irrigated</t>
  </si>
  <si>
    <t>Drip irrigation</t>
  </si>
  <si>
    <t>Surface irrigation</t>
  </si>
  <si>
    <t>Other irrigation</t>
  </si>
  <si>
    <t>Heifers &gt; 1</t>
  </si>
  <si>
    <t>Heifers &lt; 1 (weaned)</t>
  </si>
  <si>
    <t>Bulls &gt; 1</t>
  </si>
  <si>
    <t>Bulls &lt; 1 (weaned)</t>
  </si>
  <si>
    <t>Animal class j</t>
  </si>
  <si>
    <t>CH4 production</t>
  </si>
  <si>
    <t>Volatile solids (VSj=3,5)</t>
  </si>
  <si>
    <t>Nitrogen Excreted (NPWj=3,5)</t>
  </si>
  <si>
    <t>MMS m</t>
  </si>
  <si>
    <t>ACT</t>
  </si>
  <si>
    <t>NSW</t>
  </si>
  <si>
    <t>NT</t>
  </si>
  <si>
    <t>QLD</t>
  </si>
  <si>
    <t>SA</t>
  </si>
  <si>
    <t>TAS</t>
  </si>
  <si>
    <t>VIC</t>
  </si>
  <si>
    <t>WA</t>
  </si>
  <si>
    <t>NIR reference</t>
  </si>
  <si>
    <t>EFm</t>
  </si>
  <si>
    <t>FracGASMm</t>
  </si>
  <si>
    <t>MPW ENTERIC</t>
  </si>
  <si>
    <t>MRj</t>
  </si>
  <si>
    <t>Area</t>
  </si>
  <si>
    <t>Feedpad</t>
  </si>
  <si>
    <t>Duplicate of data in table 1.3.7</t>
  </si>
  <si>
    <t>Duration (weaned)</t>
  </si>
  <si>
    <t>Duration (pre-weaned)</t>
  </si>
  <si>
    <t>3.3.1.1-2 Enteric Methane</t>
  </si>
  <si>
    <t>M1_Table_M_j</t>
  </si>
  <si>
    <t>M2_Table_M_j</t>
  </si>
  <si>
    <t>Daily production of neteric methane (Method 1)</t>
  </si>
  <si>
    <t>Daily production of neteric methane (Method 2)</t>
  </si>
  <si>
    <t>Number of dairy cattle</t>
  </si>
  <si>
    <t>Duration of stay of weaned cattle (Method 1)</t>
  </si>
  <si>
    <t>Duration of stay of weaned cattle (Method 2)</t>
  </si>
  <si>
    <t>M1_Table_DPW_j-3-5</t>
  </si>
  <si>
    <t>M2_Table_DPW_j</t>
  </si>
  <si>
    <t>Duration of stay of pre-weaned cattle (Method 1)</t>
  </si>
  <si>
    <t>Duration of stay of pre-weaned cattle (Method 2)</t>
  </si>
  <si>
    <t>M1_Table_MPW_j-3-5</t>
  </si>
  <si>
    <t>M1_Table_E_enteric</t>
  </si>
  <si>
    <t>Total annual enteric methane production</t>
  </si>
  <si>
    <r>
      <t>E</t>
    </r>
    <r>
      <rPr>
        <b/>
        <vertAlign val="subscript"/>
        <sz val="16"/>
        <color theme="1" tint="0.24994659260841701"/>
        <rFont val="Times New Roman"/>
        <family val="1"/>
      </rPr>
      <t>CH4</t>
    </r>
  </si>
  <si>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</si>
  <si>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</si>
  <si>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</si>
  <si>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</si>
  <si>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</si>
  <si>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</si>
  <si>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</si>
  <si>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</si>
  <si>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</si>
  <si>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</si>
  <si>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</si>
  <si>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</si>
  <si>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</si>
  <si>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</si>
  <si>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</si>
  <si>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</si>
  <si>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</si>
  <si>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</si>
  <si>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</si>
  <si>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</si>
  <si>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</si>
  <si>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</si>
  <si>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</si>
  <si>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</si>
  <si>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</si>
  <si>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</si>
  <si>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</si>
  <si>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</si>
  <si>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Urea</t>
  </si>
  <si>
    <t>Boost-It</t>
  </si>
  <si>
    <t>Cal-Gran 50/50</t>
  </si>
  <si>
    <t>Custom fertiliser blends</t>
  </si>
  <si>
    <t>Custom blend name</t>
  </si>
  <si>
    <r>
      <t xml:space="preserve">Amount applied </t>
    </r>
    <r>
      <rPr>
        <sz val="11"/>
        <color theme="1"/>
        <rFont val="Times New Roman"/>
        <family val="1"/>
      </rPr>
      <t>(kg / ha)</t>
    </r>
  </si>
  <si>
    <t>Ingredient 1 (select)</t>
  </si>
  <si>
    <t>Urea source (Select)</t>
  </si>
  <si>
    <t>Ammonia source (select)</t>
  </si>
  <si>
    <t>My first custom blend</t>
  </si>
  <si>
    <t>Calcium nitrate</t>
  </si>
  <si>
    <t>Zinc - Generic</t>
  </si>
  <si>
    <t>Potassium - Generic</t>
  </si>
  <si>
    <t>Sulfur - Generic</t>
  </si>
  <si>
    <t>My second custom blend</t>
  </si>
  <si>
    <t>My third custom blend</t>
  </si>
  <si>
    <t>Ammonia</t>
  </si>
  <si>
    <t>Lime applications</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</si>
  <si>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</si>
  <si>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</si>
  <si>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</si>
  <si>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</si>
  <si>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</si>
  <si>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</si>
  <si>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</si>
  <si>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</si>
  <si>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</si>
  <si>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</si>
  <si>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</si>
  <si>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</si>
  <si>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</si>
  <si>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</si>
  <si>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</si>
  <si>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</si>
  <si>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</si>
  <si>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</si>
  <si>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</si>
  <si>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</si>
  <si>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</si>
  <si>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</si>
  <si>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</si>
  <si>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t>Method 2 prioritises the 'Declared N' value for branded fertiliser products, meaning the amount of N delcared by the manufacturer is used instead of the product ingredients and estimated amount of N for each ingredient.</t>
  </si>
  <si>
    <t>M2_Table_FertApplications</t>
  </si>
  <si>
    <t>Fertiliser product applications (Method 2)</t>
  </si>
  <si>
    <t>kg / hectare</t>
  </si>
  <si>
    <t>hectares</t>
  </si>
  <si>
    <t>kg</t>
  </si>
  <si>
    <t>Product applied</t>
  </si>
  <si>
    <t>N Application rate</t>
  </si>
  <si>
    <t>Application area</t>
  </si>
  <si>
    <t>MN</t>
  </si>
  <si>
    <t>Branded product</t>
  </si>
  <si>
    <t>Table_MN_j_f</t>
  </si>
  <si>
    <t>Mass of nitrogen applied</t>
  </si>
  <si>
    <t>Fertiliser type f</t>
  </si>
  <si>
    <r>
      <t>TM</t>
    </r>
    <r>
      <rPr>
        <b/>
        <vertAlign val="subscript"/>
        <sz val="11"/>
        <color rgb="FF533001"/>
        <rFont val="Times New Roman"/>
        <family val="1"/>
      </rPr>
      <t>jf</t>
    </r>
  </si>
  <si>
    <r>
      <t>FN</t>
    </r>
    <r>
      <rPr>
        <b/>
        <vertAlign val="subscript"/>
        <sz val="11"/>
        <color rgb="FF183C1B"/>
        <rFont val="Times New Roman"/>
        <family val="1"/>
      </rPr>
      <t>inorganic,f</t>
    </r>
  </si>
  <si>
    <r>
      <t>MN</t>
    </r>
    <r>
      <rPr>
        <b/>
        <vertAlign val="subscript"/>
        <sz val="11"/>
        <color rgb="FF533001"/>
        <rFont val="Times New Roman"/>
        <family val="1"/>
      </rPr>
      <t>jf</t>
    </r>
  </si>
  <si>
    <t>Custom blend</t>
  </si>
  <si>
    <t>MN total</t>
  </si>
  <si>
    <t>Application area total</t>
  </si>
  <si>
    <t>N application rate</t>
  </si>
  <si>
    <t>Not used - application rate calculated per product blend application</t>
  </si>
  <si>
    <r>
      <t>EF</t>
    </r>
    <r>
      <rPr>
        <b/>
        <vertAlign val="subscript"/>
        <sz val="12"/>
        <color theme="1" tint="0.24994659260841701"/>
        <rFont val="Times New Roman"/>
        <family val="1"/>
      </rPr>
      <t>fj=irrigatedmaizeN2O</t>
    </r>
  </si>
  <si>
    <t>M1_Table_E_N2O</t>
  </si>
  <si>
    <t>Nitrous oxide emissions from inorganic fertiliser application (Method 1)</t>
  </si>
  <si>
    <r>
      <t>E</t>
    </r>
    <r>
      <rPr>
        <b/>
        <vertAlign val="subscript"/>
        <sz val="11"/>
        <color rgb="FF183C1B"/>
        <rFont val="Times New Roman"/>
        <family val="1"/>
      </rPr>
      <t>N2O</t>
    </r>
  </si>
  <si>
    <r>
      <t>EF</t>
    </r>
    <r>
      <rPr>
        <b/>
        <vertAlign val="subscript"/>
        <sz val="12"/>
        <color theme="1" tint="0.24994659260841701"/>
        <rFont val="Times New Roman"/>
        <family val="1"/>
      </rPr>
      <t>jf=nonirrigatedgrainsN2O</t>
    </r>
  </si>
  <si>
    <t>Capped cotton applicationj rate to 300 based on VEERG "application rate of inorganic fertiliser type f in the cotton crop (kg N/ha). This is capped at a maximum of 0.0183 kg CO2e/kg N, equivalent to N application rates of 300 kg N/ha "</t>
  </si>
  <si>
    <r>
      <t>E</t>
    </r>
    <r>
      <rPr>
        <b/>
        <vertAlign val="subscript"/>
        <sz val="16"/>
        <color theme="1" tint="0.24994659260841701"/>
        <rFont val="Times New Roman"/>
        <family val="1"/>
      </rPr>
      <t>N2O</t>
    </r>
  </si>
  <si>
    <t>Not used</t>
  </si>
  <si>
    <t>M2_Table_EF</t>
  </si>
  <si>
    <t>Emission factor for nitrous oxide for inorganic fertilisers (Method 2)</t>
  </si>
  <si>
    <t>Is used</t>
  </si>
  <si>
    <t>EF</t>
  </si>
  <si>
    <t>Irrigated maize</t>
  </si>
  <si>
    <t>Non-irrigated crop, high rainfall</t>
  </si>
  <si>
    <t>Cotton</t>
  </si>
  <si>
    <t>All other production systems</t>
  </si>
  <si>
    <t>5.1.1.3-4 Inorganic fertiliser application CO2 emissions</t>
  </si>
  <si>
    <t>Table_MU_j_f</t>
  </si>
  <si>
    <t>Mass of urea applied</t>
  </si>
  <si>
    <r>
      <t>FU</t>
    </r>
    <r>
      <rPr>
        <b/>
        <vertAlign val="subscript"/>
        <sz val="11"/>
        <color rgb="FF183C1B"/>
        <rFont val="Times New Roman"/>
        <family val="1"/>
      </rPr>
      <t>f</t>
    </r>
  </si>
  <si>
    <r>
      <t>MU</t>
    </r>
    <r>
      <rPr>
        <b/>
        <vertAlign val="subscript"/>
        <sz val="11"/>
        <color rgb="FF533001"/>
        <rFont val="Times New Roman"/>
        <family val="1"/>
      </rPr>
      <t>jf</t>
    </r>
  </si>
  <si>
    <t>M1_Table_E_CO2</t>
  </si>
  <si>
    <t>Carbon dioxide oxide emissions from inorganic fertiliser application (Method 1)</t>
  </si>
  <si>
    <r>
      <t>E</t>
    </r>
    <r>
      <rPr>
        <b/>
        <vertAlign val="subscript"/>
        <sz val="16"/>
        <color theme="1" tint="0.24994659260841701"/>
        <rFont val="Times New Roman"/>
        <family val="1"/>
      </rPr>
      <t>CO2</t>
    </r>
  </si>
  <si>
    <t>5.2.1.1 1-2 Organic fertiliser application N2O emissions</t>
  </si>
  <si>
    <t>Table_MNSoil_j_f</t>
  </si>
  <si>
    <t>Mass of nitrogen in organic fertilisers</t>
  </si>
  <si>
    <t>Organic fertiliser type (f)</t>
  </si>
  <si>
    <t>Amount applied (kg/ha)</t>
  </si>
  <si>
    <r>
      <t>M</t>
    </r>
    <r>
      <rPr>
        <b/>
        <vertAlign val="subscript"/>
        <sz val="11"/>
        <color rgb="FF183C1B"/>
        <rFont val="Times New Roman"/>
        <family val="1"/>
      </rPr>
      <t>organicjf</t>
    </r>
  </si>
  <si>
    <t>FNorganicf</t>
  </si>
  <si>
    <r>
      <t>MNSoil</t>
    </r>
    <r>
      <rPr>
        <b/>
        <vertAlign val="subscript"/>
        <sz val="11"/>
        <color rgb="FF183C1B"/>
        <rFont val="Times New Roman"/>
        <family val="1"/>
      </rPr>
      <t>jf</t>
    </r>
  </si>
  <si>
    <r>
      <t>MNSoil</t>
    </r>
    <r>
      <rPr>
        <b/>
        <vertAlign val="subscript"/>
        <sz val="12"/>
        <color theme="1" tint="0.24994659260841701"/>
        <rFont val="Times New Roman"/>
        <family val="1"/>
      </rPr>
      <t>jf</t>
    </r>
  </si>
  <si>
    <t>5.3.1.1 1-2 Lime application CO2</t>
  </si>
  <si>
    <t>Table_E_lime</t>
  </si>
  <si>
    <t>Element</t>
  </si>
  <si>
    <t>M</t>
  </si>
  <si>
    <t>FracLime</t>
  </si>
  <si>
    <t>FracDol</t>
  </si>
  <si>
    <t>Elime</t>
  </si>
  <si>
    <r>
      <t>E</t>
    </r>
    <r>
      <rPr>
        <b/>
        <vertAlign val="subscript"/>
        <sz val="16"/>
        <color theme="1" tint="0.24994659260841701"/>
        <rFont val="Times New Roman"/>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</si>
  <si>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</si>
  <si>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</si>
  <si>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</si>
  <si>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</si>
  <si>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1"/>
        <color rgb="FF183C1B"/>
        <rFont val="Times New Roman"/>
        <family val="1"/>
      </rPr>
      <t>jf</t>
    </r>
  </si>
  <si>
    <t>Basis</t>
  </si>
  <si>
    <r>
      <t>FracGASF</t>
    </r>
    <r>
      <rPr>
        <b/>
        <vertAlign val="subscript"/>
        <sz val="11"/>
        <color rgb="FF183C1B"/>
        <rFont val="Times New Roman"/>
        <family val="1"/>
      </rPr>
      <t>f</t>
    </r>
  </si>
  <si>
    <r>
      <t>M</t>
    </r>
    <r>
      <rPr>
        <b/>
        <vertAlign val="subscript"/>
        <sz val="11"/>
        <color rgb="FF183C1B"/>
        <rFont val="Times New Roman"/>
        <family val="1"/>
      </rPr>
      <t>volinorganicjf</t>
    </r>
  </si>
  <si>
    <t>Table_E_ad_inorganic</t>
  </si>
  <si>
    <t>Atmospheric deposition emissions from inorganic fertiliser</t>
  </si>
  <si>
    <r>
      <t>E</t>
    </r>
    <r>
      <rPr>
        <b/>
        <vertAlign val="subscript"/>
        <sz val="11"/>
        <color rgb="FF183C1B"/>
        <rFont val="Times New Roman"/>
        <family val="1"/>
      </rPr>
      <t>ad,inorganic</t>
    </r>
  </si>
  <si>
    <r>
      <t>E</t>
    </r>
    <r>
      <rPr>
        <b/>
        <vertAlign val="subscript"/>
        <sz val="16"/>
        <color theme="1" tint="0.24994659260841701"/>
        <rFont val="Times New Roman"/>
        <family val="1"/>
      </rPr>
      <t>ad,inorganic</t>
    </r>
  </si>
  <si>
    <t>Table_M_vol_organic_j_f</t>
  </si>
  <si>
    <t>Mass of nitrogen volatilised from organic fertiliser applied</t>
  </si>
  <si>
    <r>
      <t>M</t>
    </r>
    <r>
      <rPr>
        <b/>
        <vertAlign val="subscript"/>
        <sz val="11"/>
        <color rgb="FF183C1B"/>
        <rFont val="Times New Roman"/>
        <family val="1"/>
      </rPr>
      <t>vol,organic,jf</t>
    </r>
  </si>
  <si>
    <t>Table_E_ad_organic</t>
  </si>
  <si>
    <t>Atmospheric deposition emissions from organic fertiliser</t>
  </si>
  <si>
    <r>
      <t>E</t>
    </r>
    <r>
      <rPr>
        <b/>
        <vertAlign val="subscript"/>
        <sz val="11"/>
        <color rgb="FF183C1B"/>
        <rFont val="Times New Roman"/>
        <family val="1"/>
      </rPr>
      <t>ad,organic</t>
    </r>
  </si>
  <si>
    <r>
      <t>E</t>
    </r>
    <r>
      <rPr>
        <b/>
        <vertAlign val="subscript"/>
        <sz val="16"/>
        <color theme="1" tint="0.24994659260841701"/>
        <rFont val="Times New Roman"/>
        <family val="1"/>
      </rPr>
      <t>ad,organic</t>
    </r>
  </si>
  <si>
    <t>5.5.1.1-2  Leaching and runoff</t>
  </si>
  <si>
    <t>Table_M_leach_inorganic_j</t>
  </si>
  <si>
    <t>Mass of nitrogen from inorganic fertiliser lost through leaching and runoff</t>
  </si>
  <si>
    <r>
      <t>M</t>
    </r>
    <r>
      <rPr>
        <b/>
        <vertAlign val="subscript"/>
        <sz val="11"/>
        <color rgb="FF183C1B"/>
        <rFont val="Times New Roman"/>
        <family val="1"/>
      </rPr>
      <t>leach,inorganic,j</t>
    </r>
  </si>
  <si>
    <r>
      <t>M</t>
    </r>
    <r>
      <rPr>
        <b/>
        <vertAlign val="subscript"/>
        <sz val="12"/>
        <color theme="1" tint="0.24994659260841701"/>
        <rFont val="Times New Roman"/>
        <family val="1"/>
      </rPr>
      <t>leach,inorganic,j</t>
    </r>
  </si>
  <si>
    <t>Table_M_leach_organic_j</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</si>
  <si>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</si>
  <si>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</si>
  <si>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</si>
  <si>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</si>
  <si>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Constants - Fertiliser</t>
  </si>
  <si>
    <t>FNinorganic f</t>
  </si>
  <si>
    <t>FU f</t>
  </si>
  <si>
    <t>Lifecycles Scope 3 definition</t>
  </si>
  <si>
    <t>Source</t>
  </si>
  <si>
    <t>Crop types</t>
  </si>
  <si>
    <t>Organic fertiliser types</t>
  </si>
  <si>
    <t>Organic fertiliser type</t>
  </si>
  <si>
    <t>Manure - Cattle</t>
  </si>
  <si>
    <t>Crop</t>
  </si>
  <si>
    <t>Grains</t>
  </si>
  <si>
    <t>Maize</t>
  </si>
  <si>
    <t>Manure - Swine</t>
  </si>
  <si>
    <t>FracGASF f</t>
  </si>
  <si>
    <t>P</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</si>
  <si>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</si>
  <si>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</si>
  <si>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</si>
  <si>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</si>
  <si>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</si>
  <si>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</si>
  <si>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</si>
  <si>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</si>
  <si>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</si>
  <si>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</si>
  <si>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</si>
  <si>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</si>
  <si>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</si>
  <si>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</si>
  <si>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</si>
  <si>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</si>
  <si>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</si>
  <si>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</si>
  <si>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</si>
  <si>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</si>
  <si>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</si>
  <si>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</si>
  <si>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</si>
  <si>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</si>
  <si>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</si>
  <si>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</si>
  <si>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</si>
  <si>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</si>
  <si>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</si>
  <si>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</si>
  <si>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</si>
  <si>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</si>
  <si>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</si>
  <si>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</si>
  <si>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</si>
  <si>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</si>
  <si>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</si>
  <si>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</si>
  <si>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</si>
  <si>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</si>
  <si>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</si>
  <si>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</si>
  <si>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</si>
  <si>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</si>
  <si>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</si>
  <si>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</si>
  <si>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Renewable Energy Certificates (RECs) for electricity produced on-site and consumed by the entity</t>
  </si>
  <si>
    <t>May 2022 generated</t>
  </si>
  <si>
    <t>Jul 24 certs generated</t>
  </si>
  <si>
    <t>Total elegible RECs for electricity produced on-site and consumed by entity</t>
  </si>
  <si>
    <t>14.1.1-2 Purchased Electricity</t>
  </si>
  <si>
    <r>
      <rPr>
        <b/>
        <sz val="16"/>
        <color theme="1" tint="0.24994659260841701"/>
        <rFont val="Times New Roman"/>
        <family val="1"/>
      </rPr>
      <t>E</t>
    </r>
    <r>
      <rPr>
        <b/>
        <vertAlign val="subscript"/>
        <sz val="16"/>
        <color theme="1" tint="0.24994659260841701"/>
        <rFont val="Times New Roman"/>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</si>
  <si>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</si>
  <si>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</si>
  <si>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</si>
  <si>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</si>
  <si>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</si>
  <si>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</si>
  <si>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</si>
  <si>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</si>
  <si>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</si>
  <si>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</si>
  <si>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</si>
  <si>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</si>
  <si>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</si>
  <si>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</si>
  <si>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</si>
  <si>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</si>
  <si>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</si>
  <si>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</si>
  <si>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</si>
  <si>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</si>
  <si>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</si>
  <si>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</si>
  <si>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</si>
  <si>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</si>
  <si>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</si>
  <si>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</si>
  <si>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</si>
  <si>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</si>
  <si>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</si>
  <si>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</si>
  <si>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</si>
  <si>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</si>
  <si>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</si>
  <si>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</si>
  <si>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</si>
  <si>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</si>
  <si>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</si>
  <si>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</si>
  <si>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</si>
  <si>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</si>
  <si>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</si>
  <si>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</si>
  <si>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</si>
  <si>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</si>
  <si>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</si>
  <si>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</si>
  <si>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</si>
  <si>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</si>
  <si>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</si>
  <si>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</si>
  <si>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</si>
  <si>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</si>
  <si>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</si>
  <si>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</si>
  <si>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</si>
  <si>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</si>
  <si>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</si>
  <si>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</si>
  <si>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</si>
  <si>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</si>
  <si>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</si>
  <si>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</si>
  <si>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</si>
  <si>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</si>
  <si>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</si>
  <si>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</si>
  <si>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</si>
  <si>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</si>
  <si>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</si>
  <si>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</si>
  <si>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</si>
  <si>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</si>
  <si>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</si>
  <si>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</si>
  <si>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</si>
  <si>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</si>
  <si>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</si>
  <si>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</si>
  <si>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</si>
  <si>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</si>
  <si>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</si>
  <si>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</si>
  <si>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</si>
  <si>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</si>
  <si>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</si>
  <si>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</si>
  <si>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</si>
  <si>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</si>
  <si>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</si>
  <si>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</si>
  <si>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</si>
  <si>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</si>
  <si>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</si>
  <si>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</si>
  <si>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</si>
  <si>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</si>
  <si>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</si>
  <si>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</si>
  <si>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</si>
  <si>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</si>
  <si>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</si>
  <si>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</si>
  <si>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</si>
  <si>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</si>
  <si>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</si>
  <si>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Refrigerants</t>
  </si>
  <si>
    <t>Refrigerants</t>
  </si>
  <si>
    <t>Refrigeration unit name</t>
  </si>
  <si>
    <t>Appliance type (select)</t>
  </si>
  <si>
    <t>Refrigerant used (select)</t>
  </si>
  <si>
    <t>Unit refrigerant gas capacity (kg)</t>
  </si>
  <si>
    <t>Number of units in use</t>
  </si>
  <si>
    <t>Cool room</t>
  </si>
  <si>
    <t>Domestic refrigerators</t>
  </si>
  <si>
    <t>R-402A</t>
  </si>
  <si>
    <t>Office air con units</t>
  </si>
  <si>
    <t>Domestic A/C split</t>
  </si>
  <si>
    <t>R-422B</t>
  </si>
  <si>
    <t>Car AC</t>
  </si>
  <si>
    <t>Light vehicle A/C</t>
  </si>
  <si>
    <t>R-400 60/40</t>
  </si>
  <si>
    <t>Storage AC</t>
  </si>
  <si>
    <t>Refrigerated trucks</t>
  </si>
  <si>
    <t>Transport refrigeration</t>
  </si>
  <si>
    <t>R-504</t>
  </si>
  <si>
    <t>9.1.1.1-2 Refrigerant use</t>
  </si>
  <si>
    <t>Table_E_R_Appliance</t>
  </si>
  <si>
    <t>Refrigerant leakage emissions by appliance</t>
  </si>
  <si>
    <t>Appliance type a</t>
  </si>
  <si>
    <t>Refrigerant blend R</t>
  </si>
  <si>
    <t>Total capacity</t>
  </si>
  <si>
    <t>Leakage rate (percent)</t>
  </si>
  <si>
    <r>
      <t>E</t>
    </r>
    <r>
      <rPr>
        <b/>
        <vertAlign val="subscript"/>
        <sz val="11"/>
        <color rgb="FF183C1B"/>
        <rFont val="Times New Roman"/>
        <family val="1"/>
      </rPr>
      <t>Ra</t>
    </r>
  </si>
  <si>
    <r>
      <t>E</t>
    </r>
    <r>
      <rPr>
        <b/>
        <vertAlign val="subscript"/>
        <sz val="11"/>
        <color rgb="FF183C1B"/>
        <rFont val="Times New Roman"/>
        <family val="1"/>
      </rPr>
      <t>R</t>
    </r>
  </si>
  <si>
    <t>Table_E_R</t>
  </si>
  <si>
    <t>Refrigerant leakage emisssions</t>
  </si>
  <si>
    <t>Table_E_CO2e</t>
  </si>
  <si>
    <t>Refrigerant leakage emisssions carbon dioxide equivalent</t>
  </si>
  <si>
    <t>Refrigerant GWP</t>
  </si>
  <si>
    <r>
      <t>E</t>
    </r>
    <r>
      <rPr>
        <b/>
        <vertAlign val="subscript"/>
        <sz val="11"/>
        <color rgb="FF183C1B"/>
        <rFont val="Times New Roman"/>
        <family val="1"/>
      </rPr>
      <t>CO2-e</t>
    </r>
  </si>
  <si>
    <r>
      <t>E</t>
    </r>
    <r>
      <rPr>
        <b/>
        <vertAlign val="subscript"/>
        <sz val="16"/>
        <color theme="1" tint="0.24994659260841701"/>
        <rFont val="Times New Roman"/>
        <family val="1"/>
      </rPr>
      <t>CO2e</t>
    </r>
  </si>
  <si>
    <t>Constants - Refrigerants</t>
  </si>
  <si>
    <t>Chemical formula</t>
  </si>
  <si>
    <t>Global warming potential (AR5)</t>
  </si>
  <si>
    <t>Gas - FC name</t>
  </si>
  <si>
    <t>Aditional data source</t>
  </si>
  <si>
    <t>Blend</t>
  </si>
  <si>
    <t>Constituents</t>
  </si>
  <si>
    <t>Composition (%)</t>
  </si>
  <si>
    <t>Blended refrigerants - Cleaned for calculations</t>
  </si>
  <si>
    <t>Constituent 1</t>
  </si>
  <si>
    <t>Constituent 2</t>
  </si>
  <si>
    <t>Constituent 3</t>
  </si>
  <si>
    <t>Constituent 4</t>
  </si>
  <si>
    <t>Constituent 1 fraction</t>
  </si>
  <si>
    <t>Constituent 2 fraction</t>
  </si>
  <si>
    <t>Constituent 3 fraction</t>
  </si>
  <si>
    <t>Constituent 4 fraction</t>
  </si>
  <si>
    <t>Constituent 1 GWP</t>
  </si>
  <si>
    <t>Constituent 2 GWP</t>
  </si>
  <si>
    <t>Constituent 3 GWP</t>
  </si>
  <si>
    <t>Constituent 4 GWP</t>
  </si>
  <si>
    <t>Blend GWP</t>
  </si>
  <si>
    <t>Annual leakage rate (%)</t>
  </si>
  <si>
    <t>Input - Solid waste</t>
  </si>
  <si>
    <t>Solid waste treatment</t>
  </si>
  <si>
    <t>Treatment type (select)</t>
  </si>
  <si>
    <t>Waste type (select)</t>
  </si>
  <si>
    <t>Treatment location (select)</t>
  </si>
  <si>
    <t>Amount</t>
  </si>
  <si>
    <t>Amount unit (select)</t>
  </si>
  <si>
    <t>Compost paper and cardboard on site (tonnes)</t>
  </si>
  <si>
    <t>Composting</t>
  </si>
  <si>
    <t>Paper and cardboard</t>
  </si>
  <si>
    <t>Removed and treated off-site</t>
  </si>
  <si>
    <t>Compost paper and cardboard on site (m3)</t>
  </si>
  <si>
    <t>Treated on-site</t>
  </si>
  <si>
    <t>cubic metres m3</t>
  </si>
  <si>
    <t>Compost food waste on site (tonnes)</t>
  </si>
  <si>
    <t>Food waste (including animal carcasses, spoiled animal feed or crop)</t>
  </si>
  <si>
    <t>Compost food waste on site (m3)</t>
  </si>
  <si>
    <t>Landfill food waste offsite (tonnes)</t>
  </si>
  <si>
    <t>Landfill</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</si>
  <si>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</si>
  <si>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</si>
  <si>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</si>
  <si>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</si>
  <si>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</si>
  <si>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</si>
  <si>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</si>
  <si>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</si>
  <si>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</si>
  <si>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</si>
  <si>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</si>
  <si>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</si>
  <si>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</si>
  <si>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t>
  </si>
  <si>
    <t>Incineration paper and cardboard on site (m3)</t>
  </si>
  <si>
    <t>Incineration green waste on site (tonnes)</t>
  </si>
  <si>
    <t>Incineration green waste on site (m3)</t>
  </si>
  <si>
    <t>Incineration green waste offsite (tonnes)</t>
  </si>
  <si>
    <t>Incineration green waste offsite (m3)</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</si>
  <si>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</si>
  <si>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</si>
  <si>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</si>
  <si>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</si>
  <si>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</si>
  <si>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</si>
  <si>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</si>
  <si>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</si>
  <si>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</si>
  <si>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</si>
  <si>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</si>
  <si>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</si>
  <si>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</si>
  <si>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</si>
  <si>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</si>
  <si>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</si>
  <si>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</si>
  <si>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</si>
  <si>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</si>
  <si>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</si>
  <si>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</si>
  <si>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</si>
  <si>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</si>
  <si>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</si>
  <si>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</si>
  <si>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</si>
  <si>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</si>
  <si>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</si>
  <si>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</si>
  <si>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Input - Pasture</t>
  </si>
  <si>
    <t>If multiple paddocks were managed in the same way at the same time, you can enter information for them all together.</t>
  </si>
  <si>
    <t>Pasture type</t>
  </si>
  <si>
    <t>Grass clover mixture</t>
  </si>
  <si>
    <t>← Please select</t>
  </si>
  <si>
    <t>Area under pasture</t>
  </si>
  <si>
    <t>Hectares</t>
  </si>
  <si>
    <t>Yield</t>
  </si>
  <si>
    <t>💡 'Pasture yield' is the average amount of dry matter that is grazed.</t>
  </si>
  <si>
    <t xml:space="preserve">       A default value is provided based on pasture type. You can edit this if known.</t>
  </si>
  <si>
    <t>Pasture yield</t>
  </si>
  <si>
    <t>Tonnes dry matter / hectare</t>
  </si>
  <si>
    <t>Total pasture yield</t>
  </si>
  <si>
    <t>Tonnes</t>
  </si>
  <si>
    <t>Residue management</t>
  </si>
  <si>
    <t>Area of pasture renewed or removed</t>
  </si>
  <si>
    <t>6.2.1.1-2 Return of pasture residue to soils</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</si>
  <si>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</si>
  <si>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</si>
  <si>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6.3.1.1-2 Leaching and run-off from pasture residues only</t>
  </si>
  <si>
    <t>M1_Table_M_leach_cp</t>
  </si>
  <si>
    <t>M2_Table_M_leach_cp</t>
  </si>
  <si>
    <t>Mass of nitrogen lost through leaching and runoff (Method 1)</t>
  </si>
  <si>
    <t>Mass of nitrogen lost through leaching and runoff (Method 2)</t>
  </si>
  <si>
    <t>Crop or pasture</t>
  </si>
  <si>
    <t>M_cp</t>
  </si>
  <si>
    <t>Irrigation</t>
  </si>
  <si>
    <t>FracWET_j</t>
  </si>
  <si>
    <t>M_leachcp</t>
  </si>
  <si>
    <t>Nitrous oxide leaching and runoff emissions (Method 1)</t>
  </si>
  <si>
    <t>E_N2O</t>
  </si>
  <si>
    <r>
      <t>E</t>
    </r>
    <r>
      <rPr>
        <b/>
        <vertAlign val="subscript"/>
        <sz val="16"/>
        <color theme="1"/>
        <rFont val="Times New Roman"/>
        <family val="1"/>
        <scheme val="minor"/>
      </rPr>
      <t>N2O</t>
    </r>
  </si>
  <si>
    <t>Constants - Agricultural residue</t>
  </si>
  <si>
    <t>Purpose</t>
  </si>
  <si>
    <t>Per hectare unit</t>
  </si>
  <si>
    <t>harvest term</t>
  </si>
  <si>
    <t>harvest endpoint</t>
  </si>
  <si>
    <t>Harvest uit</t>
  </si>
  <si>
    <t>Yield note</t>
  </si>
  <si>
    <t>Residue crop ratio note</t>
  </si>
  <si>
    <t>Total production note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</si>
  <si>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</si>
  <si>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</si>
  <si>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</si>
  <si>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</si>
  <si>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</si>
  <si>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</si>
  <si>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</si>
  <si>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</si>
  <si>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Climate zone type i</t>
  </si>
  <si>
    <t>EF i N2O</t>
  </si>
  <si>
    <t>Average Yield (t DM ha) Yp</t>
  </si>
  <si>
    <t>Below-ground: above-ground residue ratio RBGp</t>
  </si>
  <si>
    <t>N content Above-ground NCAGp</t>
  </si>
  <si>
    <t>N content Below-ground NCBGp</t>
  </si>
  <si>
    <t>Fraction of pasture yield that is removed FFODp</t>
  </si>
  <si>
    <t>Gas species</t>
  </si>
  <si>
    <t>Emission factor EFg (Gg element in species/ Gg element in fuel burnt)</t>
  </si>
  <si>
    <t>Elemental to molecular mass conversion factor (Cg)</t>
  </si>
  <si>
    <t>Crop type c</t>
  </si>
  <si>
    <t>Fraction removed</t>
  </si>
  <si>
    <t>Input - Dairy Cattle Purchases</t>
  </si>
  <si>
    <t>⚠️ Livestock sales and purchases are not automatically reflected in the duration and head count tables - you will need to manually adjust head count, duration and average liveweight</t>
  </si>
  <si>
    <t>Breed (select)</t>
  </si>
  <si>
    <t>Quantity (head)</t>
  </si>
  <si>
    <t>Liveweight (kg/head) Method 1</t>
  </si>
  <si>
    <t>Liveweight (kg/head) Method 2</t>
  </si>
  <si>
    <t>Dairy cows from Denise</t>
  </si>
  <si>
    <t>Jersey crossbred</t>
  </si>
  <si>
    <t>Ayrshire</t>
  </si>
  <si>
    <t>Input - Common farm inputs</t>
  </si>
  <si>
    <t>Cleaning chemicals</t>
  </si>
  <si>
    <t>Product name</t>
  </si>
  <si>
    <t>Type (select)</t>
  </si>
  <si>
    <t>Quantity purchased (kg)</t>
  </si>
  <si>
    <t>Acid kleen</t>
  </si>
  <si>
    <t>Phosphoric acid</t>
  </si>
  <si>
    <t>Kleen alk</t>
  </si>
  <si>
    <t>Alkaline cleaner</t>
  </si>
  <si>
    <t>White king</t>
  </si>
  <si>
    <t>Bleach</t>
  </si>
  <si>
    <t>Services and contractors</t>
  </si>
  <si>
    <t>Service provider / contractor</t>
  </si>
  <si>
    <t>Activity</t>
  </si>
  <si>
    <t>Total amount</t>
  </si>
  <si>
    <t>Pete's Pickers</t>
  </si>
  <si>
    <t>Fruit picking</t>
  </si>
  <si>
    <t>Hour</t>
  </si>
  <si>
    <t>Harini's Harvesting Services Pty Ltd</t>
  </si>
  <si>
    <t>Wheat harvesting</t>
  </si>
  <si>
    <t>Hectare</t>
  </si>
  <si>
    <t>Uncategorised products</t>
  </si>
  <si>
    <t>Product / service name</t>
  </si>
  <si>
    <t>Something</t>
  </si>
  <si>
    <t>Input - Crop and pasture farm inputs</t>
  </si>
  <si>
    <t>Pesticides</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</si>
  <si>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</si>
  <si>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</si>
  <si>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</si>
  <si>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</si>
  <si>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</si>
  <si>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Constituent unit (select)</t>
  </si>
  <si>
    <t>Active ingredient 1 (select)</t>
  </si>
  <si>
    <t>Active ingredient 1 amount</t>
  </si>
  <si>
    <t>Total active ingredient 1 (kg)</t>
  </si>
  <si>
    <t>Active ingredient 2 (select)</t>
  </si>
  <si>
    <t>Active ingredient 2 amount</t>
  </si>
  <si>
    <t>Total active ingredient 2 (kg)</t>
  </si>
  <si>
    <t>Active ingredient 3 (select)</t>
  </si>
  <si>
    <t>Active ingredient 3 amount</t>
  </si>
  <si>
    <t>Total active ingredient 3 (kg)</t>
  </si>
  <si>
    <t>QA MCPA + Picloram SL Herbicide</t>
  </si>
  <si>
    <t>grams/litre or grams/kg</t>
  </si>
  <si>
    <t>Pesticides (generic)</t>
  </si>
  <si>
    <t>Glyphosate</t>
  </si>
  <si>
    <t>Heben Propiconazole 550EC Fungicide</t>
  </si>
  <si>
    <t>litre / hectare</t>
  </si>
  <si>
    <t>2,4-D</t>
  </si>
  <si>
    <t>Tribenuron methyl</t>
  </si>
  <si>
    <t>NovaGuard Boscalid 500 WG Fungicide</t>
  </si>
  <si>
    <t>Metolachlor</t>
  </si>
  <si>
    <t>Trifluralin</t>
  </si>
  <si>
    <t>Seed</t>
  </si>
  <si>
    <t>Input - Livestock farm inputs</t>
  </si>
  <si>
    <t>Feed</t>
  </si>
  <si>
    <t>Lick blocks</t>
  </si>
  <si>
    <t>Feed rations</t>
  </si>
  <si>
    <t>Purchased feed blends for livestock</t>
  </si>
  <si>
    <t>Feed blend name</t>
  </si>
  <si>
    <t>Amount fed (kg)</t>
  </si>
  <si>
    <t>Ingredient 1 source region</t>
  </si>
  <si>
    <t>Ingredient 2 (select)</t>
  </si>
  <si>
    <t>Ingredient 2 source region</t>
  </si>
  <si>
    <t>Ingredient 3 (select)</t>
  </si>
  <si>
    <t>Ingredient 3 source region</t>
  </si>
  <si>
    <t>Ingredient 4 (select)</t>
  </si>
  <si>
    <t>Ingredient 4 source region</t>
  </si>
  <si>
    <t>Cereal silage</t>
  </si>
  <si>
    <t>Cereal hay</t>
  </si>
  <si>
    <t>Canola oil</t>
  </si>
  <si>
    <t>Australia</t>
  </si>
  <si>
    <t>Molasses</t>
  </si>
  <si>
    <t>Lucerne hay</t>
  </si>
  <si>
    <t>Hay bales in paddock</t>
  </si>
  <si>
    <t>Wheat grain</t>
  </si>
  <si>
    <t>Soybean meal</t>
  </si>
  <si>
    <t>Brazil</t>
  </si>
  <si>
    <t>Pasture hay</t>
  </si>
  <si>
    <t>Livestock pharmacy chemicals</t>
  </si>
  <si>
    <t>Number of head treated</t>
  </si>
  <si>
    <t>Cow bug off</t>
  </si>
  <si>
    <t>Parasite control for cattle (external), dipping</t>
  </si>
  <si>
    <t>Cow worm-away</t>
  </si>
  <si>
    <t>Parasite control for cattle (internal)</t>
  </si>
  <si>
    <t>Sheep bug off</t>
  </si>
  <si>
    <t>Parasite control for sheep (external)</t>
  </si>
  <si>
    <t>Sheep worm-away</t>
  </si>
  <si>
    <t>Parasite control for sheep (internal)</t>
  </si>
  <si>
    <t>Miscellaneous inputs</t>
  </si>
  <si>
    <t>tags</t>
  </si>
  <si>
    <t>Input - Freight</t>
  </si>
  <si>
    <t>Incoming freight</t>
  </si>
  <si>
    <t>Route name</t>
  </si>
  <si>
    <t>Freight type (select)</t>
  </si>
  <si>
    <t>Route distance (km)</t>
  </si>
  <si>
    <t>Average weight of freight per trip (t)</t>
  </si>
  <si>
    <t>Number of trips taken</t>
  </si>
  <si>
    <t>Melbourne depot to farm depot weekly</t>
  </si>
  <si>
    <t>Transport in truck</t>
  </si>
  <si>
    <t>Fertiliser supplier to farm</t>
  </si>
  <si>
    <t>Rail</t>
  </si>
  <si>
    <t>Outgoing freight</t>
  </si>
  <si>
    <t>Farm to bulk handler</t>
  </si>
  <si>
    <t>Input - Manure sent off-site</t>
  </si>
  <si>
    <t>Manure sent off-site</t>
  </si>
  <si>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</si>
  <si>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</si>
  <si>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Mass of Nitrogen from manure sent offsite (MNSoil) - Method 1</t>
  </si>
  <si>
    <t>kg N</t>
  </si>
  <si>
    <t>Mass of Nitrogen from manure sent offsite (MNSoil) - Method 2</t>
  </si>
  <si>
    <t>Production system where manure is anticipated to be deposited</t>
  </si>
  <si>
    <t>Irrigation method where manure is anticipated to be deposited</t>
  </si>
  <si>
    <t>15 Scope 3 emissions</t>
  </si>
  <si>
    <t>Scope 3 emissions are calculated on a maximum of 10 livestock purchases for each category</t>
  </si>
  <si>
    <t>Beef cattle</t>
  </si>
  <si>
    <t>Transaction description</t>
  </si>
  <si>
    <t>Livestock type c</t>
  </si>
  <si>
    <t>Origin o</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</si>
  <si>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</si>
  <si>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</si>
  <si>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EF</t>
    </r>
    <r>
      <rPr>
        <b/>
        <vertAlign val="subscript"/>
        <sz val="11"/>
        <color rgb="FF183C1B"/>
        <rFont val="Times New Roman"/>
        <family val="1"/>
      </rPr>
      <t>co</t>
    </r>
    <r>
      <rPr>
        <b/>
        <sz val="11"/>
        <color rgb="FF183C1B"/>
        <rFont val="Times New Roman"/>
        <family val="1"/>
      </rPr>
      <t xml:space="preserve"> (Method 1)</t>
    </r>
  </si>
  <si>
    <t>E (Method 1)</t>
  </si>
  <si>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</si>
  <si>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533001"/>
        <rFont val="Times New Roman"/>
        <family val="1"/>
      </rPr>
      <t>co</t>
    </r>
    <r>
      <rPr>
        <b/>
        <sz val="11"/>
        <color rgb="FF533001"/>
        <rFont val="Times New Roman"/>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</si>
  <si>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</si>
  <si>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</si>
  <si>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</si>
  <si>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</si>
  <si>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</si>
  <si>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</si>
  <si>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</si>
  <si>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</si>
  <si>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</si>
  <si>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r>
      <t>EF</t>
    </r>
    <r>
      <rPr>
        <vertAlign val="subscript"/>
        <sz val="10"/>
        <color theme="1" tint="0.34998626667073579"/>
        <rFont val="Times New Roman"/>
        <family val="1"/>
      </rPr>
      <t>co</t>
    </r>
    <r>
      <rPr>
        <sz val="10"/>
        <color theme="1" tint="0.34998626667073579"/>
        <rFont val="Times New Roman"/>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</si>
  <si>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</si>
  <si>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</si>
  <si>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</si>
  <si>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</si>
  <si>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</si>
  <si>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</si>
  <si>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</si>
  <si>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</si>
  <si>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</si>
  <si>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</si>
  <si>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</si>
  <si>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</si>
  <si>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</si>
  <si>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</si>
  <si>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1"/>
        <color rgb="FF533001"/>
        <rFont val="Times New Roman"/>
        <family val="1"/>
      </rPr>
      <t>j</t>
    </r>
  </si>
  <si>
    <r>
      <t>EF</t>
    </r>
    <r>
      <rPr>
        <b/>
        <vertAlign val="subscript"/>
        <sz val="11"/>
        <color rgb="FF183C1B"/>
        <rFont val="Times New Roman"/>
        <family val="1"/>
      </rPr>
      <t>j</t>
    </r>
    <r>
      <rPr>
        <b/>
        <sz val="11"/>
        <color rgb="FF183C1B"/>
        <rFont val="Times New Roman"/>
        <family val="1"/>
      </rPr>
      <t xml:space="preserve"> (Method 1)</t>
    </r>
  </si>
  <si>
    <r>
      <t>EF</t>
    </r>
    <r>
      <rPr>
        <b/>
        <vertAlign val="subscript"/>
        <sz val="11"/>
        <color rgb="FF533001"/>
        <rFont val="Times New Roman"/>
        <family val="1"/>
      </rPr>
      <t>j</t>
    </r>
    <r>
      <rPr>
        <b/>
        <sz val="11"/>
        <color rgb="FF533001"/>
        <rFont val="Times New Roman"/>
        <family val="1"/>
      </rPr>
      <t xml:space="preserve"> (Method 2)</t>
    </r>
  </si>
  <si>
    <t>Ingredient 1 source</t>
  </si>
  <si>
    <t>Ingredient 1 EF</t>
  </si>
  <si>
    <t>Ingredient 2 source</t>
  </si>
  <si>
    <t>Ingredient 2 EF</t>
  </si>
  <si>
    <t>Ingredient 3 source</t>
  </si>
  <si>
    <t>Ingredient 3 EF</t>
  </si>
  <si>
    <t>Ingredient 4 source</t>
  </si>
  <si>
    <t>Ingredient 4 EF</t>
  </si>
  <si>
    <t>Aquaculture and wild catch fieshery feed and bait</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</si>
  <si>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</si>
  <si>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</si>
  <si>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</si>
  <si>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Branded fertiliser product purchases</t>
  </si>
  <si>
    <t>Scope 3 emissions are calculated on a maximum of 20 branded fertiliser product purchases</t>
  </si>
  <si>
    <t>Total amount (kg)</t>
  </si>
  <si>
    <r>
      <t>EF</t>
    </r>
    <r>
      <rPr>
        <b/>
        <vertAlign val="subscript"/>
        <sz val="11"/>
        <color rgb="FF183C1B"/>
        <rFont val="Times New Roman"/>
        <family val="1"/>
      </rPr>
      <t>f</t>
    </r>
    <r>
      <rPr>
        <b/>
        <sz val="11"/>
        <color rgb="FF183C1B"/>
        <rFont val="Times New Roman"/>
        <family val="1"/>
      </rPr>
      <t xml:space="preserve"> (Method 1)</t>
    </r>
  </si>
  <si>
    <t>E- Product (Method 1)</t>
  </si>
  <si>
    <t>E - Fertiliser components (Method 1)</t>
  </si>
  <si>
    <r>
      <t>EF</t>
    </r>
    <r>
      <rPr>
        <b/>
        <vertAlign val="subscript"/>
        <sz val="11"/>
        <color rgb="FF533001"/>
        <rFont val="Times New Roman"/>
        <family val="1"/>
      </rPr>
      <t>f</t>
    </r>
    <r>
      <rPr>
        <b/>
        <sz val="11"/>
        <color rgb="FF533001"/>
        <rFont val="Times New Roman"/>
        <family val="1"/>
      </rPr>
      <t xml:space="preserve"> (Method 2)</t>
    </r>
  </si>
  <si>
    <t>E- Product (Method 2)</t>
  </si>
  <si>
    <t>E - Fertiliser components (Method 2)</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</si>
  <si>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</si>
  <si>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</si>
  <si>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</si>
  <si>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</si>
  <si>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</si>
  <si>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</si>
  <si>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</si>
  <si>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</si>
  <si>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</si>
  <si>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</si>
  <si>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</si>
  <si>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</si>
  <si>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</si>
  <si>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</si>
  <si>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</si>
  <si>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</si>
  <si>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</si>
  <si>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</si>
  <si>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</si>
  <si>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</si>
  <si>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</si>
  <si>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</si>
  <si>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</si>
  <si>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</si>
  <si>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t>Total amount (t)</t>
  </si>
  <si>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</si>
  <si>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</si>
  <si>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</si>
  <si>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t>E(Method 2)</t>
  </si>
  <si>
    <t>VEERG_15_7_1_1__1_EmissionsFromPurchasedServices_Result_Method1</t>
  </si>
  <si>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</si>
  <si>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t>Product EF (Method 1)</t>
  </si>
  <si>
    <t>Scope 3 (Method 1)</t>
  </si>
  <si>
    <t>Product EF (Method 2)</t>
  </si>
  <si>
    <t>Scope 3 (Method 2)</t>
  </si>
  <si>
    <t>Scope 3 unit</t>
  </si>
  <si>
    <t>No data</t>
  </si>
  <si>
    <t>Primary material</t>
  </si>
  <si>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</si>
  <si>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</si>
  <si>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</si>
  <si>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 type</t>
  </si>
  <si>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</si>
  <si>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</si>
  <si>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</si>
  <si>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</si>
  <si>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</si>
  <si>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EF (Method 1)</t>
  </si>
  <si>
    <t>EF (Method 2)</t>
  </si>
  <si>
    <t>Amount (kg)</t>
  </si>
  <si>
    <t>Miscellaneous Inputs</t>
  </si>
  <si>
    <t>Uncategorised products with no Method 1 EF data</t>
  </si>
  <si>
    <t>EF (Method 2) Unit</t>
  </si>
  <si>
    <t>t / amount unit</t>
  </si>
  <si>
    <t>E</t>
  </si>
  <si>
    <r>
      <t>E</t>
    </r>
    <r>
      <rPr>
        <b/>
        <vertAlign val="subscript"/>
        <sz val="14"/>
        <color theme="1" tint="0.24994659260841701"/>
        <rFont val="Times New Roman"/>
        <family val="1"/>
      </rPr>
      <t>3,elec</t>
    </r>
  </si>
  <si>
    <t>Route</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</si>
  <si>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</si>
  <si>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</si>
  <si>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</si>
  <si>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E - Incoming freight (Method 1)</t>
  </si>
  <si>
    <t>E - Incoming freight (Method 2)</t>
  </si>
  <si>
    <t>E - Outgoing freight (Method 1)</t>
  </si>
  <si>
    <t>E - Outgoing freight (Method 2)</t>
  </si>
  <si>
    <t>Calcs - Manure sent off-site</t>
  </si>
  <si>
    <r>
      <t>M</t>
    </r>
    <r>
      <rPr>
        <b/>
        <vertAlign val="subscript"/>
        <sz val="12"/>
        <color theme="1" tint="0.24994659260841701"/>
        <rFont val="Times New Roman"/>
        <family val="1"/>
      </rPr>
      <t>vol,inorganic,jf</t>
    </r>
  </si>
  <si>
    <r>
      <t>M</t>
    </r>
    <r>
      <rPr>
        <b/>
        <vertAlign val="subscript"/>
        <sz val="12"/>
        <color theme="1" tint="0.24994659260841701"/>
        <rFont val="Times New Roman"/>
        <family val="1"/>
      </rPr>
      <t>leach,inorganic,jf</t>
    </r>
  </si>
  <si>
    <t>Animals</t>
  </si>
  <si>
    <t>Table_ProductRegions_Beefcattle</t>
  </si>
  <si>
    <t>Category</t>
  </si>
  <si>
    <t>Region of origin</t>
  </si>
  <si>
    <t>Quantity Unit</t>
  </si>
  <si>
    <t>Emissions intensity</t>
  </si>
  <si>
    <t>System boundary</t>
  </si>
  <si>
    <t>Region</t>
  </si>
  <si>
    <t>Scope3 region</t>
  </si>
  <si>
    <t>GHGEI-MIAFF</t>
  </si>
  <si>
    <t>WA - South west</t>
  </si>
  <si>
    <t>WA - Pilbara</t>
  </si>
  <si>
    <t>WA - Kimberley</t>
  </si>
  <si>
    <t>NT - Alice Springs</t>
  </si>
  <si>
    <t>NT - Barkly</t>
  </si>
  <si>
    <t>NT - Northern</t>
  </si>
  <si>
    <t>QLD - High</t>
  </si>
  <si>
    <t>QLD - Moderate/High</t>
  </si>
  <si>
    <t>QLD - Moderate/Low</t>
  </si>
  <si>
    <t>QLD - Low</t>
  </si>
  <si>
    <t>Chemicals</t>
  </si>
  <si>
    <t>Inorganic fertilisers</t>
  </si>
  <si>
    <t>Quantity</t>
  </si>
  <si>
    <t>Other agricultural inputs</t>
  </si>
  <si>
    <t>Packaging</t>
  </si>
  <si>
    <t>Soil ameliorants</t>
  </si>
  <si>
    <t>Fish feed and bait</t>
  </si>
  <si>
    <t>VEERG</t>
  </si>
  <si>
    <t>Constants - Livestock</t>
  </si>
  <si>
    <t>Symbol</t>
  </si>
  <si>
    <t>Manure management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</si>
</sst>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F800]dddd\,\ mmmm\ dd\,\ yyyy"/>
    <numFmt numFmtId="171" formatCode="0.00000000000"/>
    <numFmt numFmtId="172" formatCode="0.0%"/>
    <numFmt numFmtId="173" formatCode="0.0000%"/>
    <numFmt numFmtId="174" formatCode="0.000000E+00"/>
    <numFmt numFmtId="175" formatCode="[$-C09]d\ mmmm\ yyyy;@"/>
    <numFmt numFmtId="176" formatCode="0.00000"/>
  </numFmts>
  <fonts count="91" x14ac:knownFonts="1">
    <font>
      <sz val="11"/>
      <color theme="1"/>
      <name val="Times New Roman"/>
      <family val="2"/>
      <scheme val="minor"/>
    </font>
    <font>
      <sz val="12"/>
      <color theme="1"/>
      <name val="Times New Roman"/>
      <family val="2"/>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9"/>
      <color rgb="FF404040"/>
      <name val="Times New Roman"/>
      <family val="1"/>
    </font>
    <font>
      <b/>
      <sz val="20"/>
      <color rgb="FF0C769E"/>
      <name val="Times New Roman"/>
      <family val="1"/>
    </font>
    <font>
      <b/>
      <sz val="16"/>
      <color theme="1" tint="0.24994659260841701"/>
      <name val="Times New Roman"/>
      <family val="1"/>
    </font>
    <font>
      <i/>
      <sz val="16"/>
      <color theme="1" tint="0.34998626667073579"/>
      <name val="Times New Roman"/>
      <family val="1"/>
    </font>
    <font>
      <sz val="16"/>
      <color theme="1" tint="0.24994659260841701"/>
      <name val="Times New Roman"/>
      <family val="1"/>
    </font>
    <font>
      <b/>
      <sz val="12"/>
      <color theme="1"/>
      <name val="Times New Roman"/>
      <family val="2"/>
    </font>
    <font>
      <sz val="11"/>
      <color theme="1"/>
      <name val="Times New Roman"/>
      <family val="2"/>
    </font>
    <font>
      <b/>
      <sz val="22"/>
      <color theme="5" tint="-0.499984740745262"/>
      <name val="Times New Roman"/>
      <family val="1"/>
    </font>
    <font>
      <i/>
      <sz val="10"/>
      <color theme="1" tint="0.14999847407452621"/>
      <name val="Times New Roman"/>
      <family val="1"/>
      <scheme val="minor"/>
    </font>
    <font>
      <b/>
      <sz val="12"/>
      <color theme="1" tint="0.499984740745262"/>
      <name val="Times New Roman"/>
      <family val="1"/>
    </font>
    <font>
      <sz val="10"/>
      <color theme="1" tint="0.499984740745262"/>
      <name val="Times New Roman"/>
      <family val="1"/>
    </font>
    <font>
      <b/>
      <vertAlign val="subscript"/>
      <sz val="11"/>
      <color rgb="FF183C1B"/>
      <name val="Times New Roman"/>
      <family val="1"/>
    </font>
    <font>
      <vertAlign val="subscript"/>
      <sz val="12"/>
      <color theme="1" tint="0.24994659260841701"/>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11"/>
      <color theme="1"/>
      <name val="Times New Roman"/>
      <family val="2"/>
      <scheme val="minor"/>
    </font>
    <font>
      <sz val="11"/>
      <name val="Times New Roman"/>
      <family val="1"/>
    </font>
    <font>
      <sz val="12"/>
      <name val="Times New Roman"/>
      <family val="1"/>
    </font>
    <font>
      <b/>
      <sz val="10"/>
      <color theme="1" tint="0.14999847407452621"/>
      <name val="Times New Roman"/>
      <family val="1"/>
    </font>
    <font>
      <b/>
      <vertAlign val="subscript"/>
      <sz val="11"/>
      <color rgb="FF533001"/>
      <name val="Times New Roman"/>
      <family val="1"/>
    </font>
    <font>
      <b/>
      <i/>
      <sz val="12"/>
      <color rgb="FFCC6600"/>
      <name val="Times New Roman"/>
      <family val="1"/>
    </font>
    <font>
      <sz val="9"/>
      <name val="Times New Roman"/>
      <family val="1"/>
    </font>
    <font>
      <sz val="9"/>
      <color theme="1"/>
      <name val="Times New Roman"/>
      <family val="2"/>
      <scheme val="minor"/>
    </font>
    <font>
      <b/>
      <sz val="10"/>
      <color theme="1" tint="0.34998626667073579"/>
      <name val="Times New Roman"/>
      <family val="1"/>
    </font>
    <font>
      <sz val="16"/>
      <name val="Times New Roman"/>
      <family val="1"/>
    </font>
    <font>
      <sz val="10"/>
      <color theme="1"/>
      <name val="Times New Roman"/>
      <family val="2"/>
      <scheme val="minor"/>
    </font>
    <font>
      <b/>
      <sz val="9"/>
      <name val="Times New Roman"/>
      <family val="1"/>
    </font>
    <font>
      <b/>
      <sz val="11"/>
      <color theme="1"/>
      <name val="Times New Roman"/>
      <family val="2"/>
    </font>
    <font>
      <b/>
      <sz val="11"/>
      <color theme="1"/>
      <name val="Times New Roman"/>
      <family val="1"/>
      <scheme val="minor"/>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
      <sz val="14"/>
      <color theme="5"/>
      <name val="Times New Roman"/>
      <family val="1"/>
    </font>
    <font>
      <b/>
      <vertAlign val="subscript"/>
      <sz val="12"/>
      <color theme="1"/>
      <name val="Times New Roman"/>
      <family val="1"/>
    </font>
    <font>
      <vertAlign val="subscript"/>
      <sz val="10"/>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b/>
      <vertAlign val="subscript"/>
      <sz val="14"/>
      <color theme="1" tint="0.24994659260841701"/>
      <name val="Times New Roman"/>
      <family val="1"/>
    </font>
    <font>
      <b/>
      <vertAlign val="superscript"/>
      <sz val="11"/>
      <color rgb="FF183C1B"/>
      <name val="Times New Roman"/>
      <family val="1"/>
    </font>
  </fonts>
  <fills count="18">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EBC1"/>
        <bgColor indexed="64"/>
      </patternFill>
    </fill>
  </fills>
  <borders count="3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3" tint="0.749961851863155"/>
      </left>
      <right style="thin">
        <color theme="3" tint="0.749961851863155"/>
      </right>
      <top style="thin">
        <color theme="3" tint="0.749961851863155"/>
      </top>
      <bottom/>
      <diagonal/>
    </border>
  </borders>
  <cellStyleXfs count="73">
    <xf numFmtId="0" fontId="0" fillId="0" borderId="0"/>
    <xf numFmtId="0" fontId="6" fillId="2" borderId="0">
      <alignment horizontal="left" vertical="center" indent="1"/>
      <protection locked="0"/>
    </xf>
    <xf numFmtId="0" fontId="5" fillId="0" borderId="0"/>
    <xf numFmtId="0" fontId="2" fillId="0" borderId="0">
      <alignment vertical="center"/>
    </xf>
    <xf numFmtId="0" fontId="17" fillId="3" borderId="0">
      <alignment vertical="center"/>
    </xf>
    <xf numFmtId="0" fontId="26" fillId="4" borderId="0">
      <alignment horizontal="left" vertical="center"/>
    </xf>
    <xf numFmtId="0" fontId="30" fillId="4" borderId="0">
      <alignment vertical="center"/>
    </xf>
    <xf numFmtId="0" fontId="4" fillId="4" borderId="0">
      <alignment horizontal="left" vertical="center"/>
    </xf>
    <xf numFmtId="0" fontId="28" fillId="4" borderId="0">
      <alignment horizontal="left" vertical="center"/>
    </xf>
    <xf numFmtId="0" fontId="6" fillId="2" borderId="0">
      <alignment horizontal="center" vertical="center"/>
    </xf>
    <xf numFmtId="164" fontId="9" fillId="4" borderId="0">
      <alignment horizontal="center" vertical="center"/>
    </xf>
    <xf numFmtId="9" fontId="9" fillId="4" borderId="0">
      <alignment horizontal="center" vertical="center"/>
    </xf>
    <xf numFmtId="0" fontId="7" fillId="4" borderId="0">
      <alignment horizontal="left" vertical="center" indent="1"/>
    </xf>
    <xf numFmtId="0" fontId="8" fillId="4" borderId="0">
      <alignment horizontal="right" vertical="center"/>
    </xf>
    <xf numFmtId="0" fontId="3" fillId="0" borderId="2">
      <alignment horizontal="center" vertical="center"/>
    </xf>
    <xf numFmtId="0" fontId="4" fillId="12" borderId="2">
      <alignment horizontal="center" vertical="center"/>
    </xf>
    <xf numFmtId="9" fontId="3" fillId="0" borderId="2">
      <alignment horizontal="center" vertical="center"/>
    </xf>
    <xf numFmtId="4" fontId="3" fillId="0" borderId="2">
      <alignment horizontal="center" vertical="center"/>
    </xf>
    <xf numFmtId="3" fontId="3"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7" fillId="4" borderId="3">
      <alignment horizontal="left" vertical="center" indent="1"/>
    </xf>
    <xf numFmtId="164" fontId="9" fillId="4" borderId="3">
      <alignment horizontal="center" vertical="center"/>
    </xf>
    <xf numFmtId="0" fontId="4" fillId="4" borderId="3">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3" fillId="0" borderId="0">
      <alignment horizontal="left" vertical="center" indent="1"/>
    </xf>
    <xf numFmtId="0" fontId="18" fillId="9" borderId="4">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2" fillId="0" borderId="0">
      <alignment horizontal="left" vertical="center" indent="2"/>
    </xf>
    <xf numFmtId="0" fontId="31" fillId="13" borderId="5">
      <alignment horizontal="left" vertical="center"/>
    </xf>
    <xf numFmtId="3" fontId="24" fillId="4" borderId="2">
      <alignment horizontal="center" vertical="center"/>
    </xf>
    <xf numFmtId="167" fontId="3" fillId="0" borderId="2">
      <alignment horizontal="center" vertical="center"/>
    </xf>
    <xf numFmtId="0" fontId="25" fillId="0" borderId="0"/>
    <xf numFmtId="0" fontId="10" fillId="0" borderId="0"/>
    <xf numFmtId="0" fontId="25" fillId="0" borderId="0"/>
    <xf numFmtId="166" fontId="24" fillId="4" borderId="2">
      <alignment horizontal="center" vertical="center"/>
    </xf>
    <xf numFmtId="4" fontId="24" fillId="4" borderId="2">
      <alignment horizontal="center" vertical="center"/>
    </xf>
    <xf numFmtId="0" fontId="35" fillId="4" borderId="0">
      <alignment horizontal="left" vertical="center"/>
    </xf>
    <xf numFmtId="0" fontId="27" fillId="4" borderId="0" applyNumberFormat="0">
      <alignment horizontal="center" vertical="center"/>
    </xf>
    <xf numFmtId="165" fontId="24" fillId="4" borderId="2">
      <alignment horizontal="center" vertical="center"/>
    </xf>
    <xf numFmtId="0" fontId="23" fillId="4" borderId="0">
      <alignment horizontal="left" vertical="center"/>
    </xf>
    <xf numFmtId="168" fontId="24" fillId="4" borderId="2">
      <alignment horizontal="center" vertical="center"/>
    </xf>
    <xf numFmtId="0" fontId="24" fillId="4" borderId="2">
      <alignment horizontal="center" vertical="center"/>
    </xf>
    <xf numFmtId="0" fontId="7" fillId="4" borderId="0">
      <alignment horizontal="left" vertical="center"/>
    </xf>
    <xf numFmtId="0" fontId="29" fillId="4" borderId="0">
      <alignment horizontal="left" vertical="center"/>
    </xf>
    <xf numFmtId="0" fontId="10" fillId="0" borderId="0"/>
    <xf numFmtId="0" fontId="3" fillId="0" borderId="2">
      <alignment horizontal="center" vertical="center"/>
    </xf>
    <xf numFmtId="0" fontId="33" fillId="4" borderId="0">
      <alignment horizontal="left" vertical="center"/>
    </xf>
    <xf numFmtId="0" fontId="34" fillId="4" borderId="0">
      <alignment horizontal="left" vertical="center"/>
    </xf>
    <xf numFmtId="0" fontId="36" fillId="4" borderId="0">
      <alignment horizontal="left" vertical="center"/>
    </xf>
    <xf numFmtId="0" fontId="32" fillId="11" borderId="0">
      <alignment horizontal="center" vertical="center"/>
    </xf>
    <xf numFmtId="0" fontId="21" fillId="11" borderId="0">
      <alignment horizontal="left" vertical="center" indent="1"/>
    </xf>
    <xf numFmtId="0" fontId="37" fillId="4" borderId="2">
      <alignment horizontal="left" vertical="center"/>
    </xf>
    <xf numFmtId="0" fontId="24" fillId="4" borderId="2">
      <alignment horizontal="left" vertical="center"/>
    </xf>
    <xf numFmtId="0" fontId="38" fillId="14" borderId="2">
      <alignment horizontal="center" vertical="center"/>
    </xf>
    <xf numFmtId="0" fontId="39" fillId="15" borderId="2">
      <alignment horizontal="center" vertical="center"/>
    </xf>
    <xf numFmtId="0" fontId="40"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0" fontId="59" fillId="0" borderId="0"/>
    <xf numFmtId="0" fontId="1" fillId="0" borderId="0"/>
    <xf numFmtId="0" fontId="83" fillId="4" borderId="0">
      <alignment horizontal="left" vertical="center"/>
    </xf>
    <xf numFmtId="0" fontId="39" fillId="17" borderId="2">
      <alignment horizontal="center" vertical="center"/>
    </xf>
  </cellStyleXfs>
  <cellXfs count="282">
    <xf numFmtId="0" fontId="0" fillId="0" borderId="0" xfId="0"/>
    <xf numFmtId="0" fontId="28" fillId="4" borderId="0" xfId="8">
      <alignment horizontal="left" vertical="center"/>
    </xf>
    <xf numFmtId="0" fontId="26" fillId="4" borderId="0" xfId="5">
      <alignment horizontal="left" vertical="center"/>
    </xf>
    <xf numFmtId="0" fontId="2" fillId="0" borderId="0" xfId="3">
      <alignment vertical="center"/>
    </xf>
    <xf numFmtId="0" fontId="3" fillId="9" borderId="0" xfId="7" applyFont="1" applyFill="1" applyAlignment="1">
      <alignment horizontal="left" vertical="center" indent="1"/>
    </xf>
    <xf numFmtId="0" fontId="3" fillId="0" borderId="0" xfId="33">
      <alignment horizontal="left" vertical="center" indent="1"/>
    </xf>
    <xf numFmtId="0" fontId="19" fillId="9" borderId="4" xfId="34" applyFont="1">
      <alignment horizontal="left" vertical="center" indent="1"/>
    </xf>
    <xf numFmtId="0" fontId="20" fillId="9" borderId="4" xfId="34" applyFont="1">
      <alignment horizontal="left" vertical="center" indent="1"/>
    </xf>
    <xf numFmtId="0" fontId="0" fillId="4" borderId="0" xfId="0" applyFill="1"/>
    <xf numFmtId="0" fontId="7" fillId="4" borderId="0" xfId="53">
      <alignment horizontal="left" vertical="center"/>
    </xf>
    <xf numFmtId="0" fontId="11" fillId="0" borderId="0" xfId="32"/>
    <xf numFmtId="0" fontId="32" fillId="11" borderId="0" xfId="60">
      <alignment horizontal="center" vertical="center"/>
    </xf>
    <xf numFmtId="0" fontId="3" fillId="4" borderId="0" xfId="7" applyFont="1">
      <alignment horizontal="left" vertical="center"/>
    </xf>
    <xf numFmtId="0" fontId="4" fillId="12" borderId="2" xfId="15">
      <alignment horizontal="center" vertical="center"/>
    </xf>
    <xf numFmtId="167" fontId="3" fillId="0" borderId="2" xfId="41">
      <alignment horizontal="center" vertical="center"/>
    </xf>
    <xf numFmtId="0" fontId="24" fillId="4" borderId="2" xfId="52">
      <alignment horizontal="center" vertical="center"/>
    </xf>
    <xf numFmtId="0" fontId="7" fillId="4" borderId="0" xfId="12">
      <alignment horizontal="left" vertical="center" indent="1"/>
    </xf>
    <xf numFmtId="0" fontId="30" fillId="4" borderId="0" xfId="6">
      <alignment vertical="center"/>
    </xf>
    <xf numFmtId="9" fontId="3" fillId="0" borderId="2" xfId="16">
      <alignment horizontal="center" vertical="center"/>
    </xf>
    <xf numFmtId="0" fontId="0" fillId="0" borderId="0" xfId="8" applyFont="1" applyFill="1">
      <alignment horizontal="left" vertical="center"/>
    </xf>
    <xf numFmtId="0" fontId="5" fillId="0" borderId="0" xfId="2"/>
    <xf numFmtId="0" fontId="4" fillId="0" borderId="0" xfId="7" applyFill="1">
      <alignment horizontal="left" vertical="center"/>
    </xf>
    <xf numFmtId="0" fontId="17" fillId="3" borderId="0" xfId="4">
      <alignment vertical="center"/>
    </xf>
    <xf numFmtId="0" fontId="17" fillId="0" borderId="0" xfId="4" applyFill="1">
      <alignment vertical="center"/>
    </xf>
    <xf numFmtId="0" fontId="4" fillId="4" borderId="0" xfId="7">
      <alignment horizontal="left" vertical="center"/>
    </xf>
    <xf numFmtId="0" fontId="29" fillId="4" borderId="0" xfId="54">
      <alignment horizontal="left" vertical="center"/>
    </xf>
    <xf numFmtId="0" fontId="0" fillId="0" borderId="0" xfId="7" applyFont="1" applyFill="1">
      <alignment horizontal="left" vertical="center"/>
    </xf>
    <xf numFmtId="0" fontId="11" fillId="0" borderId="0" xfId="2" applyFont="1"/>
    <xf numFmtId="0" fontId="17" fillId="7" borderId="0" xfId="31">
      <alignment vertical="center"/>
    </xf>
    <xf numFmtId="0" fontId="4" fillId="4" borderId="6" xfId="7" applyBorder="1">
      <alignment horizontal="left" vertical="center"/>
    </xf>
    <xf numFmtId="0" fontId="26" fillId="0" borderId="0" xfId="5" applyFill="1">
      <alignment horizontal="left" vertical="center"/>
    </xf>
    <xf numFmtId="0" fontId="12" fillId="4" borderId="0" xfId="30">
      <alignment vertical="center"/>
    </xf>
    <xf numFmtId="0" fontId="30" fillId="0" borderId="0" xfId="6" applyFill="1">
      <alignment vertical="center"/>
    </xf>
    <xf numFmtId="0" fontId="3" fillId="0" borderId="2" xfId="14">
      <alignment horizontal="center" vertical="center"/>
    </xf>
    <xf numFmtId="0" fontId="28" fillId="0" borderId="0" xfId="8" applyFill="1">
      <alignment horizontal="left" vertical="center"/>
    </xf>
    <xf numFmtId="0" fontId="31" fillId="13" borderId="7" xfId="39" applyBorder="1">
      <alignment horizontal="left" vertical="center"/>
    </xf>
    <xf numFmtId="0" fontId="31" fillId="13" borderId="8" xfId="39" applyBorder="1">
      <alignment horizontal="left" vertical="center"/>
    </xf>
    <xf numFmtId="0" fontId="31" fillId="13" borderId="9" xfId="39" applyBorder="1">
      <alignment horizontal="left" vertical="center"/>
    </xf>
    <xf numFmtId="0" fontId="31" fillId="13" borderId="10" xfId="39" applyBorder="1">
      <alignment horizontal="left" vertical="center"/>
    </xf>
    <xf numFmtId="0" fontId="42" fillId="0" borderId="0" xfId="12" applyFont="1" applyFill="1" applyAlignment="1">
      <alignment horizontal="left" vertical="center"/>
    </xf>
    <xf numFmtId="166" fontId="24" fillId="4" borderId="2" xfId="40" applyNumberFormat="1">
      <alignment horizontal="center" vertical="center"/>
    </xf>
    <xf numFmtId="0" fontId="3" fillId="0" borderId="0" xfId="7" applyFont="1" applyFill="1">
      <alignment horizontal="left" vertical="center"/>
    </xf>
    <xf numFmtId="0" fontId="43" fillId="13" borderId="11" xfId="39" applyFont="1" applyBorder="1">
      <alignment horizontal="left" vertical="center"/>
    </xf>
    <xf numFmtId="0" fontId="31" fillId="13" borderId="12" xfId="39" applyBorder="1">
      <alignment horizontal="left" vertical="center"/>
    </xf>
    <xf numFmtId="0" fontId="31" fillId="13" borderId="13" xfId="39" applyBorder="1">
      <alignment horizontal="left" vertical="center"/>
    </xf>
    <xf numFmtId="0" fontId="31" fillId="13" borderId="14" xfId="39" applyBorder="1">
      <alignment horizontal="left" vertical="center"/>
    </xf>
    <xf numFmtId="0" fontId="31" fillId="13" borderId="15" xfId="39" applyBorder="1">
      <alignment horizontal="left" vertical="center"/>
    </xf>
    <xf numFmtId="0" fontId="31" fillId="13" borderId="16" xfId="39" applyBorder="1">
      <alignment horizontal="left" vertical="center"/>
    </xf>
    <xf numFmtId="4" fontId="3" fillId="4" borderId="0" xfId="17" applyFill="1" applyBorder="1">
      <alignment horizontal="center" vertical="center"/>
    </xf>
    <xf numFmtId="0" fontId="13" fillId="4" borderId="0" xfId="29" applyFill="1">
      <alignment horizontal="center" vertical="center"/>
      <protection locked="0"/>
    </xf>
    <xf numFmtId="0" fontId="44" fillId="0" borderId="0" xfId="0" applyFont="1" applyAlignment="1" applyProtection="1">
      <alignment horizontal="center" vertical="center"/>
      <protection locked="0"/>
    </xf>
    <xf numFmtId="4" fontId="45" fillId="0" borderId="0" xfId="17" applyFont="1" applyBorder="1">
      <alignment horizontal="center" vertical="center"/>
    </xf>
    <xf numFmtId="164" fontId="9" fillId="4" borderId="0" xfId="26" applyBorder="1">
      <alignment horizontal="center" vertical="center"/>
    </xf>
    <xf numFmtId="4" fontId="45" fillId="4" borderId="0" xfId="17" applyFont="1" applyFill="1" applyBorder="1">
      <alignment horizontal="center" vertical="center"/>
    </xf>
    <xf numFmtId="0" fontId="45" fillId="4" borderId="0" xfId="12" applyFont="1" applyAlignment="1">
      <alignment horizontal="center" vertical="center"/>
    </xf>
    <xf numFmtId="0" fontId="45" fillId="4" borderId="0" xfId="8" applyFont="1" applyAlignment="1">
      <alignment horizontal="center" vertical="center"/>
    </xf>
    <xf numFmtId="166" fontId="45" fillId="4" borderId="0" xfId="8" applyNumberFormat="1" applyFont="1" applyAlignment="1">
      <alignment horizontal="center" vertical="center"/>
    </xf>
    <xf numFmtId="9" fontId="45" fillId="4" borderId="0" xfId="68" applyFont="1" applyFill="1" applyBorder="1" applyAlignment="1">
      <alignment horizontal="center" vertical="center"/>
    </xf>
    <xf numFmtId="0" fontId="46" fillId="4" borderId="0" xfId="0" applyFont="1" applyFill="1" applyAlignment="1">
      <alignment horizontal="center" vertical="center"/>
    </xf>
    <xf numFmtId="0" fontId="46" fillId="4" borderId="0" xfId="0" applyFont="1" applyFill="1"/>
    <xf numFmtId="0" fontId="45" fillId="4" borderId="0" xfId="0" applyFont="1" applyFill="1"/>
    <xf numFmtId="0" fontId="45" fillId="0" borderId="0" xfId="0" applyFont="1"/>
    <xf numFmtId="0" fontId="47" fillId="4" borderId="0" xfId="7" applyFont="1" applyAlignment="1">
      <alignment horizontal="center" vertical="center"/>
    </xf>
    <xf numFmtId="0" fontId="48" fillId="4" borderId="0" xfId="7" applyFont="1" applyAlignment="1">
      <alignment horizontal="center" vertical="center"/>
    </xf>
    <xf numFmtId="166" fontId="48" fillId="4" borderId="0" xfId="7" applyNumberFormat="1" applyFont="1" applyAlignment="1">
      <alignment horizontal="center" vertical="center"/>
    </xf>
    <xf numFmtId="0" fontId="48" fillId="4" borderId="0" xfId="0" applyFont="1" applyFill="1" applyAlignment="1">
      <alignment horizontal="center" vertical="center"/>
    </xf>
    <xf numFmtId="0" fontId="49" fillId="4" borderId="0" xfId="0" applyFont="1" applyFill="1" applyAlignment="1">
      <alignment horizontal="center" vertical="center"/>
    </xf>
    <xf numFmtId="0" fontId="49" fillId="4" borderId="0" xfId="0" applyFont="1" applyFill="1" applyAlignment="1">
      <alignment horizontal="left" vertical="center"/>
    </xf>
    <xf numFmtId="14" fontId="4" fillId="4" borderId="0" xfId="7" applyNumberFormat="1">
      <alignment horizontal="left" vertical="center"/>
    </xf>
    <xf numFmtId="0" fontId="31" fillId="13" borderId="5" xfId="39">
      <alignment horizontal="left" vertical="center"/>
    </xf>
    <xf numFmtId="0" fontId="40" fillId="4" borderId="0" xfId="66" applyFill="1" applyBorder="1"/>
    <xf numFmtId="166" fontId="3" fillId="4" borderId="0" xfId="18" applyNumberFormat="1" applyFill="1" applyBorder="1">
      <alignment horizontal="center" vertical="center"/>
    </xf>
    <xf numFmtId="169" fontId="4" fillId="4" borderId="0" xfId="67" applyNumberFormat="1" applyFont="1" applyFill="1" applyBorder="1" applyAlignment="1">
      <alignment horizontal="center" vertical="center"/>
    </xf>
    <xf numFmtId="0" fontId="0" fillId="4" borderId="0" xfId="7" applyFont="1">
      <alignment horizontal="left" vertical="center"/>
    </xf>
    <xf numFmtId="0" fontId="50" fillId="4" borderId="0" xfId="0" applyFont="1" applyFill="1"/>
    <xf numFmtId="0" fontId="3" fillId="0" borderId="2" xfId="56">
      <alignment horizontal="center" vertical="center"/>
    </xf>
    <xf numFmtId="0" fontId="41" fillId="4" borderId="0" xfId="8" applyFont="1">
      <alignment horizontal="left" vertical="center"/>
    </xf>
    <xf numFmtId="0" fontId="24" fillId="4" borderId="2" xfId="52" quotePrefix="1">
      <alignment horizontal="center" vertical="center"/>
    </xf>
    <xf numFmtId="0" fontId="35" fillId="4" borderId="0" xfId="47">
      <alignment horizontal="left" vertical="center"/>
    </xf>
    <xf numFmtId="0" fontId="36" fillId="4" borderId="0" xfId="59">
      <alignment horizontal="left" vertical="center"/>
    </xf>
    <xf numFmtId="170" fontId="0" fillId="0" borderId="0" xfId="8" applyNumberFormat="1" applyFont="1" applyFill="1">
      <alignment horizontal="left" vertical="center"/>
    </xf>
    <xf numFmtId="0" fontId="13" fillId="6" borderId="0" xfId="29">
      <alignment horizontal="center" vertical="center"/>
      <protection locked="0"/>
    </xf>
    <xf numFmtId="0" fontId="51" fillId="9" borderId="4" xfId="34" applyFont="1">
      <alignment horizontal="left" vertical="center" indent="1"/>
    </xf>
    <xf numFmtId="0" fontId="21" fillId="10" borderId="0" xfId="35">
      <alignment horizontal="left" vertical="center" indent="1"/>
    </xf>
    <xf numFmtId="0" fontId="52" fillId="0" borderId="0" xfId="32" applyFont="1"/>
    <xf numFmtId="0" fontId="53" fillId="4" borderId="0" xfId="8" applyFont="1">
      <alignment horizontal="left" vertical="center"/>
    </xf>
    <xf numFmtId="0" fontId="54" fillId="4" borderId="0" xfId="53" applyFont="1">
      <alignment horizontal="left" vertical="center"/>
    </xf>
    <xf numFmtId="0" fontId="53" fillId="4" borderId="1" xfId="8" applyFont="1" applyBorder="1">
      <alignment horizontal="left" vertical="center"/>
    </xf>
    <xf numFmtId="0" fontId="28" fillId="4" borderId="1" xfId="8" applyBorder="1">
      <alignment horizontal="left" vertical="center"/>
    </xf>
    <xf numFmtId="0" fontId="54" fillId="4" borderId="1" xfId="53" applyFont="1" applyBorder="1">
      <alignment horizontal="left" vertical="center"/>
    </xf>
    <xf numFmtId="0" fontId="55" fillId="4" borderId="1" xfId="8" applyFont="1" applyBorder="1">
      <alignment horizontal="left" vertical="center"/>
    </xf>
    <xf numFmtId="0" fontId="55" fillId="4" borderId="0" xfId="8" applyFont="1">
      <alignment horizontal="left" vertical="center"/>
    </xf>
    <xf numFmtId="0" fontId="41" fillId="4" borderId="1" xfId="8" applyFont="1" applyBorder="1">
      <alignment horizontal="left" vertical="center"/>
    </xf>
    <xf numFmtId="0" fontId="7" fillId="4" borderId="1" xfId="53" applyBorder="1">
      <alignment horizontal="left" vertical="center"/>
    </xf>
    <xf numFmtId="0" fontId="28" fillId="11" borderId="0" xfId="8" applyFill="1">
      <alignment horizontal="left" vertical="center"/>
    </xf>
    <xf numFmtId="49" fontId="0" fillId="0" borderId="0" xfId="14" applyNumberFormat="1" applyFont="1" applyBorder="1">
      <alignment horizontal="center" vertical="center"/>
    </xf>
    <xf numFmtId="0" fontId="4" fillId="12" borderId="17" xfId="15" applyBorder="1">
      <alignment horizontal="center" vertical="center"/>
    </xf>
    <xf numFmtId="0" fontId="10" fillId="0" borderId="0" xfId="55"/>
    <xf numFmtId="0" fontId="13" fillId="6" borderId="0" xfId="28">
      <alignment horizontal="left" vertical="center" indent="1"/>
    </xf>
    <xf numFmtId="0" fontId="21" fillId="5" borderId="0" xfId="36">
      <alignment horizontal="left" vertical="center" indent="1"/>
    </xf>
    <xf numFmtId="3" fontId="3" fillId="0" borderId="2" xfId="18">
      <alignment horizontal="center" vertical="center"/>
    </xf>
    <xf numFmtId="0" fontId="17" fillId="4" borderId="0" xfId="31" applyFill="1">
      <alignment vertical="center"/>
    </xf>
    <xf numFmtId="172" fontId="24" fillId="4" borderId="2" xfId="68" applyNumberFormat="1" applyFont="1" applyFill="1" applyBorder="1" applyAlignment="1">
      <alignment horizontal="center" vertical="center"/>
    </xf>
    <xf numFmtId="172" fontId="3" fillId="0" borderId="2" xfId="16" applyNumberFormat="1">
      <alignment horizontal="center" vertical="center"/>
    </xf>
    <xf numFmtId="172" fontId="3" fillId="0" borderId="2" xfId="68" applyNumberFormat="1" applyFont="1" applyBorder="1" applyAlignment="1">
      <alignment horizontal="center" vertical="center"/>
    </xf>
    <xf numFmtId="172" fontId="28" fillId="4" borderId="0" xfId="8" applyNumberFormat="1">
      <alignment horizontal="left" vertical="center"/>
    </xf>
    <xf numFmtId="173" fontId="28" fillId="4" borderId="0" xfId="8" applyNumberFormat="1">
      <alignment horizontal="left" vertical="center"/>
    </xf>
    <xf numFmtId="0" fontId="13" fillId="6" borderId="0" xfId="28" applyAlignment="1">
      <alignment horizontal="left" vertical="center"/>
    </xf>
    <xf numFmtId="0" fontId="58" fillId="4" borderId="0" xfId="59" applyFont="1">
      <alignment horizontal="left" vertical="center"/>
    </xf>
    <xf numFmtId="0" fontId="28" fillId="4" borderId="0" xfId="8" applyAlignment="1">
      <alignment horizontal="center" vertical="center"/>
    </xf>
    <xf numFmtId="9" fontId="24" fillId="4" borderId="2" xfId="68" applyFont="1" applyFill="1" applyBorder="1" applyAlignment="1">
      <alignment horizontal="center" vertical="center"/>
    </xf>
    <xf numFmtId="0" fontId="28" fillId="4" borderId="0" xfId="8" applyAlignment="1">
      <alignment horizontal="left" vertical="center" indent="3"/>
    </xf>
    <xf numFmtId="10" fontId="28" fillId="4" borderId="0" xfId="8" applyNumberFormat="1">
      <alignment horizontal="left" vertical="center"/>
    </xf>
    <xf numFmtId="0" fontId="13" fillId="6" borderId="0" xfId="28" applyAlignment="1">
      <alignment horizontal="left" vertical="center" indent="6"/>
    </xf>
    <xf numFmtId="0" fontId="28" fillId="4" borderId="0" xfId="8" applyAlignment="1">
      <alignment horizontal="left" vertical="center" indent="6"/>
    </xf>
    <xf numFmtId="0" fontId="41" fillId="4" borderId="0" xfId="8" applyFont="1" applyAlignment="1">
      <alignment horizontal="left" vertical="center" indent="6"/>
    </xf>
    <xf numFmtId="0" fontId="28" fillId="4" borderId="0" xfId="8" applyAlignment="1">
      <alignment horizontal="left" vertical="center" indent="9"/>
    </xf>
    <xf numFmtId="0" fontId="16" fillId="4" borderId="0" xfId="24">
      <alignment horizontal="left" vertical="center"/>
    </xf>
    <xf numFmtId="0" fontId="21" fillId="8" borderId="0" xfId="37">
      <alignment horizontal="left" vertical="center" indent="1"/>
    </xf>
    <xf numFmtId="0" fontId="24" fillId="4" borderId="2" xfId="63">
      <alignment horizontal="left" vertical="center"/>
    </xf>
    <xf numFmtId="0" fontId="39" fillId="15" borderId="2" xfId="65">
      <alignment horizontal="center" vertical="center"/>
    </xf>
    <xf numFmtId="0" fontId="33" fillId="4" borderId="0" xfId="57">
      <alignment horizontal="left" vertical="center"/>
    </xf>
    <xf numFmtId="0" fontId="34" fillId="4" borderId="0" xfId="58">
      <alignment horizontal="left" vertical="center"/>
    </xf>
    <xf numFmtId="0" fontId="6" fillId="2" borderId="0" xfId="9">
      <alignment horizontal="center" vertical="center"/>
    </xf>
    <xf numFmtId="0" fontId="24" fillId="4" borderId="18" xfId="63" applyBorder="1">
      <alignment horizontal="left" vertical="center"/>
    </xf>
    <xf numFmtId="0" fontId="24" fillId="4" borderId="19" xfId="63" applyBorder="1">
      <alignment horizontal="left" vertical="center"/>
    </xf>
    <xf numFmtId="0" fontId="37" fillId="4" borderId="2" xfId="62">
      <alignment horizontal="left" vertical="center"/>
    </xf>
    <xf numFmtId="0" fontId="38" fillId="14" borderId="2" xfId="64">
      <alignment horizontal="center" vertical="center"/>
    </xf>
    <xf numFmtId="0" fontId="59" fillId="0" borderId="0" xfId="69"/>
    <xf numFmtId="0" fontId="60" fillId="4" borderId="0" xfId="8" applyFont="1">
      <alignment horizontal="left" vertical="center"/>
    </xf>
    <xf numFmtId="0" fontId="61" fillId="4" borderId="0" xfId="8" applyFont="1">
      <alignment horizontal="left" vertical="center"/>
    </xf>
    <xf numFmtId="0" fontId="24" fillId="4" borderId="2" xfId="52" applyAlignment="1">
      <alignment horizontal="left" vertical="center"/>
    </xf>
    <xf numFmtId="0" fontId="24" fillId="4" borderId="20" xfId="63" applyBorder="1">
      <alignment horizontal="left" vertical="center"/>
    </xf>
    <xf numFmtId="3" fontId="24" fillId="4" borderId="2" xfId="52" applyNumberFormat="1">
      <alignment horizontal="center" vertical="center"/>
    </xf>
    <xf numFmtId="0" fontId="24" fillId="4" borderId="18" xfId="52" applyBorder="1" applyAlignment="1">
      <alignment horizontal="left" vertical="center"/>
    </xf>
    <xf numFmtId="0" fontId="24" fillId="4" borderId="20" xfId="52" applyBorder="1">
      <alignment horizontal="center" vertical="center"/>
    </xf>
    <xf numFmtId="43" fontId="28" fillId="4" borderId="0" xfId="67" applyFont="1" applyFill="1" applyAlignment="1">
      <alignment horizontal="left" vertical="center"/>
    </xf>
    <xf numFmtId="0" fontId="24" fillId="4" borderId="19" xfId="52" applyBorder="1" applyAlignment="1">
      <alignment horizontal="left" vertical="center"/>
    </xf>
    <xf numFmtId="0" fontId="10" fillId="0" borderId="0" xfId="43"/>
    <xf numFmtId="0" fontId="31" fillId="13" borderId="11" xfId="39" applyBorder="1">
      <alignment horizontal="left" vertical="center"/>
    </xf>
    <xf numFmtId="0" fontId="24" fillId="4" borderId="20" xfId="52" applyBorder="1" applyAlignment="1">
      <alignment horizontal="left" vertical="center"/>
    </xf>
    <xf numFmtId="0" fontId="0" fillId="0" borderId="0" xfId="1" applyFont="1" applyFill="1">
      <alignment horizontal="left" vertical="center" indent="1"/>
      <protection locked="0"/>
    </xf>
    <xf numFmtId="0" fontId="66" fillId="2" borderId="0" xfId="8" applyFont="1" applyFill="1">
      <alignment horizontal="left" vertical="center"/>
    </xf>
    <xf numFmtId="0" fontId="28" fillId="16" borderId="0" xfId="8" applyFill="1">
      <alignment horizontal="left" vertical="center"/>
    </xf>
    <xf numFmtId="0" fontId="67" fillId="4" borderId="0" xfId="0" applyFont="1" applyFill="1" applyAlignment="1">
      <alignment horizontal="center" vertical="center"/>
    </xf>
    <xf numFmtId="0" fontId="67" fillId="4" borderId="0" xfId="0" applyFont="1" applyFill="1"/>
    <xf numFmtId="0" fontId="68"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10" fillId="0" borderId="0" xfId="55" applyAlignment="1">
      <alignment horizontal="center" vertical="center" wrapText="1"/>
    </xf>
    <xf numFmtId="0" fontId="4" fillId="12" borderId="2" xfId="15" applyAlignment="1">
      <alignment horizontal="center" vertical="center" wrapText="1"/>
    </xf>
    <xf numFmtId="4" fontId="0" fillId="0" borderId="0" xfId="17" applyFont="1" applyBorder="1" applyAlignment="1">
      <alignment horizontal="center" vertical="center" wrapText="1"/>
    </xf>
    <xf numFmtId="0" fontId="0" fillId="4" borderId="2" xfId="52" applyFont="1" applyAlignment="1">
      <alignment horizontal="center" vertical="center" wrapText="1"/>
    </xf>
    <xf numFmtId="0" fontId="24" fillId="4" borderId="2" xfId="52" applyAlignment="1">
      <alignment horizontal="center" vertical="center" wrapText="1"/>
    </xf>
    <xf numFmtId="0" fontId="28" fillId="4" borderId="0" xfId="8" applyAlignment="1">
      <alignment horizontal="center" vertical="center" wrapText="1"/>
    </xf>
    <xf numFmtId="0" fontId="44" fillId="4" borderId="0" xfId="43" applyFont="1" applyFill="1" applyAlignment="1">
      <alignment horizontal="left" vertical="center" wrapText="1"/>
    </xf>
    <xf numFmtId="2" fontId="67" fillId="4" borderId="0" xfId="67" applyNumberFormat="1" applyFont="1" applyFill="1" applyBorder="1" applyAlignment="1" applyProtection="1">
      <alignment horizontal="center" wrapText="1"/>
      <protection locked="0"/>
    </xf>
    <xf numFmtId="1" fontId="67" fillId="4" borderId="0" xfId="67" applyNumberFormat="1" applyFont="1" applyFill="1" applyBorder="1" applyAlignment="1" applyProtection="1">
      <alignment horizontal="center" wrapText="1"/>
      <protection locked="0"/>
    </xf>
    <xf numFmtId="0" fontId="67" fillId="4" borderId="0" xfId="0" applyFont="1" applyFill="1" applyAlignment="1">
      <alignment horizontal="left" wrapText="1"/>
    </xf>
    <xf numFmtId="0" fontId="68" fillId="4" borderId="0" xfId="0" applyFont="1" applyFill="1" applyAlignment="1">
      <alignment wrapText="1"/>
    </xf>
    <xf numFmtId="0" fontId="28" fillId="4" borderId="0" xfId="8" applyAlignment="1">
      <alignment horizontal="left" vertical="center" wrapText="1"/>
    </xf>
    <xf numFmtId="0" fontId="35" fillId="4" borderId="0" xfId="47" applyAlignment="1">
      <alignment horizontal="left" vertical="center" wrapText="1"/>
    </xf>
    <xf numFmtId="0" fontId="0" fillId="4" borderId="0" xfId="0" applyFill="1" applyAlignment="1">
      <alignment wrapText="1"/>
    </xf>
    <xf numFmtId="0" fontId="10" fillId="0" borderId="0" xfId="55" applyAlignment="1" applyProtection="1">
      <alignment horizontal="center" vertical="center" wrapText="1"/>
      <protection locked="0"/>
    </xf>
    <xf numFmtId="0" fontId="69"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69" fillId="12" borderId="2" xfId="15" applyFont="1">
      <alignment horizontal="center" vertical="center"/>
    </xf>
    <xf numFmtId="9" fontId="0" fillId="0" borderId="21" xfId="68" applyFont="1" applyFill="1" applyBorder="1" applyAlignment="1">
      <alignment horizontal="center" vertical="center" wrapText="1"/>
    </xf>
    <xf numFmtId="4" fontId="57" fillId="0" borderId="2" xfId="17" applyFont="1" applyAlignment="1">
      <alignment horizontal="center" vertical="center" wrapText="1"/>
    </xf>
    <xf numFmtId="0" fontId="31" fillId="13" borderId="22" xfId="39" applyBorder="1">
      <alignment horizontal="left" vertical="center"/>
    </xf>
    <xf numFmtId="0" fontId="31" fillId="13" borderId="0" xfId="39" applyBorder="1">
      <alignment horizontal="left" vertical="center"/>
    </xf>
    <xf numFmtId="0" fontId="31" fillId="13" borderId="23" xfId="39" applyBorder="1">
      <alignment horizontal="left" vertical="center"/>
    </xf>
    <xf numFmtId="0" fontId="0" fillId="0" borderId="0" xfId="0" applyAlignment="1">
      <alignment wrapText="1"/>
    </xf>
    <xf numFmtId="0" fontId="13"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4" fillId="4" borderId="0" xfId="68" applyFont="1" applyFill="1" applyAlignment="1">
      <alignment horizontal="center" vertical="center" wrapText="1"/>
    </xf>
    <xf numFmtId="9" fontId="0" fillId="4" borderId="0" xfId="0" applyNumberFormat="1" applyFill="1"/>
    <xf numFmtId="0" fontId="7" fillId="4" borderId="0" xfId="12" applyAlignment="1">
      <alignment horizontal="center" vertical="center"/>
    </xf>
    <xf numFmtId="0" fontId="24" fillId="4" borderId="19" xfId="52" applyBorder="1">
      <alignment horizontal="center" vertical="center"/>
    </xf>
    <xf numFmtId="174" fontId="24" fillId="4" borderId="2" xfId="52" applyNumberFormat="1">
      <alignment horizontal="center" vertical="center"/>
    </xf>
    <xf numFmtId="0" fontId="6" fillId="2" borderId="0" xfId="1">
      <alignment horizontal="left" vertical="center" indent="1"/>
      <protection locked="0"/>
    </xf>
    <xf numFmtId="4" fontId="24" fillId="4" borderId="2" xfId="52" applyNumberFormat="1">
      <alignment horizontal="center" vertical="center"/>
    </xf>
    <xf numFmtId="9" fontId="24" fillId="4" borderId="2" xfId="52" applyNumberFormat="1">
      <alignment horizontal="center" vertical="center"/>
    </xf>
    <xf numFmtId="0" fontId="72" fillId="4" borderId="0" xfId="0" applyFont="1" applyFill="1"/>
    <xf numFmtId="0" fontId="7" fillId="4" borderId="1" xfId="12" applyBorder="1">
      <alignment horizontal="left" vertical="center" indent="1"/>
    </xf>
    <xf numFmtId="0" fontId="28" fillId="4" borderId="24" xfId="8" applyBorder="1">
      <alignment horizontal="left" vertical="center"/>
    </xf>
    <xf numFmtId="4" fontId="24" fillId="4" borderId="2" xfId="46">
      <alignment horizontal="center" vertical="center"/>
    </xf>
    <xf numFmtId="0" fontId="54" fillId="4" borderId="1" xfId="12" applyFont="1" applyBorder="1">
      <alignment horizontal="left" vertical="center" indent="1"/>
    </xf>
    <xf numFmtId="0" fontId="6" fillId="2" borderId="0" xfId="9" applyAlignment="1">
      <alignment horizontal="center" vertical="center" wrapText="1"/>
    </xf>
    <xf numFmtId="0" fontId="28" fillId="4" borderId="25" xfId="8" applyBorder="1">
      <alignment horizontal="left" vertical="center"/>
    </xf>
    <xf numFmtId="0" fontId="6" fillId="2" borderId="0" xfId="1" applyAlignment="1">
      <alignment horizontal="center" vertical="center"/>
      <protection locked="0"/>
    </xf>
    <xf numFmtId="0" fontId="0" fillId="0" borderId="0" xfId="0" applyAlignment="1">
      <alignment vertical="center"/>
    </xf>
    <xf numFmtId="0" fontId="0" fillId="0" borderId="0" xfId="0" applyAlignment="1">
      <alignment vertical="center" wrapText="1"/>
    </xf>
    <xf numFmtId="4" fontId="3" fillId="0" borderId="2" xfId="17">
      <alignment horizontal="center" vertical="center"/>
    </xf>
    <xf numFmtId="166" fontId="24" fillId="4" borderId="2" xfId="45">
      <alignment horizontal="center" vertical="center"/>
    </xf>
    <xf numFmtId="175" fontId="0" fillId="0" borderId="0" xfId="8" applyNumberFormat="1" applyFont="1" applyFill="1">
      <alignment horizontal="left" vertical="center"/>
    </xf>
    <xf numFmtId="0" fontId="27" fillId="4" borderId="0" xfId="48">
      <alignment horizontal="center" vertical="center"/>
    </xf>
    <xf numFmtId="17" fontId="0" fillId="0" borderId="0" xfId="8" applyNumberFormat="1" applyFont="1" applyFill="1">
      <alignment horizontal="left" vertical="center"/>
    </xf>
    <xf numFmtId="43" fontId="28" fillId="4" borderId="0" xfId="8" applyNumberFormat="1">
      <alignment horizontal="left" vertical="center"/>
    </xf>
    <xf numFmtId="9" fontId="24" fillId="4" borderId="2" xfId="63" applyNumberFormat="1">
      <alignment horizontal="left" vertical="center"/>
    </xf>
    <xf numFmtId="0" fontId="73" fillId="0" borderId="0" xfId="0" applyFont="1"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4" fillId="4" borderId="17" xfId="52" applyBorder="1">
      <alignment horizontal="center" vertical="center"/>
    </xf>
    <xf numFmtId="9" fontId="0" fillId="0" borderId="17" xfId="16" applyFont="1" applyBorder="1">
      <alignment horizontal="center" vertical="center"/>
    </xf>
    <xf numFmtId="0" fontId="27" fillId="4" borderId="0" xfId="48" applyAlignment="1">
      <alignment horizontal="left" vertical="center"/>
    </xf>
    <xf numFmtId="176" fontId="74" fillId="4" borderId="2" xfId="52" applyNumberFormat="1" applyFont="1">
      <alignment horizontal="center" vertical="center"/>
    </xf>
    <xf numFmtId="0" fontId="23" fillId="4" borderId="0" xfId="50">
      <alignment horizontal="left" vertical="center"/>
    </xf>
    <xf numFmtId="4" fontId="24" fillId="4" borderId="17" xfId="46" applyBorder="1">
      <alignment horizontal="center" vertical="center"/>
    </xf>
    <xf numFmtId="176" fontId="74" fillId="4" borderId="17" xfId="52" applyNumberFormat="1" applyFont="1" applyBorder="1">
      <alignment horizontal="center" vertical="center"/>
    </xf>
    <xf numFmtId="0" fontId="4" fillId="4" borderId="1" xfId="7" applyBorder="1">
      <alignment horizontal="left" vertical="center"/>
    </xf>
    <xf numFmtId="0" fontId="27" fillId="4" borderId="1" xfId="48" applyBorder="1" applyAlignment="1">
      <alignment horizontal="left" vertical="center"/>
    </xf>
    <xf numFmtId="0" fontId="24" fillId="4" borderId="26" xfId="52" applyBorder="1">
      <alignment horizontal="center" vertical="center"/>
    </xf>
    <xf numFmtId="0" fontId="24" fillId="4" borderId="27" xfId="52" applyBorder="1">
      <alignment horizontal="center" vertical="center"/>
    </xf>
    <xf numFmtId="4" fontId="24" fillId="4" borderId="26" xfId="46" applyBorder="1">
      <alignment horizontal="center" vertical="center"/>
    </xf>
    <xf numFmtId="4" fontId="24" fillId="4" borderId="28" xfId="46" applyBorder="1">
      <alignment horizontal="center" vertical="center"/>
    </xf>
    <xf numFmtId="176" fontId="74" fillId="4" borderId="28" xfId="52" applyNumberFormat="1" applyFont="1" applyBorder="1">
      <alignment horizontal="center" vertical="center"/>
    </xf>
    <xf numFmtId="176" fontId="74" fillId="4" borderId="26" xfId="52" applyNumberFormat="1" applyFont="1" applyBorder="1">
      <alignment horizontal="center" vertical="center"/>
    </xf>
    <xf numFmtId="0" fontId="24" fillId="4" borderId="28" xfId="52" applyBorder="1">
      <alignment horizontal="center" vertical="center"/>
    </xf>
    <xf numFmtId="0" fontId="74" fillId="4" borderId="28" xfId="52" applyFont="1" applyBorder="1">
      <alignment horizontal="center" vertical="center"/>
    </xf>
    <xf numFmtId="0" fontId="4" fillId="4" borderId="25" xfId="7" applyBorder="1">
      <alignment horizontal="left" vertical="center"/>
    </xf>
    <xf numFmtId="165" fontId="72" fillId="4" borderId="25" xfId="0" applyNumberFormat="1" applyFont="1" applyFill="1" applyBorder="1"/>
    <xf numFmtId="0" fontId="7" fillId="4" borderId="25" xfId="12" applyBorder="1">
      <alignment horizontal="left" vertical="center" indent="1"/>
    </xf>
    <xf numFmtId="168" fontId="72" fillId="4" borderId="0" xfId="0" applyNumberFormat="1" applyFont="1" applyFill="1" applyAlignment="1">
      <alignment vertical="center"/>
    </xf>
    <xf numFmtId="165" fontId="72" fillId="4" borderId="25" xfId="0" applyNumberFormat="1" applyFont="1" applyFill="1" applyBorder="1" applyAlignment="1">
      <alignment vertical="center"/>
    </xf>
    <xf numFmtId="0" fontId="72" fillId="4" borderId="0" xfId="0" applyFont="1" applyFill="1" applyAlignment="1">
      <alignment vertical="center"/>
    </xf>
    <xf numFmtId="165" fontId="75" fillId="4" borderId="25" xfId="0" applyNumberFormat="1" applyFont="1" applyFill="1" applyBorder="1" applyAlignment="1">
      <alignment vertical="center"/>
    </xf>
    <xf numFmtId="168" fontId="74" fillId="4" borderId="2" xfId="46" applyNumberFormat="1" applyFont="1">
      <alignment horizontal="center" vertical="center"/>
    </xf>
    <xf numFmtId="168" fontId="74" fillId="4" borderId="17" xfId="46" applyNumberFormat="1" applyFont="1" applyBorder="1">
      <alignment horizontal="center" vertical="center"/>
    </xf>
    <xf numFmtId="168" fontId="74" fillId="4" borderId="28" xfId="46" applyNumberFormat="1" applyFont="1" applyBorder="1">
      <alignment horizontal="center" vertical="center"/>
    </xf>
    <xf numFmtId="0" fontId="73" fillId="0" borderId="0" xfId="0" applyFont="1" applyAlignment="1">
      <alignment vertical="center" wrapText="1"/>
    </xf>
    <xf numFmtId="0" fontId="76" fillId="0" borderId="0" xfId="0" applyFont="1" applyAlignment="1">
      <alignment horizontal="left" vertical="center"/>
    </xf>
    <xf numFmtId="0" fontId="76" fillId="0" borderId="0" xfId="8" applyFont="1" applyFill="1">
      <alignment horizontal="left" vertical="center"/>
    </xf>
    <xf numFmtId="0" fontId="73" fillId="0" borderId="0" xfId="0" applyFont="1" applyAlignment="1">
      <alignment horizontal="left" vertical="center"/>
    </xf>
    <xf numFmtId="0" fontId="0" fillId="0" borderId="0" xfId="0" applyAlignment="1">
      <alignment horizontal="left" vertical="center"/>
    </xf>
    <xf numFmtId="0" fontId="28" fillId="4" borderId="0" xfId="8" applyAlignment="1">
      <alignment horizontal="right" vertical="center"/>
    </xf>
    <xf numFmtId="0" fontId="73" fillId="4" borderId="0" xfId="0" applyFont="1" applyFill="1" applyAlignment="1">
      <alignment horizontal="left" vertical="center"/>
    </xf>
    <xf numFmtId="0" fontId="41" fillId="4" borderId="0" xfId="8" applyFont="1" applyAlignment="1">
      <alignment horizontal="right" vertical="center"/>
    </xf>
    <xf numFmtId="0" fontId="77" fillId="4" borderId="0" xfId="0" applyFont="1" applyFill="1"/>
    <xf numFmtId="0" fontId="73" fillId="0" borderId="0" xfId="0" applyFont="1"/>
    <xf numFmtId="0" fontId="73" fillId="0" borderId="0" xfId="7" applyFont="1" applyFill="1">
      <alignment horizontal="left" vertical="center"/>
    </xf>
    <xf numFmtId="0" fontId="73" fillId="4" borderId="0" xfId="0" applyFont="1" applyFill="1"/>
    <xf numFmtId="0" fontId="73" fillId="4" borderId="0" xfId="7" applyFont="1">
      <alignment horizontal="left" vertical="center"/>
    </xf>
    <xf numFmtId="0" fontId="3" fillId="0" borderId="17" xfId="56" applyBorder="1">
      <alignment horizontal="center" vertical="center"/>
    </xf>
    <xf numFmtId="0" fontId="10" fillId="4" borderId="0" xfId="55" applyFill="1"/>
    <xf numFmtId="0" fontId="74" fillId="4" borderId="2" xfId="52" applyFont="1">
      <alignment horizontal="center" vertical="center"/>
    </xf>
    <xf numFmtId="0" fontId="0" fillId="0" borderId="0" xfId="55" applyFont="1" applyAlignment="1">
      <alignment vertical="center"/>
    </xf>
    <xf numFmtId="0" fontId="0" fillId="0" borderId="0" xfId="55" applyFont="1"/>
    <xf numFmtId="0" fontId="10" fillId="4" borderId="1" xfId="55" applyFill="1" applyBorder="1"/>
    <xf numFmtId="0" fontId="78" fillId="0" borderId="0" xfId="8" applyFont="1" applyFill="1">
      <alignment horizontal="left" vertical="center"/>
    </xf>
    <xf numFmtId="0" fontId="31" fillId="13" borderId="11" xfId="39" quotePrefix="1" applyBorder="1">
      <alignment horizontal="left" vertical="center"/>
    </xf>
    <xf numFmtId="0" fontId="79" fillId="4" borderId="0" xfId="0" applyFont="1" applyFill="1"/>
    <xf numFmtId="0" fontId="0" fillId="4" borderId="1" xfId="0" applyFill="1" applyBorder="1"/>
    <xf numFmtId="0" fontId="0" fillId="4" borderId="0" xfId="0" quotePrefix="1" applyFill="1"/>
    <xf numFmtId="0" fontId="80" fillId="4" borderId="1" xfId="0" applyFont="1" applyFill="1" applyBorder="1"/>
    <xf numFmtId="0" fontId="82" fillId="4" borderId="1" xfId="0" applyFont="1" applyFill="1" applyBorder="1"/>
    <xf numFmtId="0" fontId="79" fillId="0" borderId="0" xfId="0" applyFont="1"/>
    <xf numFmtId="0" fontId="1" fillId="0" borderId="0" xfId="70"/>
    <xf numFmtId="0" fontId="0" fillId="0" borderId="0" xfId="8" applyFont="1" applyFill="1" applyAlignment="1">
      <alignment horizontal="left" vertical="center" wrapText="1"/>
    </xf>
    <xf numFmtId="0" fontId="0" fillId="0" borderId="0" xfId="29" applyFont="1" applyFill="1" applyProtection="1">
      <alignment horizontal="center" vertical="center"/>
    </xf>
    <xf numFmtId="0" fontId="1" fillId="4" borderId="0" xfId="70" applyFill="1"/>
    <xf numFmtId="0" fontId="83" fillId="4" borderId="0" xfId="71">
      <alignment horizontal="left" vertical="center"/>
    </xf>
    <xf numFmtId="0" fontId="31" fillId="13" borderId="29" xfId="39" applyBorder="1">
      <alignment horizontal="left" vertical="center"/>
    </xf>
    <xf numFmtId="0" fontId="1" fillId="0" borderId="0" xfId="70" applyAlignment="1">
      <alignment horizontal="center" vertical="center" wrapText="1"/>
    </xf>
    <xf numFmtId="0" fontId="0" fillId="0" borderId="0" xfId="14" applyFont="1" applyBorder="1">
      <alignment horizontal="center" vertical="center"/>
    </xf>
    <xf numFmtId="4" fontId="0" fillId="0" borderId="0" xfId="17" applyFont="1" applyBorder="1">
      <alignment horizontal="center" vertical="center"/>
    </xf>
    <xf numFmtId="0" fontId="67" fillId="4" borderId="0" xfId="55" applyFont="1" applyFill="1" applyAlignment="1" applyProtection="1">
      <alignment horizontal="center"/>
      <protection locked="0"/>
    </xf>
    <xf numFmtId="0" fontId="67" fillId="4" borderId="0" xfId="55" applyFont="1" applyFill="1" applyAlignment="1">
      <alignment horizontal="center" vertical="center"/>
    </xf>
    <xf numFmtId="0" fontId="0" fillId="0" borderId="0" xfId="17" applyNumberFormat="1" applyFont="1" applyBorder="1">
      <alignment horizontal="center" vertical="center"/>
    </xf>
    <xf numFmtId="0" fontId="4" fillId="12" borderId="17" xfId="15" applyBorder="1" applyAlignment="1">
      <alignment horizontal="center" vertical="center" wrapText="1"/>
    </xf>
    <xf numFmtId="0" fontId="39" fillId="17" borderId="2" xfId="72">
      <alignment horizontal="center" vertical="center"/>
    </xf>
    <xf numFmtId="0" fontId="56" fillId="6" borderId="0" xfId="8" applyFont="1" applyFill="1">
      <alignment horizontal="left" vertical="center"/>
    </xf>
    <xf numFmtId="49" fontId="24" fillId="4" borderId="2" xfId="52" applyNumberFormat="1">
      <alignment horizontal="center" vertical="center"/>
    </xf>
    <xf numFmtId="0" fontId="86" fillId="4" borderId="1" xfId="8" applyFont="1" applyBorder="1">
      <alignment horizontal="left" vertical="center"/>
    </xf>
    <xf numFmtId="4" fontId="24" fillId="4" borderId="2" xfId="63" applyNumberFormat="1">
      <alignment horizontal="left" vertical="center"/>
    </xf>
    <xf numFmtId="0" fontId="56" fillId="2" borderId="0" xfId="8" applyFont="1" applyFill="1">
      <alignment horizontal="left" vertical="center"/>
    </xf>
    <xf numFmtId="0" fontId="21" fillId="11" borderId="0" xfId="61">
      <alignment horizontal="left" vertical="center" indent="1"/>
    </xf>
    <xf numFmtId="171" fontId="28" fillId="4" borderId="25" xfId="8" applyNumberFormat="1" applyBorder="1">
      <alignment horizontal="left" vertical="center"/>
    </xf>
    <xf numFmtId="0" fontId="7" fillId="4" borderId="25" xfId="53" applyBorder="1">
      <alignment horizontal="left" vertical="center"/>
    </xf>
    <xf numFmtId="0" fontId="28" fillId="4" borderId="0" xfId="8" applyBorder="1">
      <alignment horizontal="left" vertical="center"/>
    </xf>
  </cellXfs>
  <cellStyles count="73">
    <cellStyle name="Alert" xfId="59" xr:uid="{34EFE908-8095-4010-8F93-8CFE88055637}"/>
    <cellStyle name="Arguments" xfId="63" xr:uid="{D74147AB-B374-43DE-928A-C20FDAA7023A}"/>
    <cellStyle name="Arguments hyperlink" xfId="62" xr:uid="{E9A63CA8-EB4E-4FD6-930A-AD1711340AFB}"/>
    <cellStyle name="Back to top link" xfId="69" xr:uid="{2460A68E-87AD-403D-B001-09ED6AD9D4A3}"/>
    <cellStyle name="Block heading" xfId="5" xr:uid="{74527274-3B4A-494A-B37C-EA50686E114C}"/>
    <cellStyle name="Block subheading" xfId="47" xr:uid="{34E62905-A3E0-4883-B81A-BDB58FC88DA7}"/>
    <cellStyle name="Block subheading 2" xfId="71" xr:uid="{8F02D068-FFB1-4C48-B3D3-9F0EF0E7AF45}"/>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3" xfId="70" xr:uid="{8160DE9D-F89A-4A5C-9DFE-3F70D411DC39}"/>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2" xr:uid="{4A2179BD-A3DC-4B59-9F2D-91E0AD851AA1}"/>
    <cellStyle name="Variable type other" xfId="64" xr:uid="{105BD9DE-B567-4DA0-87E6-C60A0ECC1C65}"/>
  </cellStyles>
  <dxfs count="475">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numFmt numFmtId="175" formatCode="[$-C09]d\ mmmm\ yyyy;@"/>
    </dxf>
    <dxf>
      <numFmt numFmtId="175"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numFmt numFmtId="170"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74"/>
      <tableStyleElement type="headerRow" dxfId="473"/>
      <tableStyleElement type="totalRow" dxfId="472"/>
      <tableStyleElement type="firstColumn" dxfId="471"/>
      <tableStyleElement type="firstRowStripe" dxfId="470"/>
      <tableStyleElement type="secondRowStripe" dxfId="469"/>
    </tableStyle>
    <tableStyle name="Equation table" pivot="0" count="6" xr9:uid="{B247698E-E41D-4CCD-AA0A-C14817E9DE65}">
      <tableStyleElement type="wholeTable" dxfId="468"/>
      <tableStyleElement type="headerRow" dxfId="467"/>
      <tableStyleElement type="totalRow" dxfId="466"/>
      <tableStyleElement type="firstColumn" dxfId="465"/>
      <tableStyleElement type="firstRowStripe" dxfId="464"/>
      <tableStyleElement type="secondRowStripe" dxfId="463"/>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 Target="richData/rdrichvalu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Structure" Target="richData/rdrichvaluestructure.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22/10/relationships/richValueRel" Target="richData/richValueRel.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0-227B-45F3-B52E-695A15E52E1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1-227B-45F3-B52E-695A15E52E1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2-227B-45F3-B52E-695A15E52E19}"/>
              </c:ext>
            </c:extLst>
          </c:dPt>
          <c:dPt>
            <c:idx val="3"/>
            <c:bubble3D val="0"/>
            <c:spPr>
              <a:solidFill>
                <a:schemeClr val="accent5"/>
              </a:solidFill>
              <a:ln w="19050">
                <a:solidFill>
                  <a:schemeClr val="lt1"/>
                </a:solidFill>
              </a:ln>
              <a:effectLst/>
            </c:spPr>
            <c:extLst>
              <c:ext xmlns:c16="http://schemas.microsoft.com/office/drawing/2014/chart" uri="{C3380CC4-5D6E-409C-BE32-E72D297353CC}">
                <c16:uniqueId val="{00000003-227B-45F3-B52E-695A15E52E19}"/>
              </c:ext>
            </c:extLst>
          </c:dPt>
          <c:dPt>
            <c:idx val="4"/>
            <c:bubble3D val="0"/>
            <c:spPr>
              <a:solidFill>
                <a:schemeClr val="accent6"/>
              </a:solidFill>
              <a:ln w="19050">
                <a:solidFill>
                  <a:schemeClr val="lt1"/>
                </a:solidFill>
              </a:ln>
              <a:effectLst/>
            </c:spPr>
            <c:extLst>
              <c:ext xmlns:c16="http://schemas.microsoft.com/office/drawing/2014/chart" uri="{C3380CC4-5D6E-409C-BE32-E72D297353CC}">
                <c16:uniqueId val="{00000004-227B-45F3-B52E-695A15E52E19}"/>
              </c:ext>
            </c:extLst>
          </c:dPt>
          <c:dPt>
            <c:idx val="5"/>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5-227B-45F3-B52E-695A15E52E19}"/>
              </c:ext>
            </c:extLst>
          </c:dPt>
          <c:dPt>
            <c:idx val="6"/>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6-227B-45F3-B52E-695A15E52E19}"/>
              </c:ext>
            </c:extLst>
          </c:dPt>
          <c:dPt>
            <c:idx val="7"/>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7-227B-45F3-B52E-695A15E52E19}"/>
              </c:ext>
            </c:extLst>
          </c:dPt>
          <c:dPt>
            <c:idx val="8"/>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8-227B-45F3-B52E-695A15E52E19}"/>
              </c:ext>
            </c:extLst>
          </c:dPt>
          <c:dPt>
            <c:idx val="9"/>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227B-45F3-B52E-695A15E52E19}"/>
              </c:ext>
            </c:extLst>
          </c:dPt>
          <c:dPt>
            <c:idx val="10"/>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A-227B-45F3-B52E-695A15E52E19}"/>
              </c:ext>
            </c:extLst>
          </c:dPt>
          <c:dPt>
            <c:idx val="11"/>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B-227B-45F3-B52E-695A15E52E19}"/>
              </c:ext>
            </c:extLst>
          </c:dPt>
          <c:dPt>
            <c:idx val="12"/>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C-227B-45F3-B52E-695A15E52E19}"/>
              </c:ext>
            </c:extLst>
          </c:dPt>
          <c:dPt>
            <c:idx val="13"/>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D-227B-45F3-B52E-695A15E52E19}"/>
              </c:ext>
            </c:extLst>
          </c:dPt>
          <c:dPt>
            <c:idx val="14"/>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E-227B-45F3-B52E-695A15E52E19}"/>
              </c:ext>
            </c:extLst>
          </c:dPt>
          <c:dPt>
            <c:idx val="15"/>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F-227B-45F3-B52E-695A15E52E19}"/>
              </c:ext>
            </c:extLst>
          </c:dPt>
          <c:dPt>
            <c:idx val="1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0-227B-45F3-B52E-695A15E52E19}"/>
              </c:ext>
            </c:extLst>
          </c:dPt>
          <c:dPt>
            <c:idx val="17"/>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11-227B-45F3-B52E-695A15E52E19}"/>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5-1D46-471F-A554-8DB4147A1A93}"/>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7-1D46-471F-A554-8DB4147A1A93}"/>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9-1D46-471F-A554-8DB4147A1A93}"/>
              </c:ext>
            </c:extLst>
          </c:dPt>
          <c:dPt>
            <c:idx val="3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B-1D46-471F-A554-8DB4147A1A93}"/>
              </c:ext>
            </c:extLst>
          </c:dPt>
          <c:cat>
            <c:strRef>
              <c:f>'Results - Activity period'!$D$10:$D$42</c:f>
              <c:strCache>
                <c:ptCount val="33"/>
                <c:pt idx="0">
                  <c:v>3.3.1.1-2 Enteric methane</c:v>
                </c:pt>
                <c:pt idx="1">
                  <c:v>4.3.1.1-2 Manure methane</c:v>
                </c:pt>
                <c:pt idx="2">
                  <c:v>4.3.1.3-4 Manure direct N2O</c:v>
                </c:pt>
                <c:pt idx="3">
                  <c:v>4.3.1.5 Manure atmospheric deposition</c:v>
                </c:pt>
                <c:pt idx="4">
                  <c:v>4.3.1.6-7 Manure leaching and runoff</c:v>
                </c:pt>
                <c:pt idx="5">
                  <c:v>4.3.1.9 Soil direct N2O</c:v>
                </c:pt>
                <c:pt idx="6">
                  <c:v>4.3.1.10-11 Soil atmospheric deposition</c:v>
                </c:pt>
                <c:pt idx="7">
                  <c:v>4.3.1.12-13 Soil leaching and runoff</c:v>
                </c:pt>
                <c:pt idx="8">
                  <c:v>5.1.1.1-2 Inorganic fert N2O</c:v>
                </c:pt>
                <c:pt idx="9">
                  <c:v>5.1.1.3-4 Inorganic fert CO2</c:v>
                </c:pt>
                <c:pt idx="10">
                  <c:v>5.2.1.1-2 Organic fert N2O</c:v>
                </c:pt>
                <c:pt idx="11">
                  <c:v>5.3.1.1-2 Lime CO2</c:v>
                </c:pt>
                <c:pt idx="12">
                  <c:v>5.4.1.1-4 Atmos. deposition</c:v>
                </c:pt>
                <c:pt idx="13">
                  <c:v>5.5.1.1-2 Leaching &amp; runoff</c:v>
                </c:pt>
                <c:pt idx="14">
                  <c:v>6.2.1.1-2 Pasture residue N2O</c:v>
                </c:pt>
                <c:pt idx="15">
                  <c:v>6.3.1.1-2 Leach &amp; runoff (pasture)</c:v>
                </c:pt>
                <c:pt idx="16">
                  <c:v>8.1.1.1-2 Transport fuel CO2</c:v>
                </c:pt>
                <c:pt idx="17">
                  <c:v>8.1.1.1-2 Transport fuel CH4</c:v>
                </c:pt>
                <c:pt idx="18">
                  <c:v>8.1.1.1-2 Transport fuel N2O</c:v>
                </c:pt>
                <c:pt idx="19">
                  <c:v>8.2.1.1-2 Stationary fuel CO2</c:v>
                </c:pt>
                <c:pt idx="20">
                  <c:v>8.2.1.1-2 Stationary fuel CH4</c:v>
                </c:pt>
                <c:pt idx="21">
                  <c:v>8.2.1.1-2 Stationary fuel N2O</c:v>
                </c:pt>
                <c:pt idx="22">
                  <c:v>9.1.1.1-2 Refrigerant leakage - Gas 1</c:v>
                </c:pt>
                <c:pt idx="23">
                  <c:v>9.1.1.1-2 Refrigerant leakage - Gas 2</c:v>
                </c:pt>
                <c:pt idx="24">
                  <c:v>9.1.1.1-2 Refrigerant leakage - Gas 3</c:v>
                </c:pt>
                <c:pt idx="25">
                  <c:v>9.1.1.1-2 Refrigerant leakage - Gas 4</c:v>
                </c:pt>
                <c:pt idx="26">
                  <c:v>9.1.1.1-2 Refrigerant leakage - Gas 5</c:v>
                </c:pt>
                <c:pt idx="27">
                  <c:v>9.1.1.1-2 Refrigerant leakage - Gas 6</c:v>
                </c:pt>
                <c:pt idx="28">
                  <c:v>9.1.1.1-2 Refrigerant leakage - Gas 7</c:v>
                </c:pt>
                <c:pt idx="29">
                  <c:v>9.1.1.1-2 Refrigerant leakage - Gas 8</c:v>
                </c:pt>
                <c:pt idx="30">
                  <c:v>9.1.1.1-2 Refrigerant leakage - Gas 9</c:v>
                </c:pt>
                <c:pt idx="31">
                  <c:v>9.1.1.1-2 Refrigerant leakage - Gas 10</c:v>
                </c:pt>
                <c:pt idx="32">
                  <c:v>10.1.1-2 Solid waste treatment</c:v>
                </c:pt>
              </c:strCache>
            </c:strRef>
          </c:cat>
          <c:val>
            <c:numRef>
              <c:f>'Results - Activity period'!$I$10:$I$42</c:f>
              <c:numCache>
                <c:formatCode>General</c:formatCode>
                <c:ptCount val="33"/>
                <c:pt idx="0">
                  <c:v>909.01111515171999</c:v>
                </c:pt>
                <c:pt idx="1">
                  <c:v>297.9397859949857</c:v>
                </c:pt>
                <c:pt idx="2">
                  <c:v>15.628540852948646</c:v>
                </c:pt>
                <c:pt idx="3">
                  <c:v>12.53443459308008</c:v>
                </c:pt>
                <c:pt idx="4">
                  <c:v>0.68765579752974049</c:v>
                </c:pt>
                <c:pt idx="5">
                  <c:v>19.799859585942059</c:v>
                </c:pt>
                <c:pt idx="6">
                  <c:v>12.266013013491106</c:v>
                </c:pt>
                <c:pt idx="7">
                  <c:v>26.135814653443521</c:v>
                </c:pt>
                <c:pt idx="8">
                  <c:v>449.1879660714286</c:v>
                </c:pt>
                <c:pt idx="9">
                  <c:v>184.92752666666664</c:v>
                </c:pt>
                <c:pt idx="10">
                  <c:v>14.783214285714285</c:v>
                </c:pt>
                <c:pt idx="11">
                  <c:v>758.08333333333326</c:v>
                </c:pt>
                <c:pt idx="12">
                  <c:v>3.6632804999999999</c:v>
                </c:pt>
                <c:pt idx="13">
                  <c:v>208.79811197520002</c:v>
                </c:pt>
                <c:pt idx="14">
                  <c:v>1.545491357142857E-4</c:v>
                </c:pt>
                <c:pt idx="15">
                  <c:v>8.1601943657142831E-5</c:v>
                </c:pt>
                <c:pt idx="16">
                  <c:v>83.182000000000002</c:v>
                </c:pt>
                <c:pt idx="17">
                  <c:v>5.5736800000000004</c:v>
                </c:pt>
                <c:pt idx="18">
                  <c:v>154.89250000000001</c:v>
                </c:pt>
                <c:pt idx="19">
                  <c:v>29.070800000000002</c:v>
                </c:pt>
                <c:pt idx="20">
                  <c:v>2.0272000000000001</c:v>
                </c:pt>
                <c:pt idx="21">
                  <c:v>18.921000000000003</c:v>
                </c:pt>
                <c:pt idx="22">
                  <c:v>1.1860424000000003</c:v>
                </c:pt>
                <c:pt idx="23">
                  <c:v>2.0794287500000004</c:v>
                </c:pt>
                <c:pt idx="24">
                  <c:v>70.007256000000027</c:v>
                </c:pt>
                <c:pt idx="25">
                  <c:v>34.780656319599998</c:v>
                </c:pt>
                <c:pt idx="26">
                  <c:v>0</c:v>
                </c:pt>
                <c:pt idx="27">
                  <c:v>0</c:v>
                </c:pt>
                <c:pt idx="28">
                  <c:v>0</c:v>
                </c:pt>
                <c:pt idx="29">
                  <c:v>0</c:v>
                </c:pt>
                <c:pt idx="30">
                  <c:v>0</c:v>
                </c:pt>
                <c:pt idx="31">
                  <c:v>0</c:v>
                </c:pt>
                <c:pt idx="32">
                  <c:v>438.82805000000002</c:v>
                </c:pt>
              </c:numCache>
            </c:numRef>
          </c:val>
          <c:extLst>
            <c:ext xmlns:c16="http://schemas.microsoft.com/office/drawing/2014/chart" uri="{C3380CC4-5D6E-409C-BE32-E72D297353CC}">
              <c16:uniqueId val="{00000013-227B-45F3-B52E-695A15E52E19}"/>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period'!$D$55:$D$70</c:f>
              <c:strCache>
                <c:ptCount val="16"/>
                <c:pt idx="0">
                  <c:v>15.1.1.1 Purchased livestock</c:v>
                </c:pt>
                <c:pt idx="1">
                  <c:v>15.2.1.1 Purchased feed</c:v>
                </c:pt>
                <c:pt idx="2">
                  <c:v>15.3.1.1 Mineral supplements</c:v>
                </c:pt>
                <c:pt idx="3">
                  <c:v>15.4.1.1 Fertiliser</c:v>
                </c:pt>
                <c:pt idx="4">
                  <c:v>15.5.1.1 Agrichemicals</c:v>
                </c:pt>
                <c:pt idx="5">
                  <c:v>15.6.1.1 Lime</c:v>
                </c:pt>
                <c:pt idx="6">
                  <c:v>15.7.1.1 Services and contractor operations</c:v>
                </c:pt>
                <c:pt idx="7">
                  <c:v>15.10.1.1 Other: Cleaning chemicals</c:v>
                </c:pt>
                <c:pt idx="8">
                  <c:v>15.10.1.1 Other: Pharmacy chemicals</c:v>
                </c:pt>
                <c:pt idx="9">
                  <c:v>15.10.1.1 Other: Miscellaneous</c:v>
                </c:pt>
                <c:pt idx="10">
                  <c:v>15.10.1.1 Other: Uncategorised</c:v>
                </c:pt>
                <c:pt idx="11">
                  <c:v>15.11.1.1 Fuel</c:v>
                </c:pt>
                <c:pt idx="12">
                  <c:v>15.12.1.1 Purchased electricity (Location-based)</c:v>
                </c:pt>
                <c:pt idx="13">
                  <c:v>15.14.1.1 Incoming freight</c:v>
                </c:pt>
                <c:pt idx="14">
                  <c:v>15.13.1.1 Waste sent to treatment facility</c:v>
                </c:pt>
                <c:pt idx="15">
                  <c:v>15.14.1.1 Outgoing freight</c:v>
                </c:pt>
              </c:strCache>
            </c:strRef>
          </c:cat>
          <c:val>
            <c:numRef>
              <c:f>'Results - Activity period'!$I$55:$I$70</c:f>
              <c:numCache>
                <c:formatCode>General</c:formatCode>
                <c:ptCount val="16"/>
                <c:pt idx="0">
                  <c:v>415.625</c:v>
                </c:pt>
                <c:pt idx="1">
                  <c:v>0.52978000000000003</c:v>
                </c:pt>
                <c:pt idx="2">
                  <c:v>0.16</c:v>
                </c:pt>
                <c:pt idx="3">
                  <c:v>650.23033520000001</c:v>
                </c:pt>
                <c:pt idx="4">
                  <c:v>7.4959999999999996</c:v>
                </c:pt>
                <c:pt idx="5">
                  <c:v>0.14399999999999999</c:v>
                </c:pt>
                <c:pt idx="6">
                  <c:v>42</c:v>
                </c:pt>
                <c:pt idx="7">
                  <c:v>2.73</c:v>
                </c:pt>
                <c:pt idx="8">
                  <c:v>1.3400000000000002E-2</c:v>
                </c:pt>
                <c:pt idx="9">
                  <c:v>2.5860000000000001E-2</c:v>
                </c:pt>
                <c:pt idx="10">
                  <c:v>4000</c:v>
                </c:pt>
                <c:pt idx="11">
                  <c:v>26.794</c:v>
                </c:pt>
                <c:pt idx="12">
                  <c:v>2.7</c:v>
                </c:pt>
                <c:pt idx="13">
                  <c:v>5146700</c:v>
                </c:pt>
                <c:pt idx="14">
                  <c:v>441.15000000000003</c:v>
                </c:pt>
                <c:pt idx="15">
                  <c:v>432640</c:v>
                </c:pt>
              </c:numCache>
            </c:numRef>
          </c:val>
          <c:extLst>
            <c:ext xmlns:c16="http://schemas.microsoft.com/office/drawing/2014/chart" uri="{C3380CC4-5D6E-409C-BE32-E72D297353CC}">
              <c16:uniqueId val="{00000000-0F29-4E9C-9E7F-06D3C7CB3D31}"/>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571500</xdr:colOff>
      <xdr:row>8</xdr:row>
      <xdr:rowOff>85725</xdr:rowOff>
    </xdr:from>
    <xdr:to>
      <xdr:col>15</xdr:col>
      <xdr:colOff>1600201</xdr:colOff>
      <xdr:row>40</xdr:row>
      <xdr:rowOff>171450</xdr:rowOff>
    </xdr:to>
    <xdr:graphicFrame macro="">
      <xdr:nvGraphicFramePr>
        <xdr:cNvPr id="2" name="Chart 1">
          <a:extLst>
            <a:ext uri="{FF2B5EF4-FFF2-40B4-BE49-F238E27FC236}">
              <a16:creationId xmlns:a16="http://schemas.microsoft.com/office/drawing/2014/main" id="{ED53CDE4-3247-4C93-861E-E7CBBFACF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400050</xdr:colOff>
      <xdr:row>54</xdr:row>
      <xdr:rowOff>57150</xdr:rowOff>
    </xdr:from>
    <xdr:to>
      <xdr:col>15</xdr:col>
      <xdr:colOff>1428751</xdr:colOff>
      <xdr:row>76</xdr:row>
      <xdr:rowOff>38100</xdr:rowOff>
    </xdr:to>
    <xdr:graphicFrame macro="">
      <xdr:nvGraphicFramePr>
        <xdr:cNvPr id="3" name="Chart 2">
          <a:extLst>
            <a:ext uri="{FF2B5EF4-FFF2-40B4-BE49-F238E27FC236}">
              <a16:creationId xmlns:a16="http://schemas.microsoft.com/office/drawing/2014/main" id="{FC666EB7-C8F0-4B4B-B0CA-6959176D0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44</xdr:row>
      <xdr:rowOff>200025</xdr:rowOff>
    </xdr:from>
    <xdr:to>
      <xdr:col>9</xdr:col>
      <xdr:colOff>1443037</xdr:colOff>
      <xdr:row>56</xdr:row>
      <xdr:rowOff>85725</xdr:rowOff>
    </xdr:to>
    <xdr:graphicFrame macro="">
      <xdr:nvGraphicFramePr>
        <xdr:cNvPr id="2" name="Chart 1">
          <a:extLst>
            <a:ext uri="{FF2B5EF4-FFF2-40B4-BE49-F238E27FC236}">
              <a16:creationId xmlns:a16="http://schemas.microsoft.com/office/drawing/2014/main" id="{BE232CA8-6F05-4062-8274-F6BE83123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78B0D3CB-BA4C-49D2-8AB5-FDA06BCA1A89}"/>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800" b="1" i="0" u="none" strike="noStrike">
              <a:solidFill>
                <a:srgbClr val="0C769E"/>
              </a:solidFill>
              <a:latin typeface="Times New Roman"/>
              <a:ea typeface="+mn-ea"/>
              <a:cs typeface="Times New Roman"/>
            </a:rPr>
            <a:pPr marL="0" indent="0"/>
            <a:t>377.3314145</a:t>
          </a:fld>
          <a:endParaRPr lang="en-AU" sz="2800" b="1" i="0" u="none" strike="noStrike">
            <a:solidFill>
              <a:srgbClr val="0C769E"/>
            </a:solidFill>
            <a:latin typeface="Times New Roman"/>
            <a:ea typeface="+mn-ea"/>
            <a:cs typeface="Times New Roman"/>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B79AC6DC-1203-4AF1-A412-AEE4BCC48FB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800" b="1" i="0" u="none" strike="noStrike">
              <a:solidFill>
                <a:srgbClr val="0C769E"/>
              </a:solidFill>
              <a:latin typeface="Times New Roman"/>
              <a:ea typeface="+mn-ea"/>
              <a:cs typeface="Times New Roman"/>
            </a:rPr>
            <a:pPr marL="0" indent="0"/>
            <a:t>564.1497335</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4">
      <xdr:nvSpPr>
        <xdr:cNvPr id="5" name="TextBox 4">
          <a:extLst>
            <a:ext uri="{FF2B5EF4-FFF2-40B4-BE49-F238E27FC236}">
              <a16:creationId xmlns:a16="http://schemas.microsoft.com/office/drawing/2014/main" id="{8606D01F-4738-4521-B74D-63263D45F688}"/>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800" b="1" i="0" u="none" strike="noStrike">
              <a:solidFill>
                <a:srgbClr val="4F4789"/>
              </a:solidFill>
              <a:latin typeface="Times New Roman"/>
              <a:ea typeface="+mn-ea"/>
              <a:cs typeface="Times New Roman"/>
            </a:rPr>
            <a:pPr marL="0" indent="0"/>
            <a:t>551.8029568</a:t>
          </a:fld>
          <a:endParaRPr lang="en-AU" sz="2800" b="1" i="0" u="none" strike="noStrike">
            <a:solidFill>
              <a:srgbClr val="4F4789"/>
            </a:solidFill>
            <a:latin typeface="Times New Roman"/>
            <a:ea typeface="+mn-ea"/>
            <a:cs typeface="Times New Roman"/>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4">
      <xdr:nvSpPr>
        <xdr:cNvPr id="6" name="TextBox 5">
          <a:extLst>
            <a:ext uri="{FF2B5EF4-FFF2-40B4-BE49-F238E27FC236}">
              <a16:creationId xmlns:a16="http://schemas.microsoft.com/office/drawing/2014/main" id="{4E5E4FC2-3E1B-409E-9125-222B728CB256}"/>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800" b="1" i="0" u="none" strike="noStrike">
              <a:solidFill>
                <a:srgbClr val="4F4789"/>
              </a:solidFill>
              <a:latin typeface="Times New Roman"/>
              <a:ea typeface="+mn-ea"/>
              <a:cs typeface="Times New Roman"/>
            </a:rPr>
            <a:pPr marL="0" indent="0"/>
            <a:t>825.0028463</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2352115</xdr:colOff>
      <xdr:row>14</xdr:row>
      <xdr:rowOff>42582</xdr:rowOff>
    </xdr:from>
    <xdr:to>
      <xdr:col>4</xdr:col>
      <xdr:colOff>1256740</xdr:colOff>
      <xdr:row>16</xdr:row>
      <xdr:rowOff>154080</xdr:rowOff>
    </xdr:to>
    <xdr:sp macro="" textlink="$H$45">
      <xdr:nvSpPr>
        <xdr:cNvPr id="7" name="TextBox 6">
          <a:extLst>
            <a:ext uri="{FF2B5EF4-FFF2-40B4-BE49-F238E27FC236}">
              <a16:creationId xmlns:a16="http://schemas.microsoft.com/office/drawing/2014/main" id="{C4E923B1-3F7C-4408-AD1D-A000198E4E7D}"/>
            </a:ext>
          </a:extLst>
        </xdr:cNvPr>
        <xdr:cNvSpPr txBox="1"/>
      </xdr:nvSpPr>
      <xdr:spPr>
        <a:xfrm>
          <a:off x="5028640" y="3643032"/>
          <a:ext cx="2486025" cy="606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800" b="1" i="0" u="none" strike="noStrike">
              <a:solidFill>
                <a:srgbClr val="0C769E"/>
              </a:solidFill>
              <a:latin typeface="Times New Roman"/>
              <a:ea typeface="+mn-ea"/>
              <a:cs typeface="Times New Roman"/>
            </a:rPr>
            <a:pPr marL="0" indent="0"/>
            <a:t>377.3314145</a:t>
          </a:fld>
          <a:endParaRPr lang="en-AU" sz="2800" b="1" i="0" u="none" strike="noStrike">
            <a:solidFill>
              <a:srgbClr val="0C769E"/>
            </a:solidFill>
            <a:latin typeface="Times New Roman"/>
            <a:ea typeface="+mn-ea"/>
            <a:cs typeface="Times New Roman"/>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3A3C8740-AD3E-4747-B1C2-090EFB174033}"/>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800" b="1" i="0" u="none" strike="noStrike">
              <a:solidFill>
                <a:srgbClr val="0C769E"/>
              </a:solidFill>
              <a:latin typeface="Times New Roman"/>
              <a:ea typeface="+mn-ea"/>
              <a:cs typeface="Times New Roman"/>
            </a:rPr>
            <a:pPr marL="0" indent="0"/>
            <a:t>564.1497335</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8D698C23-A440-44D6-A7A6-A5156D304D67}"/>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F98F9FF4-5CB1-42A3-B4EF-6EFDBA9EDACF}"/>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A8F458F7-D36B-4180-9607-A56BBD8611B7}"/>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2D565D1A-AD43-488B-AD2B-4750EF75FBFF}"/>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0D9F4D46-A489-4DC2-A877-89E77C038142}"/>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64EA25F-A54A-41DB-B5EE-347FFC975000}"/>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D1330543-EAA9-429E-96B9-1D38E776272C}"/>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40D8909C-9A30-4D51-AE86-D78FECC4CCD5}"/>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2906587F-0EE4-4B86-B4AC-EDFECE39F252}"/>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D58C6125-361D-422A-8EDB-F0E2CECD4B9E}"/>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03DA92B1-C429-48F4-9458-6C91E93C5E37}"/>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B6B09905-CB21-4518-9846-CBCE010398FE}"/>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81A42E93-BE91-4128-BBAA-459E6DA89607}"/>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3</xdr:col>
      <xdr:colOff>9525</xdr:colOff>
      <xdr:row>16</xdr:row>
      <xdr:rowOff>49306</xdr:rowOff>
    </xdr:from>
    <xdr:ext cx="1641988" cy="254493"/>
    <xdr:sp macro="" textlink="">
      <xdr:nvSpPr>
        <xdr:cNvPr id="22" name="TextBox 21">
          <a:extLst>
            <a:ext uri="{FF2B5EF4-FFF2-40B4-BE49-F238E27FC236}">
              <a16:creationId xmlns:a16="http://schemas.microsoft.com/office/drawing/2014/main" id="{7845BEA1-E468-4A60-8EB3-46836D53964C}"/>
            </a:ext>
          </a:extLst>
        </xdr:cNvPr>
        <xdr:cNvSpPr txBox="1"/>
      </xdr:nvSpPr>
      <xdr:spPr>
        <a:xfrm>
          <a:off x="3086100" y="4145056"/>
          <a:ext cx="164198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milk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8AA9119C-2A3A-4AC0-9558-9CADB28E1D59}"/>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3</xdr:col>
      <xdr:colOff>104775</xdr:colOff>
      <xdr:row>21</xdr:row>
      <xdr:rowOff>43269</xdr:rowOff>
    </xdr:from>
    <xdr:to>
      <xdr:col>7</xdr:col>
      <xdr:colOff>1044948</xdr:colOff>
      <xdr:row>21</xdr:row>
      <xdr:rowOff>59951</xdr:rowOff>
    </xdr:to>
    <xdr:cxnSp macro="">
      <xdr:nvCxnSpPr>
        <xdr:cNvPr id="24" name="Straight Connector 23">
          <a:extLst>
            <a:ext uri="{FF2B5EF4-FFF2-40B4-BE49-F238E27FC236}">
              <a16:creationId xmlns:a16="http://schemas.microsoft.com/office/drawing/2014/main" id="{8D64E034-B0D2-4A8E-ADA8-44431DC4E0C5}"/>
            </a:ext>
          </a:extLst>
        </xdr:cNvPr>
        <xdr:cNvCxnSpPr/>
      </xdr:nvCxnSpPr>
      <xdr:spPr>
        <a:xfrm flipV="1">
          <a:off x="3181350" y="5377269"/>
          <a:ext cx="106651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35144003-582E-4774-8D3E-CD478B4A4459}"/>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22C9F784-E8E8-4377-87AC-2F4B911997E6}"/>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07D7150C-4955-44CD-9F64-B65C25394D35}"/>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DBF57A93-D5E3-4AD1-84FE-5F5F173F1C47}"/>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9B909584-D1D3-48E3-B164-7CA41F1E8361}"/>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641988" cy="254493"/>
    <xdr:sp macro="" textlink="">
      <xdr:nvSpPr>
        <xdr:cNvPr id="30" name="TextBox 29">
          <a:extLst>
            <a:ext uri="{FF2B5EF4-FFF2-40B4-BE49-F238E27FC236}">
              <a16:creationId xmlns:a16="http://schemas.microsoft.com/office/drawing/2014/main" id="{74E84307-1461-4D97-A9BB-C6242587B450}"/>
            </a:ext>
          </a:extLst>
        </xdr:cNvPr>
        <xdr:cNvSpPr txBox="1"/>
      </xdr:nvSpPr>
      <xdr:spPr>
        <a:xfrm>
          <a:off x="5409640" y="4145056"/>
          <a:ext cx="164198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milk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16</xdr:row>
      <xdr:rowOff>49306</xdr:rowOff>
    </xdr:from>
    <xdr:ext cx="1641988" cy="254493"/>
    <xdr:sp macro="" textlink="">
      <xdr:nvSpPr>
        <xdr:cNvPr id="31" name="TextBox 30">
          <a:extLst>
            <a:ext uri="{FF2B5EF4-FFF2-40B4-BE49-F238E27FC236}">
              <a16:creationId xmlns:a16="http://schemas.microsoft.com/office/drawing/2014/main" id="{B1B70FF3-9F14-49FB-B374-784B2F16D448}"/>
            </a:ext>
          </a:extLst>
        </xdr:cNvPr>
        <xdr:cNvSpPr txBox="1"/>
      </xdr:nvSpPr>
      <xdr:spPr>
        <a:xfrm>
          <a:off x="8886264" y="4145056"/>
          <a:ext cx="164198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milk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16</xdr:row>
      <xdr:rowOff>49306</xdr:rowOff>
    </xdr:from>
    <xdr:ext cx="1641988" cy="254493"/>
    <xdr:sp macro="" textlink="">
      <xdr:nvSpPr>
        <xdr:cNvPr id="32" name="TextBox 31">
          <a:extLst>
            <a:ext uri="{FF2B5EF4-FFF2-40B4-BE49-F238E27FC236}">
              <a16:creationId xmlns:a16="http://schemas.microsoft.com/office/drawing/2014/main" id="{C245D905-3AF6-4459-AE06-18CCCC382746}"/>
            </a:ext>
          </a:extLst>
        </xdr:cNvPr>
        <xdr:cNvSpPr txBox="1"/>
      </xdr:nvSpPr>
      <xdr:spPr>
        <a:xfrm>
          <a:off x="11371169" y="4145056"/>
          <a:ext cx="164198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milk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9525</xdr:colOff>
      <xdr:row>28</xdr:row>
      <xdr:rowOff>38660</xdr:rowOff>
    </xdr:from>
    <xdr:ext cx="1681166" cy="254493"/>
    <xdr:sp macro="" textlink="">
      <xdr:nvSpPr>
        <xdr:cNvPr id="33" name="TextBox 32">
          <a:extLst>
            <a:ext uri="{FF2B5EF4-FFF2-40B4-BE49-F238E27FC236}">
              <a16:creationId xmlns:a16="http://schemas.microsoft.com/office/drawing/2014/main" id="{3F6A1A88-4FA8-4872-8AAB-BA4222F619B3}"/>
            </a:ext>
          </a:extLst>
        </xdr:cNvPr>
        <xdr:cNvSpPr txBox="1"/>
      </xdr:nvSpPr>
      <xdr:spPr>
        <a:xfrm>
          <a:off x="3086100" y="7106210"/>
          <a:ext cx="168116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milk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2342590</xdr:colOff>
      <xdr:row>28</xdr:row>
      <xdr:rowOff>38660</xdr:rowOff>
    </xdr:from>
    <xdr:ext cx="1641988" cy="254493"/>
    <xdr:sp macro="" textlink="">
      <xdr:nvSpPr>
        <xdr:cNvPr id="34" name="TextBox 33">
          <a:extLst>
            <a:ext uri="{FF2B5EF4-FFF2-40B4-BE49-F238E27FC236}">
              <a16:creationId xmlns:a16="http://schemas.microsoft.com/office/drawing/2014/main" id="{CFF100AC-8D9F-4845-80C9-97ED083ACEB1}"/>
            </a:ext>
          </a:extLst>
        </xdr:cNvPr>
        <xdr:cNvSpPr txBox="1"/>
      </xdr:nvSpPr>
      <xdr:spPr>
        <a:xfrm>
          <a:off x="5419165" y="7106210"/>
          <a:ext cx="164198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milk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28</xdr:row>
      <xdr:rowOff>38660</xdr:rowOff>
    </xdr:from>
    <xdr:ext cx="1641988" cy="254493"/>
    <xdr:sp macro="" textlink="">
      <xdr:nvSpPr>
        <xdr:cNvPr id="35" name="TextBox 34">
          <a:extLst>
            <a:ext uri="{FF2B5EF4-FFF2-40B4-BE49-F238E27FC236}">
              <a16:creationId xmlns:a16="http://schemas.microsoft.com/office/drawing/2014/main" id="{0FAE8ED8-FA5A-400C-9BC4-6689D2F1CA82}"/>
            </a:ext>
          </a:extLst>
        </xdr:cNvPr>
        <xdr:cNvSpPr txBox="1"/>
      </xdr:nvSpPr>
      <xdr:spPr>
        <a:xfrm>
          <a:off x="8886264" y="7106210"/>
          <a:ext cx="164198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milk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28</xdr:row>
      <xdr:rowOff>38660</xdr:rowOff>
    </xdr:from>
    <xdr:ext cx="1641988" cy="254493"/>
    <xdr:sp macro="" textlink="">
      <xdr:nvSpPr>
        <xdr:cNvPr id="36" name="TextBox 35">
          <a:extLst>
            <a:ext uri="{FF2B5EF4-FFF2-40B4-BE49-F238E27FC236}">
              <a16:creationId xmlns:a16="http://schemas.microsoft.com/office/drawing/2014/main" id="{BE161644-3676-4831-B2F1-BDCB060BC5A8}"/>
            </a:ext>
          </a:extLst>
        </xdr:cNvPr>
        <xdr:cNvSpPr txBox="1"/>
      </xdr:nvSpPr>
      <xdr:spPr>
        <a:xfrm>
          <a:off x="11371169" y="7106210"/>
          <a:ext cx="164198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milk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2371165</xdr:colOff>
      <xdr:row>26</xdr:row>
      <xdr:rowOff>117662</xdr:rowOff>
    </xdr:from>
    <xdr:to>
      <xdr:col>4</xdr:col>
      <xdr:colOff>875740</xdr:colOff>
      <xdr:row>29</xdr:row>
      <xdr:rowOff>70596</xdr:rowOff>
    </xdr:to>
    <xdr:sp macro="" textlink="$H$55">
      <xdr:nvSpPr>
        <xdr:cNvPr id="37" name="TextBox 36">
          <a:extLst>
            <a:ext uri="{FF2B5EF4-FFF2-40B4-BE49-F238E27FC236}">
              <a16:creationId xmlns:a16="http://schemas.microsoft.com/office/drawing/2014/main" id="{E2794362-FD00-4B0E-8CCC-73C4691E02BC}"/>
            </a:ext>
          </a:extLst>
        </xdr:cNvPr>
        <xdr:cNvSpPr txBox="1"/>
      </xdr:nvSpPr>
      <xdr:spPr>
        <a:xfrm>
          <a:off x="5447740" y="6689912"/>
          <a:ext cx="2085975" cy="695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800" b="1" i="0" u="none" strike="noStrike">
              <a:solidFill>
                <a:srgbClr val="4F4789"/>
              </a:solidFill>
              <a:latin typeface="Times New Roman"/>
              <a:ea typeface="+mn-ea"/>
              <a:cs typeface="Times New Roman"/>
            </a:rPr>
            <a:pPr marL="0" indent="0"/>
            <a:t>551.8029568</a:t>
          </a:fld>
          <a:endParaRPr lang="en-AU" sz="2800" b="1" i="0" u="none" strike="noStrike">
            <a:solidFill>
              <a:srgbClr val="4F4789"/>
            </a:solidFill>
            <a:latin typeface="Times New Roman"/>
            <a:ea typeface="+mn-ea"/>
            <a:cs typeface="Times New Roman"/>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5">
      <xdr:nvSpPr>
        <xdr:cNvPr id="38" name="TextBox 37">
          <a:extLst>
            <a:ext uri="{FF2B5EF4-FFF2-40B4-BE49-F238E27FC236}">
              <a16:creationId xmlns:a16="http://schemas.microsoft.com/office/drawing/2014/main" id="{D20C5A59-6475-4866-9AF4-C4CB44B06895}"/>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800" b="1" i="0" u="none" strike="noStrike">
              <a:solidFill>
                <a:srgbClr val="4F4789"/>
              </a:solidFill>
              <a:latin typeface="Times New Roman"/>
              <a:ea typeface="+mn-ea"/>
              <a:cs typeface="Times New Roman"/>
            </a:rPr>
            <a:pPr marL="0" indent="0"/>
            <a:t>825.0028463</a:t>
          </a:fld>
          <a:endParaRPr lang="en-AU" sz="2800" b="1" i="0" u="none" strike="noStrike">
            <a:solidFill>
              <a:srgbClr val="4F4789"/>
            </a:solidFill>
            <a:latin typeface="Times New Roman"/>
            <a:ea typeface="+mn-ea"/>
            <a:cs typeface="Times New Roman"/>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6">
      <xdr:nvSpPr>
        <xdr:cNvPr id="39" name="TextBox 38">
          <a:extLst>
            <a:ext uri="{FF2B5EF4-FFF2-40B4-BE49-F238E27FC236}">
              <a16:creationId xmlns:a16="http://schemas.microsoft.com/office/drawing/2014/main" id="{30B44379-00BA-40AB-9D25-A93340A53236}"/>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800" b="1" i="0" u="none" strike="noStrike">
              <a:solidFill>
                <a:srgbClr val="0C769E"/>
              </a:solidFill>
              <a:latin typeface="Times New Roman"/>
              <a:ea typeface="+mn-ea"/>
              <a:cs typeface="Times New Roman"/>
            </a:rPr>
            <a:pPr marL="0" indent="0"/>
            <a:t>377.3314145</a:t>
          </a:fld>
          <a:endParaRPr lang="en-AU" sz="2800" b="1" i="0" u="none" strike="noStrike">
            <a:solidFill>
              <a:srgbClr val="0C769E"/>
            </a:solidFill>
            <a:latin typeface="Times New Roman"/>
            <a:ea typeface="+mn-ea"/>
            <a:cs typeface="Times New Roman"/>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6">
      <xdr:nvSpPr>
        <xdr:cNvPr id="40" name="TextBox 39">
          <a:extLst>
            <a:ext uri="{FF2B5EF4-FFF2-40B4-BE49-F238E27FC236}">
              <a16:creationId xmlns:a16="http://schemas.microsoft.com/office/drawing/2014/main" id="{B40A6A85-0C67-445A-BE0B-D8EC55AB578A}"/>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800" b="1" i="0" u="none" strike="noStrike">
              <a:solidFill>
                <a:srgbClr val="0C769E"/>
              </a:solidFill>
              <a:latin typeface="Times New Roman"/>
              <a:ea typeface="+mn-ea"/>
              <a:cs typeface="Times New Roman"/>
            </a:rPr>
            <a:pPr marL="0" indent="0"/>
            <a:t>564.1497335</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6">
      <xdr:nvSpPr>
        <xdr:cNvPr id="41" name="TextBox 40">
          <a:extLst>
            <a:ext uri="{FF2B5EF4-FFF2-40B4-BE49-F238E27FC236}">
              <a16:creationId xmlns:a16="http://schemas.microsoft.com/office/drawing/2014/main" id="{87672113-DEF9-43EF-B481-26CA4A855BF9}"/>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04829A4-655E-4A93-964B-29A986B4CF47}" type="TxLink">
            <a:rPr lang="en-US" sz="2800" b="1" i="0" u="none" strike="noStrike">
              <a:solidFill>
                <a:srgbClr val="4F4789"/>
              </a:solidFill>
              <a:latin typeface="Times New Roman"/>
              <a:ea typeface="+mn-ea"/>
              <a:cs typeface="Times New Roman"/>
            </a:rPr>
            <a:pPr marL="0" indent="0"/>
            <a:t>155.5877412</a:t>
          </a:fld>
          <a:endParaRPr lang="en-AU" sz="2800" b="1" i="0" u="none" strike="noStrike">
            <a:solidFill>
              <a:srgbClr val="4F4789"/>
            </a:solidFill>
            <a:latin typeface="Times New Roman"/>
            <a:ea typeface="+mn-ea"/>
            <a:cs typeface="Times New Roman"/>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6">
      <xdr:nvSpPr>
        <xdr:cNvPr id="42" name="TextBox 41">
          <a:extLst>
            <a:ext uri="{FF2B5EF4-FFF2-40B4-BE49-F238E27FC236}">
              <a16:creationId xmlns:a16="http://schemas.microsoft.com/office/drawing/2014/main" id="{41D3BB0D-B017-4934-86D6-FFC93C0AD3FC}"/>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BBBCB15-12D1-4F38-83A0-0D71BCF1AE39}" type="TxLink">
            <a:rPr lang="en-US" sz="2800" b="1" i="0" u="none" strike="noStrike">
              <a:solidFill>
                <a:srgbClr val="4F4789"/>
              </a:solidFill>
              <a:latin typeface="Times New Roman"/>
              <a:ea typeface="+mn-ea"/>
              <a:cs typeface="Times New Roman"/>
            </a:rPr>
            <a:pPr marL="0" indent="0"/>
            <a:t>232.6198651</a:t>
          </a:fld>
          <a:endParaRPr lang="en-AU" sz="2800" b="1" i="0" u="none" strike="noStrike">
            <a:solidFill>
              <a:srgbClr val="4F4789"/>
            </a:solidFill>
            <a:latin typeface="Times New Roman"/>
            <a:ea typeface="+mn-ea"/>
            <a:cs typeface="Times New Roman"/>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7">
      <xdr:nvSpPr>
        <xdr:cNvPr id="43" name="TextBox 42">
          <a:extLst>
            <a:ext uri="{FF2B5EF4-FFF2-40B4-BE49-F238E27FC236}">
              <a16:creationId xmlns:a16="http://schemas.microsoft.com/office/drawing/2014/main" id="{51EF60C6-ED4F-40AB-A1E7-D320FE1526D8}"/>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800" b="1" i="0" u="none" strike="noStrike">
              <a:solidFill>
                <a:srgbClr val="0C769E"/>
              </a:solidFill>
              <a:latin typeface="Times New Roman"/>
              <a:ea typeface="+mn-ea"/>
              <a:cs typeface="Times New Roman"/>
            </a:rPr>
            <a:pPr marL="0" indent="0"/>
            <a:t>377.33141451569</a:t>
          </a:fld>
          <a:endParaRPr lang="en-AU" sz="2800" b="1" i="0" u="none" strike="noStrike">
            <a:solidFill>
              <a:srgbClr val="0C769E"/>
            </a:solidFill>
            <a:latin typeface="Times New Roman"/>
            <a:ea typeface="+mn-ea"/>
            <a:cs typeface="Times New Roman"/>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7">
      <xdr:nvSpPr>
        <xdr:cNvPr id="44" name="TextBox 43">
          <a:extLst>
            <a:ext uri="{FF2B5EF4-FFF2-40B4-BE49-F238E27FC236}">
              <a16:creationId xmlns:a16="http://schemas.microsoft.com/office/drawing/2014/main" id="{93E7B2ED-53E2-4F5D-AE47-CDF5229A23F4}"/>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800" b="1" i="0" u="none" strike="noStrike">
              <a:solidFill>
                <a:srgbClr val="0C769E"/>
              </a:solidFill>
              <a:latin typeface="Times New Roman"/>
              <a:ea typeface="+mn-ea"/>
              <a:cs typeface="Times New Roman"/>
            </a:rPr>
            <a:pPr marL="0" indent="0"/>
            <a:t>564.14973346537</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119FC38-7A77-48C8-9A9E-51739ECFCE68}"/>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A0D87528-A936-4C70-B734-8806D5941F90}"/>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BBAA6DE7-AA21-4A37-A377-7C16A05149A8}"/>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A12A3AE8-8EAC-43D5-82A3-214395B77E1C}"/>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8</xdr:col>
      <xdr:colOff>666750</xdr:colOff>
      <xdr:row>10</xdr:row>
      <xdr:rowOff>147552</xdr:rowOff>
    </xdr:from>
    <xdr:to>
      <xdr:col>14</xdr:col>
      <xdr:colOff>282948</xdr:colOff>
      <xdr:row>10</xdr:row>
      <xdr:rowOff>162485</xdr:rowOff>
    </xdr:to>
    <xdr:cxnSp macro="">
      <xdr:nvCxnSpPr>
        <xdr:cNvPr id="49" name="Straight Connector 48">
          <a:extLst>
            <a:ext uri="{FF2B5EF4-FFF2-40B4-BE49-F238E27FC236}">
              <a16:creationId xmlns:a16="http://schemas.microsoft.com/office/drawing/2014/main" id="{C6AD53B5-0EBC-4D2B-AC1A-8ADAABE52B72}"/>
            </a:ext>
          </a:extLst>
        </xdr:cNvPr>
        <xdr:cNvCxnSpPr/>
      </xdr:nvCxnSpPr>
      <xdr:spPr>
        <a:xfrm flipV="1">
          <a:off x="14982825" y="2271627"/>
          <a:ext cx="1046517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627282BF-3C86-4D34-BEFF-03C2F8DFAA65}"/>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12</xdr:col>
      <xdr:colOff>593912</xdr:colOff>
      <xdr:row>12</xdr:row>
      <xdr:rowOff>150158</xdr:rowOff>
    </xdr:from>
    <xdr:to>
      <xdr:col>14</xdr:col>
      <xdr:colOff>483451</xdr:colOff>
      <xdr:row>14</xdr:row>
      <xdr:rowOff>33056</xdr:rowOff>
    </xdr:to>
    <xdr:sp macro="" textlink="$J$44">
      <xdr:nvSpPr>
        <xdr:cNvPr id="51" name="TextBox 50">
          <a:extLst>
            <a:ext uri="{FF2B5EF4-FFF2-40B4-BE49-F238E27FC236}">
              <a16:creationId xmlns:a16="http://schemas.microsoft.com/office/drawing/2014/main" id="{622F2FF7-6F0F-4B7F-9322-2581A83B66EE}"/>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6260320-09A3-4A85-B538-03E1C8002E0E}"/>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6E93A7C8-1231-494D-A4B2-6435EE296095}"/>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301997</xdr:colOff>
      <xdr:row>12</xdr:row>
      <xdr:rowOff>73958</xdr:rowOff>
    </xdr:to>
    <xdr:cxnSp macro="">
      <xdr:nvCxnSpPr>
        <xdr:cNvPr id="54" name="Straight Connector 53">
          <a:extLst>
            <a:ext uri="{FF2B5EF4-FFF2-40B4-BE49-F238E27FC236}">
              <a16:creationId xmlns:a16="http://schemas.microsoft.com/office/drawing/2014/main" id="{A7ABEB87-732C-4110-9F49-635B9C930D9C}"/>
            </a:ext>
          </a:extLst>
        </xdr:cNvPr>
        <xdr:cNvCxnSpPr/>
      </xdr:nvCxnSpPr>
      <xdr:spPr>
        <a:xfrm>
          <a:off x="20616582" y="2598083"/>
          <a:ext cx="485046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7A9DFCD6-354F-4DC0-AC0C-79D0D8176EE0}"/>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DFE36D00-C565-40A3-853E-49D79A8B26D6}"/>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92AA1009-2D5B-4D65-AFB9-238713C7CDBB}"/>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8</xdr:col>
      <xdr:colOff>619125</xdr:colOff>
      <xdr:row>16</xdr:row>
      <xdr:rowOff>49306</xdr:rowOff>
    </xdr:from>
    <xdr:ext cx="1978747" cy="254493"/>
    <xdr:sp macro="" textlink="">
      <xdr:nvSpPr>
        <xdr:cNvPr id="58" name="TextBox 57">
          <a:extLst>
            <a:ext uri="{FF2B5EF4-FFF2-40B4-BE49-F238E27FC236}">
              <a16:creationId xmlns:a16="http://schemas.microsoft.com/office/drawing/2014/main" id="{383F350A-F491-4B1E-8F6C-D675C3A83E4E}"/>
            </a:ext>
          </a:extLst>
        </xdr:cNvPr>
        <xdr:cNvSpPr txBox="1"/>
      </xdr:nvSpPr>
      <xdr:spPr>
        <a:xfrm>
          <a:off x="1493520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7646FA67-4297-4372-B223-6BD542F21F60}"/>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8</xdr:col>
      <xdr:colOff>666750</xdr:colOff>
      <xdr:row>22</xdr:row>
      <xdr:rowOff>43269</xdr:rowOff>
    </xdr:from>
    <xdr:to>
      <xdr:col>14</xdr:col>
      <xdr:colOff>330573</xdr:colOff>
      <xdr:row>22</xdr:row>
      <xdr:rowOff>59951</xdr:rowOff>
    </xdr:to>
    <xdr:cxnSp macro="">
      <xdr:nvCxnSpPr>
        <xdr:cNvPr id="60" name="Straight Connector 59">
          <a:extLst>
            <a:ext uri="{FF2B5EF4-FFF2-40B4-BE49-F238E27FC236}">
              <a16:creationId xmlns:a16="http://schemas.microsoft.com/office/drawing/2014/main" id="{F41B62DE-975E-4D07-B304-F80B7633B754}"/>
            </a:ext>
          </a:extLst>
        </xdr:cNvPr>
        <xdr:cNvCxnSpPr/>
      </xdr:nvCxnSpPr>
      <xdr:spPr>
        <a:xfrm flipV="1">
          <a:off x="14982825" y="4567644"/>
          <a:ext cx="105127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9651F736-7D84-4B5E-85E0-567A855476CF}"/>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27674019-B56E-44A5-9E02-AD4A76367199}"/>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5EFDD5AC-6929-4EFA-B107-5A80D33BB742}"/>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340097</xdr:colOff>
      <xdr:row>23</xdr:row>
      <xdr:rowOff>168088</xdr:rowOff>
    </xdr:to>
    <xdr:cxnSp macro="">
      <xdr:nvCxnSpPr>
        <xdr:cNvPr id="64" name="Straight Connector 63">
          <a:extLst>
            <a:ext uri="{FF2B5EF4-FFF2-40B4-BE49-F238E27FC236}">
              <a16:creationId xmlns:a16="http://schemas.microsoft.com/office/drawing/2014/main" id="{FB61A9E9-8D02-4583-95EE-20CB78A3D6F2}"/>
            </a:ext>
          </a:extLst>
        </xdr:cNvPr>
        <xdr:cNvCxnSpPr/>
      </xdr:nvCxnSpPr>
      <xdr:spPr>
        <a:xfrm>
          <a:off x="20616582" y="4892488"/>
          <a:ext cx="4888565"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978747" cy="254493"/>
    <xdr:sp macro="" textlink="">
      <xdr:nvSpPr>
        <xdr:cNvPr id="65" name="TextBox 64">
          <a:extLst>
            <a:ext uri="{FF2B5EF4-FFF2-40B4-BE49-F238E27FC236}">
              <a16:creationId xmlns:a16="http://schemas.microsoft.com/office/drawing/2014/main" id="{49D16235-366F-41AA-86CA-221B92F7E305}"/>
            </a:ext>
          </a:extLst>
        </xdr:cNvPr>
        <xdr:cNvSpPr txBox="1"/>
      </xdr:nvSpPr>
      <xdr:spPr>
        <a:xfrm>
          <a:off x="1726770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11</xdr:col>
      <xdr:colOff>156882</xdr:colOff>
      <xdr:row>16</xdr:row>
      <xdr:rowOff>49306</xdr:rowOff>
    </xdr:from>
    <xdr:ext cx="1978747" cy="254493"/>
    <xdr:sp macro="" textlink="">
      <xdr:nvSpPr>
        <xdr:cNvPr id="66" name="TextBox 65">
          <a:extLst>
            <a:ext uri="{FF2B5EF4-FFF2-40B4-BE49-F238E27FC236}">
              <a16:creationId xmlns:a16="http://schemas.microsoft.com/office/drawing/2014/main" id="{26A80387-390D-4364-A3D1-879279F6AB3E}"/>
            </a:ext>
          </a:extLst>
        </xdr:cNvPr>
        <xdr:cNvSpPr txBox="1"/>
      </xdr:nvSpPr>
      <xdr:spPr>
        <a:xfrm>
          <a:off x="20616582"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593912</xdr:colOff>
      <xdr:row>16</xdr:row>
      <xdr:rowOff>49306</xdr:rowOff>
    </xdr:from>
    <xdr:ext cx="1978747" cy="254493"/>
    <xdr:sp macro="" textlink="">
      <xdr:nvSpPr>
        <xdr:cNvPr id="67" name="TextBox 66">
          <a:extLst>
            <a:ext uri="{FF2B5EF4-FFF2-40B4-BE49-F238E27FC236}">
              <a16:creationId xmlns:a16="http://schemas.microsoft.com/office/drawing/2014/main" id="{F03A9E52-D0BB-4B90-B515-4338C98F1A3A}"/>
            </a:ext>
          </a:extLst>
        </xdr:cNvPr>
        <xdr:cNvSpPr txBox="1"/>
      </xdr:nvSpPr>
      <xdr:spPr>
        <a:xfrm>
          <a:off x="23101487"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8</xdr:col>
      <xdr:colOff>619125</xdr:colOff>
      <xdr:row>28</xdr:row>
      <xdr:rowOff>38660</xdr:rowOff>
    </xdr:from>
    <xdr:ext cx="1978747" cy="254493"/>
    <xdr:sp macro="" textlink="">
      <xdr:nvSpPr>
        <xdr:cNvPr id="68" name="TextBox 67">
          <a:extLst>
            <a:ext uri="{FF2B5EF4-FFF2-40B4-BE49-F238E27FC236}">
              <a16:creationId xmlns:a16="http://schemas.microsoft.com/office/drawing/2014/main" id="{A7154D4B-6532-4827-A858-06228134784A}"/>
            </a:ext>
          </a:extLst>
        </xdr:cNvPr>
        <xdr:cNvSpPr txBox="1"/>
      </xdr:nvSpPr>
      <xdr:spPr>
        <a:xfrm>
          <a:off x="1493520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9</xdr:col>
      <xdr:colOff>913279</xdr:colOff>
      <xdr:row>28</xdr:row>
      <xdr:rowOff>38660</xdr:rowOff>
    </xdr:from>
    <xdr:ext cx="1978747" cy="254493"/>
    <xdr:sp macro="" textlink="">
      <xdr:nvSpPr>
        <xdr:cNvPr id="69" name="TextBox 68">
          <a:extLst>
            <a:ext uri="{FF2B5EF4-FFF2-40B4-BE49-F238E27FC236}">
              <a16:creationId xmlns:a16="http://schemas.microsoft.com/office/drawing/2014/main" id="{5FC31ABD-E0E2-4051-9433-F568AF3A7F34}"/>
            </a:ext>
          </a:extLst>
        </xdr:cNvPr>
        <xdr:cNvSpPr txBox="1"/>
      </xdr:nvSpPr>
      <xdr:spPr>
        <a:xfrm>
          <a:off x="1727722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11</xdr:col>
      <xdr:colOff>156882</xdr:colOff>
      <xdr:row>28</xdr:row>
      <xdr:rowOff>38660</xdr:rowOff>
    </xdr:from>
    <xdr:ext cx="1978747" cy="254493"/>
    <xdr:sp macro="" textlink="">
      <xdr:nvSpPr>
        <xdr:cNvPr id="70" name="TextBox 69">
          <a:extLst>
            <a:ext uri="{FF2B5EF4-FFF2-40B4-BE49-F238E27FC236}">
              <a16:creationId xmlns:a16="http://schemas.microsoft.com/office/drawing/2014/main" id="{AAF44FA9-3B7E-4F00-A78C-61984CFA77C8}"/>
            </a:ext>
          </a:extLst>
        </xdr:cNvPr>
        <xdr:cNvSpPr txBox="1"/>
      </xdr:nvSpPr>
      <xdr:spPr>
        <a:xfrm>
          <a:off x="20616582"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660587</xdr:colOff>
      <xdr:row>28</xdr:row>
      <xdr:rowOff>29135</xdr:rowOff>
    </xdr:from>
    <xdr:ext cx="1978747" cy="254493"/>
    <xdr:sp macro="" textlink="">
      <xdr:nvSpPr>
        <xdr:cNvPr id="71" name="TextBox 70">
          <a:extLst>
            <a:ext uri="{FF2B5EF4-FFF2-40B4-BE49-F238E27FC236}">
              <a16:creationId xmlns:a16="http://schemas.microsoft.com/office/drawing/2014/main" id="{00FF77AD-FE62-4281-9EAB-92AE0B68F507}"/>
            </a:ext>
          </a:extLst>
        </xdr:cNvPr>
        <xdr:cNvSpPr txBox="1"/>
      </xdr:nvSpPr>
      <xdr:spPr>
        <a:xfrm>
          <a:off x="23168162" y="5753660"/>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7">
      <xdr:nvSpPr>
        <xdr:cNvPr id="72" name="TextBox 71">
          <a:extLst>
            <a:ext uri="{FF2B5EF4-FFF2-40B4-BE49-F238E27FC236}">
              <a16:creationId xmlns:a16="http://schemas.microsoft.com/office/drawing/2014/main" id="{FDD776B0-6BD5-4A9C-A8F8-21088F62BA87}"/>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85047ED-CBF8-4719-9134-5BB20C92AD4F}" type="TxLink">
            <a:rPr lang="en-US" sz="2800" b="1" i="0" u="none" strike="noStrike">
              <a:solidFill>
                <a:srgbClr val="4F4789"/>
              </a:solidFill>
              <a:latin typeface="Times New Roman"/>
              <a:ea typeface="+mn-ea"/>
              <a:cs typeface="Times New Roman"/>
            </a:rPr>
            <a:pPr marL="0" indent="0"/>
            <a:t>155.5877412</a:t>
          </a:fld>
          <a:endParaRPr lang="en-AU" sz="2800" b="1" i="0" u="none" strike="noStrike">
            <a:solidFill>
              <a:srgbClr val="4F4789"/>
            </a:solidFill>
            <a:latin typeface="Times New Roman"/>
            <a:ea typeface="+mn-ea"/>
            <a:cs typeface="Times New Roman"/>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7">
      <xdr:nvSpPr>
        <xdr:cNvPr id="73" name="TextBox 72">
          <a:extLst>
            <a:ext uri="{FF2B5EF4-FFF2-40B4-BE49-F238E27FC236}">
              <a16:creationId xmlns:a16="http://schemas.microsoft.com/office/drawing/2014/main" id="{683A1B7D-E638-41A7-8E76-A98B56DAD3A6}"/>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B499BF7-EBD0-4E79-A816-6137BC9BCCC9}" type="TxLink">
            <a:rPr lang="en-US" sz="2800" b="1" i="0" u="none" strike="noStrike">
              <a:solidFill>
                <a:srgbClr val="4F4789"/>
              </a:solidFill>
              <a:latin typeface="Times New Roman"/>
              <a:ea typeface="+mn-ea"/>
              <a:cs typeface="Times New Roman"/>
            </a:rPr>
            <a:pPr marL="0" indent="0"/>
            <a:t>232.6198651</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704B110F-434F-48F6-9C99-23652D2F1A99}"/>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Milk sold</a:t>
          </a:r>
        </a:p>
      </xdr:txBody>
    </xdr:sp>
    <xdr:clientData/>
  </xdr:twoCellAnchor>
  <xdr:twoCellAnchor editAs="oneCell">
    <xdr:from>
      <xdr:col>3</xdr:col>
      <xdr:colOff>113741</xdr:colOff>
      <xdr:row>4</xdr:row>
      <xdr:rowOff>38099</xdr:rowOff>
    </xdr:from>
    <xdr:to>
      <xdr:col>3</xdr:col>
      <xdr:colOff>954995</xdr:colOff>
      <xdr:row>7</xdr:row>
      <xdr:rowOff>89088</xdr:rowOff>
    </xdr:to>
    <xdr:pic>
      <xdr:nvPicPr>
        <xdr:cNvPr id="75" name="Picture 74">
          <a:extLst>
            <a:ext uri="{FF2B5EF4-FFF2-40B4-BE49-F238E27FC236}">
              <a16:creationId xmlns:a16="http://schemas.microsoft.com/office/drawing/2014/main" id="{485FBA4E-4C13-4DC8-9363-BC4F7B4E129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5449" r="5449"/>
        <a:stretch/>
      </xdr:blipFill>
      <xdr:spPr>
        <a:xfrm>
          <a:off x="2790266" y="1162049"/>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80F76DBA-A216-4C00-9FE7-C57A9F30E72D}"/>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Liveweight sold</a:t>
          </a:r>
        </a:p>
      </xdr:txBody>
    </xdr:sp>
    <xdr:clientData/>
  </xdr:twoCellAnchor>
  <xdr:twoCellAnchor editAs="oneCell">
    <xdr:from>
      <xdr:col>8</xdr:col>
      <xdr:colOff>660061</xdr:colOff>
      <xdr:row>4</xdr:row>
      <xdr:rowOff>0</xdr:rowOff>
    </xdr:from>
    <xdr:to>
      <xdr:col>8</xdr:col>
      <xdr:colOff>1587703</xdr:colOff>
      <xdr:row>7</xdr:row>
      <xdr:rowOff>136712</xdr:rowOff>
    </xdr:to>
    <xdr:pic>
      <xdr:nvPicPr>
        <xdr:cNvPr id="77" name="Picture 76">
          <a:extLst>
            <a:ext uri="{FF2B5EF4-FFF2-40B4-BE49-F238E27FC236}">
              <a16:creationId xmlns:a16="http://schemas.microsoft.com/office/drawing/2014/main" id="{FD1C4F22-2E79-4681-92AB-AFA0F61510A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t="1444" b="1444"/>
        <a:stretch/>
      </xdr:blipFill>
      <xdr:spPr>
        <a:xfrm flipH="1">
          <a:off x="15109486" y="1123950"/>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44</xdr:row>
      <xdr:rowOff>200025</xdr:rowOff>
    </xdr:from>
    <xdr:to>
      <xdr:col>9</xdr:col>
      <xdr:colOff>1443037</xdr:colOff>
      <xdr:row>56</xdr:row>
      <xdr:rowOff>85725</xdr:rowOff>
    </xdr:to>
    <xdr:graphicFrame macro="">
      <xdr:nvGraphicFramePr>
        <xdr:cNvPr id="78" name="Chart 77">
          <a:extLst>
            <a:ext uri="{FF2B5EF4-FFF2-40B4-BE49-F238E27FC236}">
              <a16:creationId xmlns:a16="http://schemas.microsoft.com/office/drawing/2014/main" id="{A77066F2-41B1-4020-99E9-DE2BF39F8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89A5ABD-6749-4090-87ED-1E2EFEB02A5F}"/>
                </a:ext>
              </a:extLst>
            </xdr:cNvPr>
            <xdr:cNvSpPr txBox="1"/>
          </xdr:nvSpPr>
          <xdr:spPr>
            <a:xfrm>
              <a:off x="2671762" y="2148363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89A5ABD-6749-4090-87ED-1E2EFEB02A5F}"/>
                </a:ext>
              </a:extLst>
            </xdr:cNvPr>
            <xdr:cNvSpPr txBox="1"/>
          </xdr:nvSpPr>
          <xdr:spPr>
            <a:xfrm>
              <a:off x="2671762" y="2148363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4A9C18A-9D5E-493A-8D41-ED539261FC8C}"/>
                </a:ext>
              </a:extLst>
            </xdr:cNvPr>
            <xdr:cNvSpPr txBox="1"/>
          </xdr:nvSpPr>
          <xdr:spPr>
            <a:xfrm>
              <a:off x="2709862" y="144637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3" name="TextBox 2">
              <a:extLst>
                <a:ext uri="{FF2B5EF4-FFF2-40B4-BE49-F238E27FC236}">
                  <a16:creationId xmlns:a16="http://schemas.microsoft.com/office/drawing/2014/main" id="{B4A9C18A-9D5E-493A-8D41-ED539261FC8C}"/>
                </a:ext>
              </a:extLst>
            </xdr:cNvPr>
            <xdr:cNvSpPr txBox="1"/>
          </xdr:nvSpPr>
          <xdr:spPr>
            <a:xfrm>
              <a:off x="2709862" y="144637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DBD9968-C55F-4ED7-97F4-1F6409F3A715}"/>
                </a:ext>
              </a:extLst>
            </xdr:cNvPr>
            <xdr:cNvSpPr txBox="1"/>
          </xdr:nvSpPr>
          <xdr:spPr>
            <a:xfrm>
              <a:off x="2700337" y="224313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4" name="TextBox 3">
              <a:extLst>
                <a:ext uri="{FF2B5EF4-FFF2-40B4-BE49-F238E27FC236}">
                  <a16:creationId xmlns:a16="http://schemas.microsoft.com/office/drawing/2014/main" id="{5DBD9968-C55F-4ED7-97F4-1F6409F3A715}"/>
                </a:ext>
              </a:extLst>
            </xdr:cNvPr>
            <xdr:cNvSpPr txBox="1"/>
          </xdr:nvSpPr>
          <xdr:spPr>
            <a:xfrm>
              <a:off x="2700337" y="224313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9053F146-129C-4CCA-BE07-53AF40393096}"/>
                </a:ext>
              </a:extLst>
            </xdr:cNvPr>
            <xdr:cNvSpPr txBox="1"/>
          </xdr:nvSpPr>
          <xdr:spPr>
            <a:xfrm>
              <a:off x="2717987" y="30224505"/>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9053F146-129C-4CCA-BE07-53AF40393096}"/>
                </a:ext>
              </a:extLst>
            </xdr:cNvPr>
            <xdr:cNvSpPr txBox="1"/>
          </xdr:nvSpPr>
          <xdr:spPr>
            <a:xfrm>
              <a:off x="2717987" y="30224505"/>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1E8B64E-139E-45D6-8EA1-B8631815907C}"/>
                </a:ext>
              </a:extLst>
            </xdr:cNvPr>
            <xdr:cNvSpPr txBox="1"/>
          </xdr:nvSpPr>
          <xdr:spPr>
            <a:xfrm>
              <a:off x="2677547" y="3471942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71E8B64E-139E-45D6-8EA1-B8631815907C}"/>
                </a:ext>
              </a:extLst>
            </xdr:cNvPr>
            <xdr:cNvSpPr txBox="1"/>
          </xdr:nvSpPr>
          <xdr:spPr>
            <a:xfrm>
              <a:off x="2677547" y="3471942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B64F15F7-9DE9-4E88-B07E-93261E63A20A}"/>
                </a:ext>
              </a:extLst>
            </xdr:cNvPr>
            <xdr:cNvSpPr txBox="1"/>
          </xdr:nvSpPr>
          <xdr:spPr>
            <a:xfrm>
              <a:off x="2671976" y="3526370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1" i="1">
                            <a:solidFill>
                              <a:srgbClr val="C00000"/>
                            </a:solidFill>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B64F15F7-9DE9-4E88-B07E-93261E63A20A}"/>
                </a:ext>
              </a:extLst>
            </xdr:cNvPr>
            <xdr:cNvSpPr txBox="1"/>
          </xdr:nvSpPr>
          <xdr:spPr>
            <a:xfrm>
              <a:off x="2671976" y="3526370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1" i="0">
                  <a:solidFill>
                    <a:srgbClr val="C00000"/>
                  </a:solidFill>
                  <a:latin typeface="Cambria Math" panose="02040503050406030204" pitchFamily="18" charset="0"/>
                </a:rPr>
                <a:t>〖𝑶𝑹𝑰𝑮𝑰𝑵𝑨𝑳: </a:t>
              </a:r>
              <a:r>
                <a:rPr lang="en-AU" sz="1100" i="0">
                  <a:latin typeface="Cambria Math" panose="02040503050406030204" pitchFamily="18" charset="0"/>
                </a:rPr>
                <a:t>𝐸</a:t>
              </a:r>
              <a:r>
                <a:rPr lang="en-AU" sz="1100" b="1" i="0">
                  <a:solidFill>
                    <a:srgbClr val="C00000"/>
                  </a:solidFill>
                  <a:latin typeface="Cambria Math" panose="02040503050406030204" pitchFamily="18" charset="0"/>
                </a:rPr>
                <a:t>〗_</a:t>
              </a:r>
              <a:r>
                <a:rPr lang="en-AU" sz="1100" i="0">
                  <a:latin typeface="Cambria Math" panose="02040503050406030204" pitchFamily="18" charset="0"/>
                </a:rPr>
                <a:t>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AC5D4D4B-8EEA-40FD-AA04-181852974DA5}"/>
                </a:ext>
              </a:extLst>
            </xdr:cNvPr>
            <xdr:cNvSpPr txBox="1"/>
          </xdr:nvSpPr>
          <xdr:spPr>
            <a:xfrm>
              <a:off x="2686050" y="779145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AC5D4D4B-8EEA-40FD-AA04-181852974DA5}"/>
                </a:ext>
              </a:extLst>
            </xdr:cNvPr>
            <xdr:cNvSpPr txBox="1"/>
          </xdr:nvSpPr>
          <xdr:spPr>
            <a:xfrm>
              <a:off x="2686050" y="779145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57DC541-935F-45B0-A2BC-92B7352A7019}"/>
                </a:ext>
              </a:extLst>
            </xdr:cNvPr>
            <xdr:cNvSpPr txBox="1"/>
          </xdr:nvSpPr>
          <xdr:spPr>
            <a:xfrm>
              <a:off x="2690812" y="2994183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157DC541-935F-45B0-A2BC-92B7352A7019}"/>
                </a:ext>
              </a:extLst>
            </xdr:cNvPr>
            <xdr:cNvSpPr txBox="1"/>
          </xdr:nvSpPr>
          <xdr:spPr>
            <a:xfrm>
              <a:off x="2690812" y="2994183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4BCA8EE-2A76-4F8B-B078-4C43C5C97788}"/>
                </a:ext>
              </a:extLst>
            </xdr:cNvPr>
            <xdr:cNvSpPr txBox="1"/>
          </xdr:nvSpPr>
          <xdr:spPr>
            <a:xfrm>
              <a:off x="2671762" y="212359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64BCA8EE-2A76-4F8B-B078-4C43C5C97788}"/>
                </a:ext>
              </a:extLst>
            </xdr:cNvPr>
            <xdr:cNvSpPr txBox="1"/>
          </xdr:nvSpPr>
          <xdr:spPr>
            <a:xfrm>
              <a:off x="2671762" y="212359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5707600-111E-4883-A52B-4291CCD345DE}"/>
                </a:ext>
              </a:extLst>
            </xdr:cNvPr>
            <xdr:cNvSpPr txBox="1"/>
          </xdr:nvSpPr>
          <xdr:spPr>
            <a:xfrm>
              <a:off x="2690812" y="140446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4" name="TextBox 3">
              <a:extLst>
                <a:ext uri="{FF2B5EF4-FFF2-40B4-BE49-F238E27FC236}">
                  <a16:creationId xmlns:a16="http://schemas.microsoft.com/office/drawing/2014/main" id="{65707600-111E-4883-A52B-4291CCD345DE}"/>
                </a:ext>
              </a:extLst>
            </xdr:cNvPr>
            <xdr:cNvSpPr txBox="1"/>
          </xdr:nvSpPr>
          <xdr:spPr>
            <a:xfrm>
              <a:off x="2690812" y="140446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E22FFEE-7169-461F-BAE4-D77CE8769DA5}"/>
                </a:ext>
              </a:extLst>
            </xdr:cNvPr>
            <xdr:cNvSpPr txBox="1"/>
          </xdr:nvSpPr>
          <xdr:spPr>
            <a:xfrm>
              <a:off x="2700337" y="224313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5" name="TextBox 4">
              <a:extLst>
                <a:ext uri="{FF2B5EF4-FFF2-40B4-BE49-F238E27FC236}">
                  <a16:creationId xmlns:a16="http://schemas.microsoft.com/office/drawing/2014/main" id="{FE22FFEE-7169-461F-BAE4-D77CE8769DA5}"/>
                </a:ext>
              </a:extLst>
            </xdr:cNvPr>
            <xdr:cNvSpPr txBox="1"/>
          </xdr:nvSpPr>
          <xdr:spPr>
            <a:xfrm>
              <a:off x="2700337" y="224313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D86BC03-1160-41CA-BD80-E7BB0F6F142A}"/>
                </a:ext>
              </a:extLst>
            </xdr:cNvPr>
            <xdr:cNvSpPr txBox="1"/>
          </xdr:nvSpPr>
          <xdr:spPr>
            <a:xfrm>
              <a:off x="2690812" y="346852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6" name="TextBox 5">
              <a:extLst>
                <a:ext uri="{FF2B5EF4-FFF2-40B4-BE49-F238E27FC236}">
                  <a16:creationId xmlns:a16="http://schemas.microsoft.com/office/drawing/2014/main" id="{1D86BC03-1160-41CA-BD80-E7BB0F6F142A}"/>
                </a:ext>
              </a:extLst>
            </xdr:cNvPr>
            <xdr:cNvSpPr txBox="1"/>
          </xdr:nvSpPr>
          <xdr:spPr>
            <a:xfrm>
              <a:off x="2690812" y="346852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9F057776-1685-4680-9277-C5133B4A2D83}"/>
                </a:ext>
              </a:extLst>
            </xdr:cNvPr>
            <xdr:cNvSpPr txBox="1"/>
          </xdr:nvSpPr>
          <xdr:spPr>
            <a:xfrm>
              <a:off x="10425112" y="4635341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7" name="TextBox 6">
              <a:extLst>
                <a:ext uri="{FF2B5EF4-FFF2-40B4-BE49-F238E27FC236}">
                  <a16:creationId xmlns:a16="http://schemas.microsoft.com/office/drawing/2014/main" id="{9F057776-1685-4680-9277-C5133B4A2D83}"/>
                </a:ext>
              </a:extLst>
            </xdr:cNvPr>
            <xdr:cNvSpPr txBox="1"/>
          </xdr:nvSpPr>
          <xdr:spPr>
            <a:xfrm>
              <a:off x="10425112" y="4635341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B02B6710-55B0-4514-90BB-EE4FA13304A4}"/>
                </a:ext>
              </a:extLst>
            </xdr:cNvPr>
            <xdr:cNvSpPr txBox="1"/>
          </xdr:nvSpPr>
          <xdr:spPr>
            <a:xfrm>
              <a:off x="2638425" y="463248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8" name="TextBox 7">
              <a:extLst>
                <a:ext uri="{FF2B5EF4-FFF2-40B4-BE49-F238E27FC236}">
                  <a16:creationId xmlns:a16="http://schemas.microsoft.com/office/drawing/2014/main" id="{B02B6710-55B0-4514-90BB-EE4FA13304A4}"/>
                </a:ext>
              </a:extLst>
            </xdr:cNvPr>
            <xdr:cNvSpPr txBox="1"/>
          </xdr:nvSpPr>
          <xdr:spPr>
            <a:xfrm>
              <a:off x="2638425" y="463248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29002742-2003-4A54-B936-CB3CBA8FDEAA}"/>
                </a:ext>
              </a:extLst>
            </xdr:cNvPr>
            <xdr:cNvSpPr txBox="1"/>
          </xdr:nvSpPr>
          <xdr:spPr>
            <a:xfrm>
              <a:off x="2681287" y="5279231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9" name="TextBox 8">
              <a:extLst>
                <a:ext uri="{FF2B5EF4-FFF2-40B4-BE49-F238E27FC236}">
                  <a16:creationId xmlns:a16="http://schemas.microsoft.com/office/drawing/2014/main" id="{29002742-2003-4A54-B936-CB3CBA8FDEAA}"/>
                </a:ext>
              </a:extLst>
            </xdr:cNvPr>
            <xdr:cNvSpPr txBox="1"/>
          </xdr:nvSpPr>
          <xdr:spPr>
            <a:xfrm>
              <a:off x="2681287" y="5279231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792EA68E-1137-4EAE-8218-E2A96C05974C}"/>
                </a:ext>
              </a:extLst>
            </xdr:cNvPr>
            <xdr:cNvSpPr txBox="1"/>
          </xdr:nvSpPr>
          <xdr:spPr>
            <a:xfrm>
              <a:off x="2690812" y="6270783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0" name="TextBox 9">
              <a:extLst>
                <a:ext uri="{FF2B5EF4-FFF2-40B4-BE49-F238E27FC236}">
                  <a16:creationId xmlns:a16="http://schemas.microsoft.com/office/drawing/2014/main" id="{792EA68E-1137-4EAE-8218-E2A96C05974C}"/>
                </a:ext>
              </a:extLst>
            </xdr:cNvPr>
            <xdr:cNvSpPr txBox="1"/>
          </xdr:nvSpPr>
          <xdr:spPr>
            <a:xfrm>
              <a:off x="2690812" y="6270783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BB24AB8-DB50-48C8-97C7-1585F7993420}"/>
                </a:ext>
              </a:extLst>
            </xdr:cNvPr>
            <xdr:cNvSpPr txBox="1"/>
          </xdr:nvSpPr>
          <xdr:spPr>
            <a:xfrm>
              <a:off x="10872787" y="6268878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a:solidFill>
                              <a:srgbClr val="C44340"/>
                            </a:solidFill>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1" name="TextBox 10">
              <a:extLst>
                <a:ext uri="{FF2B5EF4-FFF2-40B4-BE49-F238E27FC236}">
                  <a16:creationId xmlns:a16="http://schemas.microsoft.com/office/drawing/2014/main" id="{0BB24AB8-DB50-48C8-97C7-1585F7993420}"/>
                </a:ext>
              </a:extLst>
            </xdr:cNvPr>
            <xdr:cNvSpPr txBox="1"/>
          </xdr:nvSpPr>
          <xdr:spPr>
            <a:xfrm>
              <a:off x="10872787" y="6268878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a:t>
              </a:r>
              <a:r>
                <a:rPr lang="en-AU" sz="1100" b="0" i="0">
                  <a:solidFill>
                    <a:srgbClr val="C44340"/>
                  </a:solidFill>
                  <a:latin typeface="Cambria Math" panose="02040503050406030204" pitchFamily="18" charset="0"/>
                </a:rPr>
                <a:t>〗_</a:t>
              </a:r>
              <a:r>
                <a:rPr lang="en-AU" sz="1100" i="0">
                  <a:latin typeface="Cambria Math" panose="02040503050406030204" pitchFamily="18" charset="0"/>
                </a:rPr>
                <a:t>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060FEAD0-892E-42E0-9D94-7304D1645A4E}"/>
                </a:ext>
              </a:extLst>
            </xdr:cNvPr>
            <xdr:cNvSpPr txBox="1"/>
          </xdr:nvSpPr>
          <xdr:spPr>
            <a:xfrm>
              <a:off x="2686050" y="779145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12" name="TextBox 11">
              <a:extLst>
                <a:ext uri="{FF2B5EF4-FFF2-40B4-BE49-F238E27FC236}">
                  <a16:creationId xmlns:a16="http://schemas.microsoft.com/office/drawing/2014/main" id="{060FEAD0-892E-42E0-9D94-7304D1645A4E}"/>
                </a:ext>
              </a:extLst>
            </xdr:cNvPr>
            <xdr:cNvSpPr txBox="1"/>
          </xdr:nvSpPr>
          <xdr:spPr>
            <a:xfrm>
              <a:off x="2686050" y="779145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8C77568-26E3-4506-9484-D73172BE4B2E}"/>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08C77568-26E3-4506-9484-D73172BE4B2E}"/>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D8C9A19-FDDD-4345-BB25-41094B169566}"/>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3" name="TextBox 2">
              <a:extLst>
                <a:ext uri="{FF2B5EF4-FFF2-40B4-BE49-F238E27FC236}">
                  <a16:creationId xmlns:a16="http://schemas.microsoft.com/office/drawing/2014/main" id="{2D8C9A19-FDDD-4345-BB25-41094B169566}"/>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EB7DD12A-7B34-4ADC-8217-2AEDAAE0B284}"/>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4" name="TextBox 3">
              <a:extLst>
                <a:ext uri="{FF2B5EF4-FFF2-40B4-BE49-F238E27FC236}">
                  <a16:creationId xmlns:a16="http://schemas.microsoft.com/office/drawing/2014/main" id="{EB7DD12A-7B34-4ADC-8217-2AEDAAE0B284}"/>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5581304-43BF-4E22-A160-98603FECE045}"/>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E5581304-43BF-4E22-A160-98603FECE045}"/>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34904CE-51BE-4D36-AA4A-DC7233DB75BF}"/>
                </a:ext>
              </a:extLst>
            </xdr:cNvPr>
            <xdr:cNvSpPr txBox="1"/>
          </xdr:nvSpPr>
          <xdr:spPr>
            <a:xfrm>
              <a:off x="2705100" y="3294221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6" name="TextBox 5">
              <a:extLst>
                <a:ext uri="{FF2B5EF4-FFF2-40B4-BE49-F238E27FC236}">
                  <a16:creationId xmlns:a16="http://schemas.microsoft.com/office/drawing/2014/main" id="{234904CE-51BE-4D36-AA4A-DC7233DB75BF}"/>
                </a:ext>
              </a:extLst>
            </xdr:cNvPr>
            <xdr:cNvSpPr txBox="1"/>
          </xdr:nvSpPr>
          <xdr:spPr>
            <a:xfrm>
              <a:off x="2705100" y="3294221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27E1FF6-8861-468A-BB75-1237A562D60D}"/>
                </a:ext>
              </a:extLst>
            </xdr:cNvPr>
            <xdr:cNvSpPr txBox="1"/>
          </xdr:nvSpPr>
          <xdr:spPr>
            <a:xfrm>
              <a:off x="8505825" y="381428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7" name="TextBox 6">
              <a:extLst>
                <a:ext uri="{FF2B5EF4-FFF2-40B4-BE49-F238E27FC236}">
                  <a16:creationId xmlns:a16="http://schemas.microsoft.com/office/drawing/2014/main" id="{027E1FF6-8861-468A-BB75-1237A562D60D}"/>
                </a:ext>
              </a:extLst>
            </xdr:cNvPr>
            <xdr:cNvSpPr txBox="1"/>
          </xdr:nvSpPr>
          <xdr:spPr>
            <a:xfrm>
              <a:off x="8505825" y="381428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BE94283-45F8-4491-AA99-97D1C9C20D67}"/>
                </a:ext>
              </a:extLst>
            </xdr:cNvPr>
            <xdr:cNvSpPr txBox="1"/>
          </xdr:nvSpPr>
          <xdr:spPr>
            <a:xfrm>
              <a:off x="2705100" y="381619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0BE94283-45F8-4491-AA99-97D1C9C20D67}"/>
                </a:ext>
              </a:extLst>
            </xdr:cNvPr>
            <xdr:cNvSpPr txBox="1"/>
          </xdr:nvSpPr>
          <xdr:spPr>
            <a:xfrm>
              <a:off x="2705100" y="381619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1CAD106A-AE22-402E-96E3-DC638926B091}"/>
                </a:ext>
              </a:extLst>
            </xdr:cNvPr>
            <xdr:cNvSpPr txBox="1"/>
          </xdr:nvSpPr>
          <xdr:spPr>
            <a:xfrm>
              <a:off x="8258175" y="4558188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9" name="TextBox 8">
              <a:extLst>
                <a:ext uri="{FF2B5EF4-FFF2-40B4-BE49-F238E27FC236}">
                  <a16:creationId xmlns:a16="http://schemas.microsoft.com/office/drawing/2014/main" id="{1CAD106A-AE22-402E-96E3-DC638926B091}"/>
                </a:ext>
              </a:extLst>
            </xdr:cNvPr>
            <xdr:cNvSpPr txBox="1"/>
          </xdr:nvSpPr>
          <xdr:spPr>
            <a:xfrm>
              <a:off x="8258175" y="4558188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9347E574-B2A0-4FE5-85F7-6E3256593FA6}"/>
                </a:ext>
              </a:extLst>
            </xdr:cNvPr>
            <xdr:cNvSpPr txBox="1"/>
          </xdr:nvSpPr>
          <xdr:spPr>
            <a:xfrm>
              <a:off x="2676525" y="4559141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10" name="TextBox 9">
              <a:extLst>
                <a:ext uri="{FF2B5EF4-FFF2-40B4-BE49-F238E27FC236}">
                  <a16:creationId xmlns:a16="http://schemas.microsoft.com/office/drawing/2014/main" id="{9347E574-B2A0-4FE5-85F7-6E3256593FA6}"/>
                </a:ext>
              </a:extLst>
            </xdr:cNvPr>
            <xdr:cNvSpPr txBox="1"/>
          </xdr:nvSpPr>
          <xdr:spPr>
            <a:xfrm>
              <a:off x="2676525" y="4559141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2BF7D9B8-6B33-4E22-A02E-196D77C05B4A}"/>
                </a:ext>
              </a:extLst>
            </xdr:cNvPr>
            <xdr:cNvSpPr txBox="1"/>
          </xdr:nvSpPr>
          <xdr:spPr>
            <a:xfrm>
              <a:off x="2703857" y="5448714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11" name="TextBox 10">
              <a:extLst>
                <a:ext uri="{FF2B5EF4-FFF2-40B4-BE49-F238E27FC236}">
                  <a16:creationId xmlns:a16="http://schemas.microsoft.com/office/drawing/2014/main" id="{2BF7D9B8-6B33-4E22-A02E-196D77C05B4A}"/>
                </a:ext>
              </a:extLst>
            </xdr:cNvPr>
            <xdr:cNvSpPr txBox="1"/>
          </xdr:nvSpPr>
          <xdr:spPr>
            <a:xfrm>
              <a:off x="2703857" y="5448714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042CC72A-8352-496B-B207-07D8194FD439}"/>
                </a:ext>
              </a:extLst>
            </xdr:cNvPr>
            <xdr:cNvSpPr txBox="1"/>
          </xdr:nvSpPr>
          <xdr:spPr>
            <a:xfrm>
              <a:off x="2687291" y="63658473"/>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2" name="TextBox 11">
              <a:extLst>
                <a:ext uri="{FF2B5EF4-FFF2-40B4-BE49-F238E27FC236}">
                  <a16:creationId xmlns:a16="http://schemas.microsoft.com/office/drawing/2014/main" id="{042CC72A-8352-496B-B207-07D8194FD439}"/>
                </a:ext>
              </a:extLst>
            </xdr:cNvPr>
            <xdr:cNvSpPr txBox="1"/>
          </xdr:nvSpPr>
          <xdr:spPr>
            <a:xfrm>
              <a:off x="2687291" y="63658473"/>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209F5B-C9DE-4962-9931-40EF62E6AAC5}"/>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209F5B-C9DE-4962-9931-40EF62E6AAC5}"/>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𝑀𝑁_𝐴𝑇𝑀𝑂𝑆=∑2_𝑗▒∑2_𝑚▒(𝑀𝑁_𝑗𝑚×𝐹𝑟𝑎𝑐𝐺𝐴𝑆𝑀_𝑚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ACCA8B9-041D-4E8E-ACB9-4A99EDD6BCB2}"/>
                </a:ext>
              </a:extLst>
            </xdr:cNvPr>
            <xdr:cNvSpPr txBox="1"/>
          </xdr:nvSpPr>
          <xdr:spPr>
            <a:xfrm>
              <a:off x="2671762" y="138826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ACCA8B9-041D-4E8E-ACB9-4A99EDD6BCB2}"/>
                </a:ext>
              </a:extLst>
            </xdr:cNvPr>
            <xdr:cNvSpPr txBox="1"/>
          </xdr:nvSpPr>
          <xdr:spPr>
            <a:xfrm>
              <a:off x="2671762" y="138826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2688735-AB14-4A85-8A7C-0D76050F0202}"/>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ℎ</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82688735-AB14-4A85-8A7C-0D76050F0202}"/>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6D6F84C-309F-4817-A5E1-F90FD58F159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ℎ</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86D6F84C-309F-4817-A5E1-F90FD58F159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𝐸_(𝑁2𝑂,𝑙𝑒𝑎𝑐ℎ)=∑2_𝑗▒∑2_(𝑚=1−13)▒(𝑀𝑁𝐿𝑒𝑎𝑐ℎ_𝑗𝑚×𝐸𝐹_𝑙𝑒𝑎𝑐ℎ×𝐶_𝑁2𝑂 ) ×10^(−3)</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61FA9AE-A705-476F-A740-E9D945D7B92F}"/>
                </a:ext>
              </a:extLst>
            </xdr:cNvPr>
            <xdr:cNvSpPr txBox="1"/>
          </xdr:nvSpPr>
          <xdr:spPr>
            <a:xfrm>
              <a:off x="2657475" y="1960189"/>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ℎ</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B61FA9AE-A705-476F-A740-E9D945D7B92F}"/>
                </a:ext>
              </a:extLst>
            </xdr:cNvPr>
            <xdr:cNvSpPr txBox="1"/>
          </xdr:nvSpPr>
          <xdr:spPr>
            <a:xfrm>
              <a:off x="2657475" y="1960189"/>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7DAA452-5DA8-43DB-95B9-4D60691D8A61}"/>
                </a:ext>
              </a:extLst>
            </xdr:cNvPr>
            <xdr:cNvSpPr txBox="1"/>
          </xdr:nvSpPr>
          <xdr:spPr>
            <a:xfrm>
              <a:off x="2689970" y="22778196"/>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ℎ</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E7DAA452-5DA8-43DB-95B9-4D60691D8A61}"/>
                </a:ext>
              </a:extLst>
            </xdr:cNvPr>
            <xdr:cNvSpPr txBox="1"/>
          </xdr:nvSpPr>
          <xdr:spPr>
            <a:xfrm>
              <a:off x="2689970" y="22778196"/>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9A76B11-B44D-4B92-9A4A-C9419E235F45}"/>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69A76B11-B44D-4B92-9A4A-C9419E235F45}"/>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9DF5BB3-CDFC-4F2D-989B-C656405BFD10}"/>
                </a:ext>
              </a:extLst>
            </xdr:cNvPr>
            <xdr:cNvSpPr txBox="1"/>
          </xdr:nvSpPr>
          <xdr:spPr>
            <a:xfrm>
              <a:off x="2703857" y="198534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9DF5BB3-CDFC-4F2D-989B-C656405BFD10}"/>
                </a:ext>
              </a:extLst>
            </xdr:cNvPr>
            <xdr:cNvSpPr txBox="1"/>
          </xdr:nvSpPr>
          <xdr:spPr>
            <a:xfrm>
              <a:off x="2703857" y="198534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CB5F39C-8B5A-4CFE-B605-3D5A26EBEB35}"/>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CB5F39C-8B5A-4CFE-B605-3D5A26EBEB35}"/>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𝑀_(𝑣𝑜𝑙,𝑚=14)=∑2_𝑗▒(𝑀𝑁_(𝑗𝑚=14)×𝐹𝑟𝑎𝑐𝐺𝐴𝑆𝑀𝑠𝑜𝑖𝑙)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B4275DB-632D-41BF-A873-16101A978802}"/>
                </a:ext>
              </a:extLst>
            </xdr:cNvPr>
            <xdr:cNvSpPr txBox="1"/>
          </xdr:nvSpPr>
          <xdr:spPr>
            <a:xfrm>
              <a:off x="2681287" y="81772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AB4275DB-632D-41BF-A873-16101A978802}"/>
                </a:ext>
              </a:extLst>
            </xdr:cNvPr>
            <xdr:cNvSpPr txBox="1"/>
          </xdr:nvSpPr>
          <xdr:spPr>
            <a:xfrm>
              <a:off x="2681287" y="81772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FD09EBD-900E-4A57-9F9B-2A0123810639}"/>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FD09EBD-900E-4A57-9F9B-2A0123810639}"/>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𝑀_(𝑙𝑒𝑎𝑐ℎ,𝑚=14)=∑2_𝑗▒(𝑀𝑁_(𝑗𝑚=14)×𝐹𝑟𝑎𝑐𝑊𝑒𝑡×𝐹𝑟𝑎𝑐𝐿𝐸𝐴𝐶𝐻) </a:t>
              </a:r>
              <a:endParaRPr lang="en-AU" sz="1100"/>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51FFE03-665E-4E55-B4B0-593280466F19}"/>
                </a:ext>
              </a:extLst>
            </xdr:cNvPr>
            <xdr:cNvSpPr txBox="1"/>
          </xdr:nvSpPr>
          <xdr:spPr>
            <a:xfrm>
              <a:off x="2695575" y="940593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51FFE03-665E-4E55-B4B0-593280466F19}"/>
                </a:ext>
              </a:extLst>
            </xdr:cNvPr>
            <xdr:cNvSpPr txBox="1"/>
          </xdr:nvSpPr>
          <xdr:spPr>
            <a:xfrm>
              <a:off x="2695575" y="940593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5F2F804-2A5E-40B1-8338-C70F6851DEAC}"/>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C5F2F804-2A5E-40B1-8338-C70F6851DEAC}"/>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9567B0B-7CC4-4DA7-BC1E-3C233831A581}"/>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89567B0B-7CC4-4DA7-BC1E-3C233831A581}"/>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3754E04-2865-4BDC-B9AF-983AD71BE50B}"/>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33754E04-2865-4BDC-B9AF-983AD71BE50B}"/>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F0B51F2-974F-49B8-888D-0D0828C21640}"/>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BF0B51F2-974F-49B8-888D-0D0828C21640}"/>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DD13153-0F7E-427F-A3BE-134084246D4F}"/>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DD13153-0F7E-427F-A3BE-134084246D4F}"/>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B622030-9822-48C6-81D7-AEB56582CEBC}"/>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B622030-9822-48C6-81D7-AEB56582CEBC}"/>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F8BEBBA-4F79-435D-BDE4-4AC9AB852249}"/>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9F8BEBBA-4F79-435D-BDE4-4AC9AB852249}"/>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CFC63E4-A765-4FD8-AB7E-CEE931554A14}"/>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CCFC63E4-A765-4FD8-AB7E-CEE931554A14}"/>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C9B255A-A6CB-4D18-B48A-0C13BF8D2A97}"/>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2C9B255A-A6CB-4D18-B48A-0C13BF8D2A97}"/>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8ECE464-9BBF-4116-93BE-F3CE22B99A8D}"/>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8ECE464-9BBF-4116-93BE-F3CE22B99A8D}"/>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601B640-7904-4104-A62D-D8D2BED36A5D}"/>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A601B640-7904-4104-A62D-D8D2BED36A5D}"/>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12E0EC9-8BBE-4AF7-B4F8-790116A2C420}"/>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312E0EC9-8BBE-4AF7-B4F8-790116A2C420}"/>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6F0C9BA-F972-4A99-B3E1-1BBC7953534C}"/>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E6F0C9BA-F972-4A99-B3E1-1BBC7953534C}"/>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59960AA-EBAD-402A-8ADC-7C8C1A15C84F}"/>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959960AA-EBAD-402A-8ADC-7C8C1A15C84F}"/>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739B71D-20D2-4065-96CD-482D42747EE2}"/>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5739B71D-20D2-4065-96CD-482D42747EE2}"/>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9572D7E-5FC3-4A49-B7CE-F160BB042E68}"/>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9572D7E-5FC3-4A49-B7CE-F160BB042E68}"/>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B6431A4-24BC-4C50-AAE1-FD87605FA855}"/>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8B6431A4-24BC-4C50-AAE1-FD87605FA855}"/>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33F7713-AAFA-4F8E-9295-D4C7C9D62531}"/>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033F7713-AAFA-4F8E-9295-D4C7C9D62531}"/>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C468646-C4F2-41AA-8A82-08A13F68B5EB}"/>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FC468646-C4F2-41AA-8A82-08A13F68B5EB}"/>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𝐸_𝑁2𝑂=∑2_𝑝▒(𝑀_𝑝×𝐸𝐹_𝑁𝑖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1711E6C-72B2-4F44-AD3E-94B51BD70DC0}"/>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81711E6C-72B2-4F44-AD3E-94B51BD70DC0}"/>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30B3D03-92A1-4B23-825F-6B9A50A2ECC0}"/>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30B3D03-92A1-4B23-825F-6B9A50A2ECC0}"/>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19.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C248339-F7D4-438D-A221-A8DE77278B25}"/>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𝑙𝑒𝑎𝑐ℎ</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2C248339-F7D4-438D-A221-A8DE77278B25}"/>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1D209B5-D7C6-4FB7-AE04-A879596865C0}"/>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01D209B5-D7C6-4FB7-AE04-A879596865C0}"/>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20.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0A55A01-F49C-40DE-A229-AA0AC6C9199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60A55A01-F49C-40DE-A229-AA0AC6C9199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A8F2333-EE66-4094-A00A-6C4F7635C93A}"/>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AA8F2333-EE66-4094-A00A-6C4F7635C93A}"/>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225D242-D1CF-4FD2-AE98-68F316882F78}"/>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A225D242-D1CF-4FD2-AE98-68F316882F78}"/>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21.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9BC3A86-EBFD-4684-A250-DC1D0044DCE7}"/>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59BC3A86-EBFD-4684-A250-DC1D0044DCE7}"/>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16AD9C-309D-4267-8A45-D4CAFC0A8E8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5716AD9C-309D-4267-8A45-D4CAFC0A8E8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drawings/drawing2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7F6E4F7-373B-4358-8948-C2C29FB13409}"/>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17F6E4F7-373B-4358-8948-C2C29FB13409}"/>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24652</xdr:colOff>
      <xdr:row>8</xdr:row>
      <xdr:rowOff>54909</xdr:rowOff>
    </xdr:from>
    <xdr:ext cx="2898358" cy="38036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57BE72E-4142-49F3-A03A-3484EA186B9C}"/>
                </a:ext>
              </a:extLst>
            </xdr:cNvPr>
            <xdr:cNvSpPr txBox="1"/>
          </xdr:nvSpPr>
          <xdr:spPr>
            <a:xfrm>
              <a:off x="2701177" y="2169459"/>
              <a:ext cx="2898358"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𝑅</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𝑎</m:t>
                        </m:r>
                      </m:sub>
                      <m:sup/>
                      <m:e>
                        <m:d>
                          <m:dPr>
                            <m:ctrlPr>
                              <a:rPr lang="en-AU" sz="1100" i="1">
                                <a:solidFill>
                                  <a:schemeClr val="tx1"/>
                                </a:solidFill>
                                <a:effectLst/>
                                <a:latin typeface="Cambria Math" panose="02040503050406030204" pitchFamily="18" charset="0"/>
                                <a:ea typeface="+mn-ea"/>
                                <a:cs typeface="+mn-cs"/>
                              </a:rPr>
                            </m:ctrlPr>
                          </m:dPr>
                          <m:e>
                            <m:r>
                              <a:rPr lang="en-AU" sz="1100" i="1">
                                <a:solidFill>
                                  <a:schemeClr val="tx1"/>
                                </a:solidFill>
                                <a:effectLst/>
                                <a:latin typeface="Cambria Math" panose="02040503050406030204" pitchFamily="18" charset="0"/>
                                <a:ea typeface="+mn-ea"/>
                                <a:cs typeface="+mn-cs"/>
                              </a:rPr>
                              <m:t>𝑐ℎ𝑎𝑟𝑔</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𝑒</m:t>
                                </m:r>
                              </m:e>
                              <m:sub>
                                <m:r>
                                  <a:rPr lang="en-AU" sz="1100" i="1">
                                    <a:solidFill>
                                      <a:schemeClr val="tx1"/>
                                    </a:solidFill>
                                    <a:effectLst/>
                                    <a:latin typeface="Cambria Math" panose="02040503050406030204" pitchFamily="18" charset="0"/>
                                    <a:ea typeface="+mn-ea"/>
                                    <a:cs typeface="+mn-cs"/>
                                  </a:rPr>
                                  <m:t>𝑅𝑎</m:t>
                                </m:r>
                              </m:sub>
                            </m:sSub>
                            <m:r>
                              <a:rPr lang="en-AU" sz="1100" i="1">
                                <a:solidFill>
                                  <a:schemeClr val="tx1"/>
                                </a:solidFill>
                                <a:effectLst/>
                                <a:latin typeface="Cambria Math" panose="02040503050406030204" pitchFamily="18" charset="0"/>
                                <a:ea typeface="+mn-ea"/>
                                <a:cs typeface="+mn-cs"/>
                              </a:rPr>
                              <m:t>×</m:t>
                            </m:r>
                            <m:f>
                              <m:fPr>
                                <m:ctrlPr>
                                  <a:rPr lang="en-AU" sz="1100" i="1">
                                    <a:solidFill>
                                      <a:schemeClr val="tx1"/>
                                    </a:solidFill>
                                    <a:effectLst/>
                                    <a:latin typeface="Cambria Math" panose="02040503050406030204" pitchFamily="18" charset="0"/>
                                    <a:ea typeface="+mn-ea"/>
                                    <a:cs typeface="+mn-cs"/>
                                  </a:rPr>
                                </m:ctrlPr>
                              </m:fPr>
                              <m:num>
                                <m:r>
                                  <a:rPr lang="en-AU" sz="1100" i="1">
                                    <a:solidFill>
                                      <a:schemeClr val="tx1"/>
                                    </a:solidFill>
                                    <a:effectLst/>
                                    <a:latin typeface="Cambria Math" panose="02040503050406030204" pitchFamily="18" charset="0"/>
                                    <a:ea typeface="+mn-ea"/>
                                    <a:cs typeface="+mn-cs"/>
                                  </a:rPr>
                                  <m:t>𝑙𝑒𝑎𝑘𝑎𝑔𝑒</m:t>
                                </m:r>
                                <m:r>
                                  <a:rPr lang="en-AU" sz="1100" i="1">
                                    <a:solidFill>
                                      <a:schemeClr val="tx1"/>
                                    </a:solidFill>
                                    <a:effectLst/>
                                    <a:latin typeface="Cambria Math" panose="02040503050406030204" pitchFamily="18" charset="0"/>
                                    <a:ea typeface="+mn-ea"/>
                                    <a:cs typeface="+mn-cs"/>
                                  </a:rPr>
                                  <m:t> </m:t>
                                </m:r>
                                <m:r>
                                  <a:rPr lang="en-AU" sz="1100" i="1">
                                    <a:solidFill>
                                      <a:schemeClr val="tx1"/>
                                    </a:solidFill>
                                    <a:effectLst/>
                                    <a:latin typeface="Cambria Math" panose="02040503050406030204" pitchFamily="18" charset="0"/>
                                    <a:ea typeface="+mn-ea"/>
                                    <a:cs typeface="+mn-cs"/>
                                  </a:rPr>
                                  <m:t>𝑟𝑎𝑡</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𝑒</m:t>
                                    </m:r>
                                  </m:e>
                                  <m:sub>
                                    <m:r>
                                      <a:rPr lang="en-AU" sz="1100" i="1">
                                        <a:solidFill>
                                          <a:schemeClr val="tx1"/>
                                        </a:solidFill>
                                        <a:effectLst/>
                                        <a:latin typeface="Cambria Math" panose="02040503050406030204" pitchFamily="18" charset="0"/>
                                        <a:ea typeface="+mn-ea"/>
                                        <a:cs typeface="+mn-cs"/>
                                      </a:rPr>
                                      <m:t>𝑎</m:t>
                                    </m:r>
                                  </m:sub>
                                </m:sSub>
                              </m:num>
                              <m:den>
                                <m:r>
                                  <a:rPr lang="en-AU" sz="1100" i="1">
                                    <a:solidFill>
                                      <a:schemeClr val="tx1"/>
                                    </a:solidFill>
                                    <a:effectLst/>
                                    <a:latin typeface="Cambria Math" panose="02040503050406030204" pitchFamily="18" charset="0"/>
                                    <a:ea typeface="+mn-ea"/>
                                    <a:cs typeface="+mn-cs"/>
                                  </a:rPr>
                                  <m:t>100</m:t>
                                </m:r>
                              </m:den>
                            </m:f>
                          </m:e>
                        </m:d>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857BE72E-4142-49F3-A03A-3484EA186B9C}"/>
                </a:ext>
              </a:extLst>
            </xdr:cNvPr>
            <xdr:cNvSpPr txBox="1"/>
          </xdr:nvSpPr>
          <xdr:spPr>
            <a:xfrm>
              <a:off x="2701177" y="2169459"/>
              <a:ext cx="2898358"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𝐸_𝑅=∑2_𝑎▒(𝑐ℎ𝑎𝑟𝑔𝑒_𝑅𝑎×(𝑙𝑒𝑎𝑘𝑎𝑔𝑒 𝑟𝑎𝑡𝑒_𝑎)/100) ×10^(−3)</a:t>
              </a:r>
              <a:endParaRPr lang="en-AU" sz="1100"/>
            </a:p>
          </xdr:txBody>
        </xdr:sp>
      </mc:Fallback>
    </mc:AlternateContent>
    <xdr:clientData/>
  </xdr:oneCellAnchor>
  <xdr:oneCellAnchor>
    <xdr:from>
      <xdr:col>3</xdr:col>
      <xdr:colOff>41461</xdr:colOff>
      <xdr:row>50</xdr:row>
      <xdr:rowOff>159124</xdr:rowOff>
    </xdr:from>
    <xdr:ext cx="2279022"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7DEEADA-0B65-4E22-B8B7-58DCCDC93FEF}"/>
                </a:ext>
              </a:extLst>
            </xdr:cNvPr>
            <xdr:cNvSpPr txBox="1"/>
          </xdr:nvSpPr>
          <xdr:spPr>
            <a:xfrm>
              <a:off x="2717986" y="12674974"/>
              <a:ext cx="227902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m:t>
                        </m:r>
                      </m:sub>
                    </m:sSub>
                    <m:r>
                      <a:rPr lang="en-AU" sz="1100" i="1">
                        <a:latin typeface="Cambria Math" panose="02040503050406030204" pitchFamily="18" charset="0"/>
                      </a:rPr>
                      <m:t>𝑂</m:t>
                    </m:r>
                    <m:r>
                      <a:rPr lang="en-AU" sz="1100" i="1">
                        <a:latin typeface="Cambria Math" panose="02040503050406030204" pitchFamily="18" charset="0"/>
                      </a:rPr>
                      <m:t>2</m:t>
                    </m:r>
                    <m:r>
                      <a:rPr lang="en-AU" sz="1100" i="1">
                        <a:latin typeface="Cambria Math" panose="02040503050406030204" pitchFamily="18" charset="0"/>
                      </a:rPr>
                      <m:t>𝑒</m:t>
                    </m:r>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𝑅</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r>
                      <a:rPr lang="en-AU" sz="1100" i="1">
                        <a:latin typeface="Cambria Math" panose="02040503050406030204" pitchFamily="18" charset="0"/>
                      </a:rPr>
                      <m:t>×</m:t>
                    </m:r>
                    <m:r>
                      <a:rPr lang="en-AU" sz="1100" i="1">
                        <a:latin typeface="Cambria Math" panose="02040503050406030204" pitchFamily="18" charset="0"/>
                      </a:rPr>
                      <m:t>𝐺𝑊</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𝑅</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F7DEEADA-0B65-4E22-B8B7-58DCCDC93FEF}"/>
                </a:ext>
              </a:extLst>
            </xdr:cNvPr>
            <xdr:cNvSpPr txBox="1"/>
          </xdr:nvSpPr>
          <xdr:spPr>
            <a:xfrm>
              <a:off x="2717986" y="12674974"/>
              <a:ext cx="227902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 𝑂2𝑒=(𝐸_𝑅×10^3 )×𝐺𝑊𝑃_𝑅×10^(−3)</a:t>
              </a:r>
              <a:endParaRPr lang="en-AU" sz="1100"/>
            </a:p>
          </xdr:txBody>
        </xdr:sp>
      </mc:Fallback>
    </mc:AlternateContent>
    <xdr:clientData/>
  </xdr:oneCellAnchor>
</xdr:wsDr>
</file>

<file path=xl/drawings/drawing23.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1D7518B-E9A1-4FBA-8C60-737AC97AB72E}"/>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1D7518B-E9A1-4FBA-8C60-737AC97AB72E}"/>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6D16A1C-D068-4D5A-9D78-E23E6CB24E95}"/>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36D16A1C-D068-4D5A-9D78-E23E6CB24E95}"/>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2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FE246A8-4A1D-41C2-BD44-2D93631C9E10}"/>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5FE246A8-4A1D-41C2-BD44-2D93631C9E10}"/>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0649B4E-ABA6-4CF6-AAEC-2C72B4CEF142}"/>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0649B4E-ABA6-4CF6-AAEC-2C72B4CEF142}"/>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582EB44-C8B6-4D1B-968B-C619944DE5DA}"/>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F582EB44-C8B6-4D1B-968B-C619944DE5DA}"/>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994F0460-5E57-405A-9FBA-897AB9F7DAFB}"/>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994F0460-5E57-405A-9FBA-897AB9F7DAFB}"/>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drawings/drawing25.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1A65F55-610D-4B29-955F-8F07C979E6D3}"/>
                </a:ext>
              </a:extLst>
            </xdr:cNvPr>
            <xdr:cNvSpPr txBox="1"/>
          </xdr:nvSpPr>
          <xdr:spPr>
            <a:xfrm>
              <a:off x="35389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51A65F55-610D-4B29-955F-8F07C979E6D3}"/>
                </a:ext>
              </a:extLst>
            </xdr:cNvPr>
            <xdr:cNvSpPr txBox="1"/>
          </xdr:nvSpPr>
          <xdr:spPr>
            <a:xfrm>
              <a:off x="35389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𝐸=∑2_𝑐▒∑2_𝑜▒(𝑁_𝑐𝑜×𝑊_𝑐𝑜×𝐸𝐹_𝑐𝑜 ) ×10^(−3)</a:t>
              </a:r>
              <a:endParaRPr lang="en-AU" sz="11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7A456ED-612E-494A-8E8A-B48282CAABB4}"/>
                </a:ext>
              </a:extLst>
            </xdr:cNvPr>
            <xdr:cNvSpPr txBox="1"/>
          </xdr:nvSpPr>
          <xdr:spPr>
            <a:xfrm>
              <a:off x="3538912"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07A456ED-612E-494A-8E8A-B48282CAABB4}"/>
                </a:ext>
              </a:extLst>
            </xdr:cNvPr>
            <xdr:cNvSpPr txBox="1"/>
          </xdr:nvSpPr>
          <xdr:spPr>
            <a:xfrm>
              <a:off x="3538912"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𝐸=∑2_𝑗▒(𝑄_𝑗×𝐸𝐹_𝑗 ) ×10^(−3)</a:t>
              </a:r>
              <a:endParaRPr lang="en-AU" sz="11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C4714B6-8DE4-47AC-B74F-865174753193}"/>
                </a:ext>
              </a:extLst>
            </xdr:cNvPr>
            <xdr:cNvSpPr txBox="1"/>
          </xdr:nvSpPr>
          <xdr:spPr>
            <a:xfrm>
              <a:off x="3538912"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8C4714B6-8DE4-47AC-B74F-865174753193}"/>
                </a:ext>
              </a:extLst>
            </xdr:cNvPr>
            <xdr:cNvSpPr txBox="1"/>
          </xdr:nvSpPr>
          <xdr:spPr>
            <a:xfrm>
              <a:off x="3538912"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𝐸=∑2_𝑚▒(𝑄_𝑚×𝐸𝐹_𝑚 ) ×10^(−3)</a:t>
              </a:r>
              <a:endParaRPr lang="en-AU" sz="11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CB0ED031-DC34-4429-B1E4-EB463C6F6E45}"/>
                </a:ext>
              </a:extLst>
            </xdr:cNvPr>
            <xdr:cNvSpPr txBox="1"/>
          </xdr:nvSpPr>
          <xdr:spPr>
            <a:xfrm>
              <a:off x="3538912"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CB0ED031-DC34-4429-B1E4-EB463C6F6E45}"/>
                </a:ext>
              </a:extLst>
            </xdr:cNvPr>
            <xdr:cNvSpPr txBox="1"/>
          </xdr:nvSpPr>
          <xdr:spPr>
            <a:xfrm>
              <a:off x="3538912"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𝐸=∑2_𝑓▒∑2_𝑗▒(𝑇𝑀_𝑗𝑓×𝐸𝐹_𝑓 ) ×10^(−3)</a:t>
              </a:r>
              <a:endParaRPr lang="en-AU" sz="11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87961E-6CFC-4592-987D-7F36246F136B}"/>
                </a:ext>
              </a:extLst>
            </xdr:cNvPr>
            <xdr:cNvSpPr txBox="1"/>
          </xdr:nvSpPr>
          <xdr:spPr>
            <a:xfrm>
              <a:off x="782918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6" name="TextBox 5">
              <a:extLst>
                <a:ext uri="{FF2B5EF4-FFF2-40B4-BE49-F238E27FC236}">
                  <a16:creationId xmlns:a16="http://schemas.microsoft.com/office/drawing/2014/main" id="{1887961E-6CFC-4592-987D-7F36246F136B}"/>
                </a:ext>
              </a:extLst>
            </xdr:cNvPr>
            <xdr:cNvSpPr txBox="1"/>
          </xdr:nvSpPr>
          <xdr:spPr>
            <a:xfrm>
              <a:off x="782918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𝐸=∑2_𝑓▒∑2_𝑐▒∑2_𝑗▒((𝐹_𝑐𝑓×𝑇𝑀_𝑗𝑓)/100×𝐸𝐹_𝑐 ) </a:t>
              </a:r>
              <a:endParaRPr lang="en-AU" sz="11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B3E8BE8F-B245-4AAE-8627-A55B9B43E3DD}"/>
                </a:ext>
              </a:extLst>
            </xdr:cNvPr>
            <xdr:cNvSpPr txBox="1"/>
          </xdr:nvSpPr>
          <xdr:spPr>
            <a:xfrm>
              <a:off x="3497745"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B3E8BE8F-B245-4AAE-8627-A55B9B43E3DD}"/>
                </a:ext>
              </a:extLst>
            </xdr:cNvPr>
            <xdr:cNvSpPr txBox="1"/>
          </xdr:nvSpPr>
          <xdr:spPr>
            <a:xfrm>
              <a:off x="3497745"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𝐸=∑2_𝑓▒∑2_𝑐▒∑2_𝑗▒(𝐹_𝑐𝑓×𝑇𝑀_𝑗𝑓×𝐸𝐹_𝑐 ) ×10^(−3)</a:t>
              </a:r>
              <a:endParaRPr lang="en-AU" sz="11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5F66F82F-3B6F-4329-B5CD-A9D75942A44C}"/>
                </a:ext>
              </a:extLst>
            </xdr:cNvPr>
            <xdr:cNvSpPr txBox="1"/>
          </xdr:nvSpPr>
          <xdr:spPr>
            <a:xfrm>
              <a:off x="3514725"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5F66F82F-3B6F-4329-B5CD-A9D75942A44C}"/>
                </a:ext>
              </a:extLst>
            </xdr:cNvPr>
            <xdr:cNvSpPr txBox="1"/>
          </xdr:nvSpPr>
          <xdr:spPr>
            <a:xfrm>
              <a:off x="3514725"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𝐸𝐹_𝑓=∑2_𝑐▒(𝐹_𝑐𝑓×𝐸𝐹_𝑐 ) </a:t>
              </a:r>
              <a:endParaRPr lang="en-AU" sz="11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98EE667-38BF-44B6-B07D-334CB5E8402F}"/>
                </a:ext>
              </a:extLst>
            </xdr:cNvPr>
            <xdr:cNvSpPr txBox="1"/>
          </xdr:nvSpPr>
          <xdr:spPr>
            <a:xfrm>
              <a:off x="3514726" y="67676246"/>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ℎ</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ℎ</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ℎ</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998EE667-38BF-44B6-B07D-334CB5E8402F}"/>
                </a:ext>
              </a:extLst>
            </xdr:cNvPr>
            <xdr:cNvSpPr txBox="1"/>
          </xdr:nvSpPr>
          <xdr:spPr>
            <a:xfrm>
              <a:off x="3514726" y="67676246"/>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𝐸=∑2_ℎ▒(𝑄_ℎ×𝐸𝐹_ℎ ) ×10^(−3)</a:t>
              </a:r>
              <a:endParaRPr lang="en-AU" sz="11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F92456FB-4E20-42F0-9B8A-2EBDD43F1A7D}"/>
                </a:ext>
              </a:extLst>
            </xdr:cNvPr>
            <xdr:cNvSpPr txBox="1"/>
          </xdr:nvSpPr>
          <xdr:spPr>
            <a:xfrm>
              <a:off x="3525931" y="74249616"/>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10" name="TextBox 9">
              <a:extLst>
                <a:ext uri="{FF2B5EF4-FFF2-40B4-BE49-F238E27FC236}">
                  <a16:creationId xmlns:a16="http://schemas.microsoft.com/office/drawing/2014/main" id="{F92456FB-4E20-42F0-9B8A-2EBDD43F1A7D}"/>
                </a:ext>
              </a:extLst>
            </xdr:cNvPr>
            <xdr:cNvSpPr txBox="1"/>
          </xdr:nvSpPr>
          <xdr:spPr>
            <a:xfrm>
              <a:off x="3525931" y="74249616"/>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9E5CB22A-0E52-4BD3-970B-24DCF04FCFA5}"/>
                </a:ext>
              </a:extLst>
            </xdr:cNvPr>
            <xdr:cNvSpPr txBox="1"/>
          </xdr:nvSpPr>
          <xdr:spPr>
            <a:xfrm>
              <a:off x="3593166" y="811709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1" name="TextBox 10">
              <a:extLst>
                <a:ext uri="{FF2B5EF4-FFF2-40B4-BE49-F238E27FC236}">
                  <a16:creationId xmlns:a16="http://schemas.microsoft.com/office/drawing/2014/main" id="{9E5CB22A-0E52-4BD3-970B-24DCF04FCFA5}"/>
                </a:ext>
              </a:extLst>
            </xdr:cNvPr>
            <xdr:cNvSpPr txBox="1"/>
          </xdr:nvSpPr>
          <xdr:spPr>
            <a:xfrm>
              <a:off x="3593166" y="811709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𝐸=∑2_𝑝▒(𝐴_𝑝×𝐸𝐹_𝑝 ) ×10^(−3)</a:t>
              </a:r>
              <a:endParaRPr lang="en-AU" sz="11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EFEA335A-E88C-4AAD-9B70-E8922607EB81}"/>
                </a:ext>
              </a:extLst>
            </xdr:cNvPr>
            <xdr:cNvSpPr txBox="1"/>
          </xdr:nvSpPr>
          <xdr:spPr>
            <a:xfrm>
              <a:off x="3559549" y="8782610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2" name="TextBox 11">
              <a:extLst>
                <a:ext uri="{FF2B5EF4-FFF2-40B4-BE49-F238E27FC236}">
                  <a16:creationId xmlns:a16="http://schemas.microsoft.com/office/drawing/2014/main" id="{EFEA335A-E88C-4AAD-9B70-E8922607EB81}"/>
                </a:ext>
              </a:extLst>
            </xdr:cNvPr>
            <xdr:cNvSpPr txBox="1"/>
          </xdr:nvSpPr>
          <xdr:spPr>
            <a:xfrm>
              <a:off x="3559549" y="8782610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𝐸=∑2_𝑝▒(𝑄_𝑝×𝐸𝐹_𝑝 ) ×10^(−3)</a:t>
              </a:r>
              <a:endParaRPr lang="en-AU" sz="11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FA28F60F-238E-4BE5-9AB6-FE8804D4F8C9}"/>
                </a:ext>
              </a:extLst>
            </xdr:cNvPr>
            <xdr:cNvSpPr txBox="1"/>
          </xdr:nvSpPr>
          <xdr:spPr>
            <a:xfrm>
              <a:off x="3537136" y="940666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3" name="TextBox 12">
              <a:extLst>
                <a:ext uri="{FF2B5EF4-FFF2-40B4-BE49-F238E27FC236}">
                  <a16:creationId xmlns:a16="http://schemas.microsoft.com/office/drawing/2014/main" id="{FA28F60F-238E-4BE5-9AB6-FE8804D4F8C9}"/>
                </a:ext>
              </a:extLst>
            </xdr:cNvPr>
            <xdr:cNvSpPr txBox="1"/>
          </xdr:nvSpPr>
          <xdr:spPr>
            <a:xfrm>
              <a:off x="3537136" y="940666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𝐸=∑2_𝑔▒(𝑄_𝑔×𝐸𝐹_𝑔 ) ×10^(−3)</a:t>
              </a:r>
              <a:endParaRPr lang="en-AU" sz="11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551355E1-EE33-45B8-88EF-DC6314D72224}"/>
                </a:ext>
              </a:extLst>
            </xdr:cNvPr>
            <xdr:cNvSpPr txBox="1"/>
          </xdr:nvSpPr>
          <xdr:spPr>
            <a:xfrm>
              <a:off x="3524250" y="100860224"/>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14" name="TextBox 13">
              <a:extLst>
                <a:ext uri="{FF2B5EF4-FFF2-40B4-BE49-F238E27FC236}">
                  <a16:creationId xmlns:a16="http://schemas.microsoft.com/office/drawing/2014/main" id="{551355E1-EE33-45B8-88EF-DC6314D72224}"/>
                </a:ext>
              </a:extLst>
            </xdr:cNvPr>
            <xdr:cNvSpPr txBox="1"/>
          </xdr:nvSpPr>
          <xdr:spPr>
            <a:xfrm>
              <a:off x="3524250" y="100860224"/>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E80A6552-1B2B-4297-AC58-CD857ABB942A}"/>
                </a:ext>
              </a:extLst>
            </xdr:cNvPr>
            <xdr:cNvSpPr txBox="1"/>
          </xdr:nvSpPr>
          <xdr:spPr>
            <a:xfrm>
              <a:off x="3525932" y="119708519"/>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15" name="TextBox 14">
              <a:extLst>
                <a:ext uri="{FF2B5EF4-FFF2-40B4-BE49-F238E27FC236}">
                  <a16:creationId xmlns:a16="http://schemas.microsoft.com/office/drawing/2014/main" id="{E80A6552-1B2B-4297-AC58-CD857ABB942A}"/>
                </a:ext>
              </a:extLst>
            </xdr:cNvPr>
            <xdr:cNvSpPr txBox="1"/>
          </xdr:nvSpPr>
          <xdr:spPr>
            <a:xfrm>
              <a:off x="3525932" y="119708519"/>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𝐸=∑2_𝑞▒𝐸_(𝑊𝑇𝑇,𝑡𝑟𝑎𝑛𝑠,𝑞) +∑2_𝑞▒𝐸_(𝑊𝑇𝑇,𝑆𝐶,𝑞) </a:t>
              </a:r>
              <a:endParaRPr lang="en-AU" sz="11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4B650051-476A-4578-8CD0-15A45B1DD534}"/>
                </a:ext>
              </a:extLst>
            </xdr:cNvPr>
            <xdr:cNvSpPr txBox="1"/>
          </xdr:nvSpPr>
          <xdr:spPr>
            <a:xfrm>
              <a:off x="3525931" y="12283888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6" name="TextBox 15">
              <a:extLst>
                <a:ext uri="{FF2B5EF4-FFF2-40B4-BE49-F238E27FC236}">
                  <a16:creationId xmlns:a16="http://schemas.microsoft.com/office/drawing/2014/main" id="{4B650051-476A-4578-8CD0-15A45B1DD534}"/>
                </a:ext>
              </a:extLst>
            </xdr:cNvPr>
            <xdr:cNvSpPr txBox="1"/>
          </xdr:nvSpPr>
          <xdr:spPr>
            <a:xfrm>
              <a:off x="3525931" y="12283888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6ADA60DA-BA5F-42FB-9709-6383BA4C01E4}"/>
                </a:ext>
              </a:extLst>
            </xdr:cNvPr>
            <xdr:cNvSpPr txBox="1"/>
          </xdr:nvSpPr>
          <xdr:spPr>
            <a:xfrm>
              <a:off x="10300318" y="126473595"/>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a:solidFill>
                              <a:srgbClr val="C00000"/>
                            </a:solidFill>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7" name="TextBox 16">
              <a:extLst>
                <a:ext uri="{FF2B5EF4-FFF2-40B4-BE49-F238E27FC236}">
                  <a16:creationId xmlns:a16="http://schemas.microsoft.com/office/drawing/2014/main" id="{6ADA60DA-BA5F-42FB-9709-6383BA4C01E4}"/>
                </a:ext>
              </a:extLst>
            </xdr:cNvPr>
            <xdr:cNvSpPr txBox="1"/>
          </xdr:nvSpPr>
          <xdr:spPr>
            <a:xfrm>
              <a:off x="10300318" y="126473595"/>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a:t>
              </a:r>
              <a:r>
                <a:rPr lang="en-AU" sz="1100" b="0" i="0">
                  <a:solidFill>
                    <a:srgbClr val="C00000"/>
                  </a:solidFill>
                  <a:latin typeface="Cambria Math" panose="02040503050406030204" pitchFamily="18" charset="0"/>
                </a:rPr>
                <a:t>〗_(</a:t>
              </a:r>
              <a:r>
                <a:rPr lang="en-AU" sz="1100" i="0">
                  <a:latin typeface="Cambria Math" panose="02040503050406030204" pitchFamily="18" charset="0"/>
                </a:rPr>
                <a:t>3,𝑒𝑙𝑒𝑐</a:t>
              </a:r>
              <a:r>
                <a:rPr lang="en-AU" sz="1100" b="0" i="0">
                  <a:solidFill>
                    <a:srgbClr val="C00000"/>
                  </a:solidFill>
                  <a:latin typeface="Cambria Math" panose="02040503050406030204" pitchFamily="18" charset="0"/>
                </a:rPr>
                <a:t>)</a:t>
              </a:r>
              <a:r>
                <a:rPr lang="en-AU" sz="1100" i="0">
                  <a:latin typeface="Cambria Math" panose="02040503050406030204" pitchFamily="18" charset="0"/>
                </a:rPr>
                <a:t>=[𝑄_𝑒𝑙𝑒𝑐×(1−(𝑅𝑃𝑃+𝐽𝑅𝑃𝑃))−├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56998463-9479-46B5-A0D4-A9BB08219DB8}"/>
                </a:ext>
              </a:extLst>
            </xdr:cNvPr>
            <xdr:cNvSpPr txBox="1"/>
          </xdr:nvSpPr>
          <xdr:spPr>
            <a:xfrm>
              <a:off x="3501026" y="126493814"/>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56998463-9479-46B5-A0D4-A9BB08219DB8}"/>
                </a:ext>
              </a:extLst>
            </xdr:cNvPr>
            <xdr:cNvSpPr txBox="1"/>
          </xdr:nvSpPr>
          <xdr:spPr>
            <a:xfrm>
              <a:off x="3501026" y="126493814"/>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9C34685B-F00E-4315-8270-A3D5E71D272A}"/>
                </a:ext>
              </a:extLst>
            </xdr:cNvPr>
            <xdr:cNvSpPr txBox="1"/>
          </xdr:nvSpPr>
          <xdr:spPr>
            <a:xfrm>
              <a:off x="3487270" y="1307782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𝑙𝑒𝑎𝑐ℎ</m:t>
                        </m:r>
                      </m:sub>
                    </m:sSub>
                  </m:oMath>
                </m:oMathPara>
              </a14:m>
              <a:endParaRPr lang="en-AU" sz="1100"/>
            </a:p>
          </xdr:txBody>
        </xdr:sp>
      </mc:Choice>
      <mc:Fallback xmlns="">
        <xdr:sp macro="" textlink="">
          <xdr:nvSpPr>
            <xdr:cNvPr id="19" name="TextBox 18">
              <a:extLst>
                <a:ext uri="{FF2B5EF4-FFF2-40B4-BE49-F238E27FC236}">
                  <a16:creationId xmlns:a16="http://schemas.microsoft.com/office/drawing/2014/main" id="{9C34685B-F00E-4315-8270-A3D5E71D272A}"/>
                </a:ext>
              </a:extLst>
            </xdr:cNvPr>
            <xdr:cNvSpPr txBox="1"/>
          </xdr:nvSpPr>
          <xdr:spPr>
            <a:xfrm>
              <a:off x="3487270" y="1307782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FE19F10B-4653-46E8-AAA9-D3119AF1C203}"/>
                </a:ext>
              </a:extLst>
            </xdr:cNvPr>
            <xdr:cNvSpPr txBox="1"/>
          </xdr:nvSpPr>
          <xdr:spPr>
            <a:xfrm>
              <a:off x="3525932" y="137744387"/>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FE19F10B-4653-46E8-AAA9-D3119AF1C203}"/>
                </a:ext>
              </a:extLst>
            </xdr:cNvPr>
            <xdr:cNvSpPr txBox="1"/>
          </xdr:nvSpPr>
          <xdr:spPr>
            <a:xfrm>
              <a:off x="3525932" y="137744387"/>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50FE6574-1EEE-4B59-B840-74500855E51E}"/>
                </a:ext>
              </a:extLst>
            </xdr:cNvPr>
            <xdr:cNvSpPr txBox="1"/>
          </xdr:nvSpPr>
          <xdr:spPr>
            <a:xfrm>
              <a:off x="3521594"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21" name="TextBox 20">
              <a:extLst>
                <a:ext uri="{FF2B5EF4-FFF2-40B4-BE49-F238E27FC236}">
                  <a16:creationId xmlns:a16="http://schemas.microsoft.com/office/drawing/2014/main" id="{50FE6574-1EEE-4B59-B840-74500855E51E}"/>
                </a:ext>
              </a:extLst>
            </xdr:cNvPr>
            <xdr:cNvSpPr txBox="1"/>
          </xdr:nvSpPr>
          <xdr:spPr>
            <a:xfrm>
              <a:off x="3521594"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𝐸=∑2_𝑗▒(𝑄_𝑗×𝐸𝐹_𝑗 ) </a:t>
              </a:r>
              <a:endParaRPr lang="en-AU" sz="11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178FE7FC-202D-437D-8FA9-1F1A85651598}"/>
                </a:ext>
              </a:extLst>
            </xdr:cNvPr>
            <xdr:cNvSpPr txBox="1"/>
          </xdr:nvSpPr>
          <xdr:spPr>
            <a:xfrm>
              <a:off x="8426598"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a14:m>
              <a:endParaRPr lang="en-AU" sz="1100"/>
            </a:p>
          </xdr:txBody>
        </xdr:sp>
      </mc:Choice>
      <mc:Fallback xmlns="">
        <xdr:sp macro="" textlink="">
          <xdr:nvSpPr>
            <xdr:cNvPr id="22" name="TextBox 21">
              <a:extLst>
                <a:ext uri="{FF2B5EF4-FFF2-40B4-BE49-F238E27FC236}">
                  <a16:creationId xmlns:a16="http://schemas.microsoft.com/office/drawing/2014/main" id="{178FE7FC-202D-437D-8FA9-1F1A85651598}"/>
                </a:ext>
              </a:extLst>
            </xdr:cNvPr>
            <xdr:cNvSpPr txBox="1"/>
          </xdr:nvSpPr>
          <xdr:spPr>
            <a:xfrm>
              <a:off x="8426598"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 </a:t>
              </a:r>
              <a:r>
                <a:rPr lang="en-AU" sz="1100" i="0">
                  <a:latin typeface="Cambria Math" panose="02040503050406030204" pitchFamily="18" charset="0"/>
                </a:rPr>
                <a:t>𝐸=∑2_𝑗▒(𝑄_𝑗×𝐸𝐹_𝑗 ) </a:t>
              </a:r>
              <a:endParaRPr lang="en-AU" sz="11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7D3FD0E3-8798-4422-95E9-D33241136950}"/>
                </a:ext>
              </a:extLst>
            </xdr:cNvPr>
            <xdr:cNvSpPr txBox="1"/>
          </xdr:nvSpPr>
          <xdr:spPr>
            <a:xfrm>
              <a:off x="626633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a:t>
              </a:r>
              <a:r>
                <a:rPr lang="en-AU" sz="110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a14:m>
              <a:endParaRPr lang="en-AU" sz="1100"/>
            </a:p>
          </xdr:txBody>
        </xdr:sp>
      </mc:Choice>
      <mc:Fallback xmlns="">
        <xdr:sp macro="" textlink="">
          <xdr:nvSpPr>
            <xdr:cNvPr id="23" name="TextBox 22">
              <a:extLst>
                <a:ext uri="{FF2B5EF4-FFF2-40B4-BE49-F238E27FC236}">
                  <a16:creationId xmlns:a16="http://schemas.microsoft.com/office/drawing/2014/main" id="{7D3FD0E3-8798-4422-95E9-D33241136950}"/>
                </a:ext>
              </a:extLst>
            </xdr:cNvPr>
            <xdr:cNvSpPr txBox="1"/>
          </xdr:nvSpPr>
          <xdr:spPr>
            <a:xfrm>
              <a:off x="626633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a:t>
              </a:r>
              <a:r>
                <a:rPr lang="en-AU" sz="1100"/>
                <a:t> </a:t>
              </a:r>
              <a:r>
                <a:rPr lang="en-AU" sz="1100" i="0">
                  <a:latin typeface="Cambria Math" panose="02040503050406030204" pitchFamily="18" charset="0"/>
                </a:rPr>
                <a:t>𝐸=∑2_𝑚▒(𝑄_𝑚×𝐸𝐹_𝑚 ) </a:t>
              </a:r>
              <a:endParaRPr lang="en-AU" sz="1100"/>
            </a:p>
          </xdr:txBody>
        </xdr:sp>
      </mc:Fallback>
    </mc:AlternateContent>
    <xdr:clientData/>
  </xdr:oneCellAnchor>
</xdr:wsDr>
</file>

<file path=xl/drawings/drawing26.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CAA5495-9E00-40FC-966C-BB7595DB1F7A}"/>
                </a:ext>
              </a:extLst>
            </xdr:cNvPr>
            <xdr:cNvSpPr txBox="1"/>
          </xdr:nvSpPr>
          <xdr:spPr>
            <a:xfrm>
              <a:off x="35004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CAA5495-9E00-40FC-966C-BB7595DB1F7A}"/>
                </a:ext>
              </a:extLst>
            </xdr:cNvPr>
            <xdr:cNvSpPr txBox="1"/>
          </xdr:nvSpPr>
          <xdr:spPr>
            <a:xfrm>
              <a:off x="35004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5839F3B-C3E8-462A-B991-6C3D2D4A2FDC}"/>
                </a:ext>
              </a:extLst>
            </xdr:cNvPr>
            <xdr:cNvSpPr txBox="1"/>
          </xdr:nvSpPr>
          <xdr:spPr>
            <a:xfrm>
              <a:off x="35004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5839F3B-C3E8-462A-B991-6C3D2D4A2FDC}"/>
                </a:ext>
              </a:extLst>
            </xdr:cNvPr>
            <xdr:cNvSpPr txBox="1"/>
          </xdr:nvSpPr>
          <xdr:spPr>
            <a:xfrm>
              <a:off x="35004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E76EA844-5E75-45AB-B09F-485ACF935FD8}"/>
                </a:ext>
              </a:extLst>
            </xdr:cNvPr>
            <xdr:cNvSpPr txBox="1"/>
          </xdr:nvSpPr>
          <xdr:spPr>
            <a:xfrm>
              <a:off x="35099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E76EA844-5E75-45AB-B09F-485ACF935FD8}"/>
                </a:ext>
              </a:extLst>
            </xdr:cNvPr>
            <xdr:cNvSpPr txBox="1"/>
          </xdr:nvSpPr>
          <xdr:spPr>
            <a:xfrm>
              <a:off x="35099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1656546-17A6-41F4-BC48-5448546E88BE}"/>
                </a:ext>
              </a:extLst>
            </xdr:cNvPr>
            <xdr:cNvSpPr txBox="1"/>
          </xdr:nvSpPr>
          <xdr:spPr>
            <a:xfrm>
              <a:off x="33956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1656546-17A6-41F4-BC48-5448546E88BE}"/>
                </a:ext>
              </a:extLst>
            </xdr:cNvPr>
            <xdr:cNvSpPr txBox="1"/>
          </xdr:nvSpPr>
          <xdr:spPr>
            <a:xfrm>
              <a:off x="33956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3E911D5-A448-42E2-9EB6-1C41D53706E0}"/>
                </a:ext>
              </a:extLst>
            </xdr:cNvPr>
            <xdr:cNvSpPr txBox="1"/>
          </xdr:nvSpPr>
          <xdr:spPr>
            <a:xfrm>
              <a:off x="35099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3E911D5-A448-42E2-9EB6-1C41D53706E0}"/>
                </a:ext>
              </a:extLst>
            </xdr:cNvPr>
            <xdr:cNvSpPr txBox="1"/>
          </xdr:nvSpPr>
          <xdr:spPr>
            <a:xfrm>
              <a:off x="35099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903BBA04-985A-4097-BFF3-F88A9E2986D4}"/>
                </a:ext>
              </a:extLst>
            </xdr:cNvPr>
            <xdr:cNvSpPr txBox="1"/>
          </xdr:nvSpPr>
          <xdr:spPr>
            <a:xfrm>
              <a:off x="208930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903BBA04-985A-4097-BFF3-F88A9E2986D4}"/>
                </a:ext>
              </a:extLst>
            </xdr:cNvPr>
            <xdr:cNvSpPr txBox="1"/>
          </xdr:nvSpPr>
          <xdr:spPr>
            <a:xfrm>
              <a:off x="208930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9088D5D-A487-437D-ADCC-0ED4060E7B31}"/>
                </a:ext>
              </a:extLst>
            </xdr:cNvPr>
            <xdr:cNvSpPr txBox="1"/>
          </xdr:nvSpPr>
          <xdr:spPr>
            <a:xfrm>
              <a:off x="208930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79088D5D-A487-437D-ADCC-0ED4060E7B31}"/>
                </a:ext>
              </a:extLst>
            </xdr:cNvPr>
            <xdr:cNvSpPr txBox="1"/>
          </xdr:nvSpPr>
          <xdr:spPr>
            <a:xfrm>
              <a:off x="208930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7D8DD411-6A18-46E1-9206-11C3D1F39DE6}"/>
                </a:ext>
              </a:extLst>
            </xdr:cNvPr>
            <xdr:cNvSpPr txBox="1"/>
          </xdr:nvSpPr>
          <xdr:spPr>
            <a:xfrm>
              <a:off x="209026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7D8DD411-6A18-46E1-9206-11C3D1F39DE6}"/>
                </a:ext>
              </a:extLst>
            </xdr:cNvPr>
            <xdr:cNvSpPr txBox="1"/>
          </xdr:nvSpPr>
          <xdr:spPr>
            <a:xfrm>
              <a:off x="209026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3004771D-2CA9-465B-BF7A-10BE36B9DF77}"/>
                </a:ext>
              </a:extLst>
            </xdr:cNvPr>
            <xdr:cNvSpPr txBox="1"/>
          </xdr:nvSpPr>
          <xdr:spPr>
            <a:xfrm>
              <a:off x="207883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3004771D-2CA9-465B-BF7A-10BE36B9DF77}"/>
                </a:ext>
              </a:extLst>
            </xdr:cNvPr>
            <xdr:cNvSpPr txBox="1"/>
          </xdr:nvSpPr>
          <xdr:spPr>
            <a:xfrm>
              <a:off x="207883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15F666AB-E901-4D2D-A97E-E106DF2DC9FC}"/>
                </a:ext>
              </a:extLst>
            </xdr:cNvPr>
            <xdr:cNvSpPr txBox="1"/>
          </xdr:nvSpPr>
          <xdr:spPr>
            <a:xfrm>
              <a:off x="209026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15F666AB-E901-4D2D-A97E-E106DF2DC9FC}"/>
                </a:ext>
              </a:extLst>
            </xdr:cNvPr>
            <xdr:cNvSpPr txBox="1"/>
          </xdr:nvSpPr>
          <xdr:spPr>
            <a:xfrm>
              <a:off x="209026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9A8A72-3CE5-4227-BDCD-1353ACE6C13A}" name="Table_Input_Enterprise_PlantingRemovals" displayName="Table_Input_Enterprise_PlantingRemovals" ref="D39:G40" totalsRowShown="0">
  <autoFilter ref="D39:G40" xr:uid="{069A8A72-3CE5-4227-BDCD-1353ACE6C13A}"/>
  <tableColumns count="4">
    <tableColumn id="1" xr3:uid="{5836E445-9CFC-4A97-8DDE-4C249E943537}" name="Planting name" dataCellStyle="Input text"/>
    <tableColumn id="2" xr3:uid="{365B899D-C571-4ECB-96CB-13C89774EE3C}" name="Total removed CO2" dataCellStyle="Input number general"/>
    <tableColumn id="3" xr3:uid="{13C8816C-5A9D-4FC0-AFF7-A72C96BBC8FB}" name="Percent allocated to this enterprise" dataCellStyle="Input percent"/>
    <tableColumn id="4" xr3:uid="{E46B1659-4CAC-423C-A977-D1FEDC0B6B19}"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EA1C81-FBB6-43DC-BB35-9A0347A24CF8}" name="Table_Input_LivestockSales" displayName="Table_Input_LivestockSales" ref="D6:I16" totalsRowShown="0">
  <autoFilter ref="D6:I16" xr:uid="{AD1E1097-C0F0-4392-9D6D-AFBC08E76915}">
    <filterColumn colId="0" hiddenButton="1"/>
    <filterColumn colId="1" hiddenButton="1"/>
    <filterColumn colId="2" hiddenButton="1"/>
    <filterColumn colId="3" hiddenButton="1"/>
    <filterColumn colId="4" hiddenButton="1"/>
    <filterColumn colId="5" hiddenButton="1"/>
  </autoFilter>
  <tableColumns count="6">
    <tableColumn id="6" xr3:uid="{84D8E3C0-97CA-4CF1-A63F-3CF6AAE07330}" name="Transaction name" dataCellStyle="Input text"/>
    <tableColumn id="1" xr3:uid="{E41B3FA3-55C1-4BBF-A477-D8EDBC89025E}" name="Class (select)" dataCellStyle="Input select"/>
    <tableColumn id="2" xr3:uid="{3F9F09B6-E6B3-4323-AB6A-249C77DAFA51}" name="Sale date" dataDxfId="462"/>
    <tableColumn id="3" xr3:uid="{48DB24D2-2F89-4EEB-911F-2F24089C3918}" name="Head sold"/>
    <tableColumn id="4" xr3:uid="{879FC871-5C62-44BF-952F-ACBA1C3B6AE4}" name="Average weight per head (kg)"/>
    <tableColumn id="5" xr3:uid="{B8588D76-BACA-4516-8963-B7E8E5A87B93}"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5BBF26A1-185E-4744-A95B-FE28F27D42F2}" name="Table_Input_LivestockPurchases_Dairy" displayName="Table_Input_LivestockPurchases_Dairy" ref="D6:I16" totalsRowShown="0" headerRowDxfId="461">
  <autoFilter ref="D6:I16" xr:uid="{E938BFB3-949A-45DE-8033-0682BC494B81}"/>
  <tableColumns count="6">
    <tableColumn id="9" xr3:uid="{C88B487B-3FCB-4A37-8A89-2BF0D999F3E6}" name="Transaction name" dataCellStyle="Input text"/>
    <tableColumn id="11" xr3:uid="{1EEA9D3F-1157-4F60-B949-E7632308FD25}" name="Class (select)" dataDxfId="460" dataCellStyle="Input select"/>
    <tableColumn id="2" xr3:uid="{168F382A-88D4-4F12-9012-A237B1C5A443}" name="Breed (select)" dataCellStyle="Input select"/>
    <tableColumn id="3" xr3:uid="{4E95AB19-A1E6-4E57-A5A7-9772405137FD}" name="Quantity (head)" dataCellStyle="Input number general"/>
    <tableColumn id="12" xr3:uid="{A7603F4D-7E28-46FA-AE8C-802CABA7F78C}" name="Liveweight (kg/head) Method 1" dataCellStyle="Input number general calculated"/>
    <tableColumn id="4" xr3:uid="{93849211-D6C6-4F14-A8C3-A5A14BC95A30}" name="Liveweight (kg/head) Method 2" dataCellStyle="Input number general"/>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CA6F6E1-EA7A-4978-92D1-53D2FCF309B2}" name="Table_Input_InorganicFertiliser_Brands" displayName="Table_Input_InorganicFertiliser_Brands" ref="D11:Z21" headerRowDxfId="459" dataDxfId="458" totalsRowDxfId="457">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9BBFA752-B831-4145-B0CB-2E1C2FC51601}" name="Product (select)" dataDxfId="456" totalsRowDxfId="455" dataCellStyle="Input select"/>
    <tableColumn id="23" xr3:uid="{C38B853C-BF28-471C-A834-DDE83D471B67}" name="Amount applied per hectare" totalsRowFunction="custom" dataDxfId="454" totalsRowDxfId="453">
      <totalsRowFormula>SUM(Table_Input_InorganicFertiliser_Brands[[#Headers],[#Data],[Amount applied per hectare]])</totalsRowFormula>
    </tableColumn>
    <tableColumn id="12" xr3:uid="{2B7D0D58-6794-4D13-8829-677202E68A69}" name="Application unit" dataDxfId="452" totalsRowDxfId="451" dataCellStyle="Input number 2 decimal places"/>
    <tableColumn id="6" xr3:uid="{B9A47289-7787-4193-AEE3-845279E5EC23}" name="Application area (ha)" dataDxfId="450" totalsRowDxfId="449">
      <calculatedColumnFormula>X_Cell_Fertiliser_AreaUnderCropping</calculatedColumnFormula>
    </tableColumn>
    <tableColumn id="9" xr3:uid="{E06E2EFF-0121-487F-A952-BA240DDC80E1}" name="Density" dataDxfId="448" totalsRowDxfId="447" dataCellStyle="Input number general calculated"/>
    <tableColumn id="1" xr3:uid="{2E0C9E82-0AC6-4D0B-878B-C77C1CA27FF5}" name="Total applied (kg)" dataDxfId="446" totalsRowDxfId="445"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BC09EC66-8333-472F-9784-171111AE6C60}" name="Ingredient 1" dataDxfId="444" totalsRowDxfId="443" dataCellStyle="Input number general calculated"/>
    <tableColumn id="4" xr3:uid="{39523A2F-7F75-4F79-9898-07EF191FE68C}" name="Ingredient 1 percent" dataDxfId="442" dataCellStyle="Input number general calculated"/>
    <tableColumn id="7" xr3:uid="{5E3ADC7F-83E3-498E-B633-81B578B055C2}" name="Ingredient 2" dataDxfId="441" dataCellStyle="Input number general calculated"/>
    <tableColumn id="8" xr3:uid="{48D6EE4E-0712-4E73-8F7F-5EB481DC5148}" name="Ingredient 2 percent" dataDxfId="440" totalsRowDxfId="439" dataCellStyle="Input number general calculated"/>
    <tableColumn id="10" xr3:uid="{36BB491C-1557-4FB7-BF70-6A411BFDE749}" name="Ingredient 3" dataDxfId="438" totalsRowDxfId="437" dataCellStyle="Input number general calculated"/>
    <tableColumn id="11" xr3:uid="{921B0500-A44E-4974-AEBD-E884E6C609A7}" name="Ingredient 3 percent" dataDxfId="436" totalsRowDxfId="435" dataCellStyle="Input number general calculated"/>
    <tableColumn id="13" xr3:uid="{C3D61B5F-2C7C-40BB-840C-F0F498746985}" name="Ingredient 4" dataDxfId="434" totalsRowDxfId="433" dataCellStyle="Input number general calculated"/>
    <tableColumn id="14" xr3:uid="{C51ED12C-F72E-463F-BC3F-51C74A239323}" name="Ingredient 4 percent" dataDxfId="432" dataCellStyle="Input number general calculated"/>
    <tableColumn id="16" xr3:uid="{EEC5F623-52D7-4973-9B7C-BD62B1F6A244}" name="Ingredient 5" dataDxfId="431" dataCellStyle="Input number general calculated"/>
    <tableColumn id="17" xr3:uid="{319D30E1-E4FD-47CC-8E9F-4619E02848CC}" name="Ingredient 5 percent" dataDxfId="430" dataCellStyle="Input number general calculated"/>
    <tableColumn id="19" xr3:uid="{7688CB8F-54E6-40FC-8B81-76B9CA434666}" name="Ingredient 6" dataDxfId="429" dataCellStyle="Input number general calculated"/>
    <tableColumn id="20" xr3:uid="{49AE9E34-E06B-46C5-90E6-1DF5CCD5984E}" name="Ingredient 6 percent" dataDxfId="428" dataCellStyle="Input number general calculated"/>
    <tableColumn id="21" xr3:uid="{7BEA73C7-2EA1-45F8-BA8A-1474154B769D}" name="% N (Ingredients)" dataDxfId="427" dataCellStyle="Input number general calculated"/>
    <tableColumn id="22" xr3:uid="{FC324C09-36D3-4C90-B712-01ACE03C73EF}" name="% N (declared)" dataDxfId="426" dataCellStyle="Content normal"/>
    <tableColumn id="5" xr3:uid="{D35F7787-23DD-4026-B66F-8F121E27B042}" name="N application rate (kg/ha)" dataDxfId="425" totalsRowDxfId="424"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5A8CAE10-F913-4C05-9B22-72742CA5B2B9}" name="Urea source" dataDxfId="423" totalsRowDxfId="422" dataCellStyle="Input number general calculated"/>
    <tableColumn id="18" xr3:uid="{83DC9B1B-BFA6-4D1C-9D0C-344020218B85}" name="Ammonia source" dataDxfId="421" totalsRowDxfId="420" dataCellStyle="Input number general calculated"/>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7A89D081-50CF-4D49-946D-68D0E64DBF54}" name="Table_Input_InorganicFertiliser_Custom" displayName="Table_Input_InorganicFertiliser_Custom" ref="D24:R34" totalsRowShown="0" headerRowDxfId="419" dataDxfId="418">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3B34C054-F7AE-454B-A634-32D4375221FF}" name="Custom blend name" dataCellStyle="Input text"/>
    <tableColumn id="2" xr3:uid="{153D08A7-0A77-40A5-95ED-2D655EB7A883}" name="Amount applied (kg / ha)" dataDxfId="417"/>
    <tableColumn id="3" xr3:uid="{1FD05156-6E40-4D87-99D6-4D91EE9FEB34}" name="Application area (ha)" dataDxfId="416" dataCellStyle="Input number 2 decimal places">
      <calculatedColumnFormula>X_Cell_Fertiliser_AreaUnderCropping</calculatedColumnFormula>
    </tableColumn>
    <tableColumn id="4" xr3:uid="{47A8A917-6D3C-4C9A-9B99-595A3254A622}" name="Total applied (kg)" dataDxfId="415" dataCellStyle="Input number general calculated">
      <calculatedColumnFormula>Table_Input_InorganicFertiliser_Custom[[#This Row],[Amount applied (kg / ha)]]*Table_Input_InorganicFertiliser_Custom[[#This Row],[Application area (ha)]]</calculatedColumnFormula>
    </tableColumn>
    <tableColumn id="5" xr3:uid="{52BDD54E-F690-426C-AB4D-38AB6A3577A5}" name="Ingredient 1 (select)" dataDxfId="414" dataCellStyle="Input select"/>
    <tableColumn id="6" xr3:uid="{9EA37529-39BE-4B5A-AFF3-77D6C479B77B}" name="Ingredient 1 percent" dataDxfId="413"/>
    <tableColumn id="8" xr3:uid="{4317FFFA-5AD5-468F-A000-2A8C4715FE38}" name="Ingredient 2" dataDxfId="412" dataCellStyle="Input select"/>
    <tableColumn id="9" xr3:uid="{20274302-F80A-4162-A7EA-F3F1E5897FEA}" name="Ingredient 2 percent" dataDxfId="411"/>
    <tableColumn id="11" xr3:uid="{127A33D8-BEE3-4B96-8845-EF6C9B1C1249}" name="Ingredient 3" dataDxfId="410" dataCellStyle="Input select"/>
    <tableColumn id="12" xr3:uid="{1F6C6AE2-A1DD-4188-91D8-5D8FA0138CF1}" name="Ingredient 3 percent" dataDxfId="409"/>
    <tableColumn id="14" xr3:uid="{D26481F5-77DA-4CD5-8A52-741529A4CF1C}" name="Ingredient 4" dataDxfId="408" dataCellStyle="Input select"/>
    <tableColumn id="15" xr3:uid="{7C382980-F168-42ED-BDC2-6473E2D7F762}" name="Ingredient 4 percent" dataCellStyle="Input percent"/>
    <tableColumn id="7" xr3:uid="{481FC06E-B906-47A4-A2CE-0E578867B4D4}" name="N application rate (kg/ha)" dataDxfId="407" dataCellStyle="Input number general calculated"/>
    <tableColumn id="10" xr3:uid="{236328A8-4773-416F-AECD-16E71F9B1F52}" name="Urea source (Select)" dataCellStyle="Input select"/>
    <tableColumn id="13" xr3:uid="{1339AD45-CFC2-4915-9F04-1C5D86547D02}" name="Ammonia source (select)" dataCellStyle="Input select"/>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347A0F5D-13F3-4136-8CEF-F0FEA3756E37}" name="Table_Input_Lime" displayName="Table_Input_Lime" ref="D41:K44" totalsRowShown="0" headerRowDxfId="406" dataDxfId="405"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D2439E0C-A6A2-4C76-99E9-E90E120C158F}" name="Product" dataDxfId="404"/>
    <tableColumn id="2" xr3:uid="{5C394DD8-0569-4162-BEA1-CDFC46BB4316}" name="Amount applied (t/hectare)" dataDxfId="403"/>
    <tableColumn id="4" xr3:uid="{58D6516F-18CC-4FE8-A3E3-5D2409B566B6}" name="Application area (ha)" dataDxfId="402" dataCellStyle="Input number 2 decimal places">
      <calculatedColumnFormula>X_Cell_Fertiliser_AreaUnderCropping</calculatedColumnFormula>
    </tableColumn>
    <tableColumn id="3" xr3:uid="{74FC1EE9-B2D1-4D36-8D4C-EADC19040467}" name="Total amount applied (t)" dataDxfId="401" dataCellStyle="Input number general calculated">
      <calculatedColumnFormula>IFERROR(Table_Input_Lime[[#This Row],[Amount applied (t/hectare)]]*Table_Input_Lime[[#This Row],[Application area (ha)]], 0)</calculatedColumnFormula>
    </tableColumn>
    <tableColumn id="6" xr3:uid="{8A8E3C30-8D45-47AB-84A6-30975A8C69AA}" name="Percent Lime CaCO3" dataDxfId="400"/>
    <tableColumn id="8" xr3:uid="{3BA10E6B-D65E-4468-BDA5-2FA165CDB3C6}" name="Percent Dolomite CaMg(CO3)2" dataDxfId="399"/>
    <tableColumn id="7" xr3:uid="{9DE990B0-E060-457F-80EA-442187400AE5}" name="Percent Gypsum" dataDxfId="398"/>
    <tableColumn id="10" xr3:uid="{C3A1B5EF-BBAE-4941-8C09-57CBB9E0D86F}" name="Total" dataDxfId="397"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9D4247FD-A88D-414C-B880-6B0B16D8A3E1}" name="Table_Input_OrganicFertiliser" displayName="Table_Input_OrganicFertiliser" ref="D53:J56" totalsRowShown="0" headerRowDxfId="396" dataDxfId="395"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CCFBAF2-0BC7-495E-A01F-4C7045CDF190}" name="Organic fertiliser type (select)" dataDxfId="394" dataCellStyle="Input select"/>
    <tableColumn id="5" xr3:uid="{59ABBFC8-361D-4653-8DEF-CD8657BFACC9}" name="Percentage of N in fertiliser" dataDxfId="393"/>
    <tableColumn id="2" xr3:uid="{151622A3-7B75-425D-95C8-3F0DDBD4762E}" name="Amount applied (kg/hectare)" dataDxfId="392"/>
    <tableColumn id="11" xr3:uid="{E0F2A5AA-17E0-4B05-B546-DE0911485E0E}" name="Amount N applied (kg/hectare)" dataDxfId="391" dataCellStyle="Input number general calculated">
      <calculatedColumnFormula>Table_Input_OrganicFertiliser[[#This Row],[Amount applied (kg/hectare)]]*Table_Input_OrganicFertiliser[[#This Row],[Percentage of N in fertiliser]]</calculatedColumnFormula>
    </tableColumn>
    <tableColumn id="4" xr3:uid="{CD5B05CA-092F-4A38-AC10-36506885613C}" name="Application area (ha)" dataDxfId="390" dataCellStyle="Input number 2 decimal places">
      <calculatedColumnFormula>X_Cell_Fertiliser_AreaUnderCropping</calculatedColumnFormula>
    </tableColumn>
    <tableColumn id="7" xr3:uid="{CCC92683-DE34-4033-95F4-8D553EEA3847}" name="Total organic fertliser applied" dataDxfId="389" dataCellStyle="Input number general calculated">
      <calculatedColumnFormula>Table_Input_OrganicFertiliser[[#This Row],[Amount applied (kg/hectare)]]*Table_Input_OrganicFertiliser[[#This Row],[Application area (ha)]]</calculatedColumnFormula>
    </tableColumn>
    <tableColumn id="3" xr3:uid="{849028B4-B048-4BFA-B939-91E1AB8EF66F}" name="Total nitrogen applied (kg)" dataDxfId="388"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96D0BABB-0906-496D-A223-9EB16EF7D7AB}" name="Table_Input_Fuel" displayName="Table_Input_Fuel" ref="D16:J21" totalsRowDxfId="387"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CBCD5B09-043F-44B3-9B69-094B4C44302C}" name="Fuel use (select)" totalsRowFunction="average" totalsRowDxfId="386" dataCellStyle="Input select" totalsRowCellStyle="Input select"/>
    <tableColumn id="3" xr3:uid="{BDBFD6AE-0AE0-40B8-9367-931CCF1BE294}" name="Fuel type (select)" totalsRowDxfId="385" dataCellStyle="Input select" totalsRowCellStyle="Input select"/>
    <tableColumn id="4" xr3:uid="{E8339650-5891-4F3C-9EF1-BA7B7B06EE04}" name="Amount purchased" totalsRowDxfId="384" totalsRowCellStyle="Content bold"/>
    <tableColumn id="6" xr3:uid="{7142A2DA-2678-4248-AAAD-0A9BCF8B2F66}" name="Amount unit" totalsRowDxfId="383" dataCellStyle="Input number general calculated" totalsRowCellStyle="Input text calculated"/>
    <tableColumn id="5" xr3:uid="{84DCD89F-DDE9-4552-B0B5-7FC3DA306825}" name="Percent consumed" totalsRowDxfId="382" totalsRowCellStyle="Input percent">
      <calculatedColumnFormula>1</calculatedColumnFormula>
    </tableColumn>
    <tableColumn id="1" xr3:uid="{D0086903-7CEF-4416-B2FE-795B3FE0B312}" name="Amount consumed" totalsRowFunction="custom" totalsRowDxfId="381"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A50593C3-E10B-48F2-AF9E-8D2428FCE836}" name="Amount consumed unit" totalsRowDxfId="380" dataCellStyle="Input number general calculated"/>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2C8D86-3CF7-439F-B468-58B89E3B2A39}"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5DFB171D-3F3A-474D-BC45-37DB2EDD7B0C}" name="Description"/>
    <tableColumn id="5" xr3:uid="{126F51EF-EA03-4E1B-8F4B-3D5733EAAF37}" name="Source (select)" dataCellStyle="Input select"/>
    <tableColumn id="2" xr3:uid="{98A0FF98-3256-428B-8453-2FCCDA218BCA}" name="Generation date" dataDxfId="379"/>
    <tableColumn id="3" xr3:uid="{ADB4291F-56E3-4890-AFCF-F1481E78BEAD}" name="Number of certificates"/>
    <tableColumn id="4" xr3:uid="{F6D03A9E-19A2-4804-B3B1-CCD40B09C6AB}" name="MWh" dataCellStyle="Input number general calculated">
      <calculatedColumnFormula>Table_Input_RECSurrendered[[#This Row],[Number of certificates]]</calculatedColumnFormula>
    </tableColumn>
    <tableColumn id="7" xr3:uid="{3C7E9E5D-7EEC-40F4-86D1-60B48EE3FF2F}"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2F7DB64-143C-4490-95C3-DE24BD86D0BD}"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33B99812-5184-44CE-8A8B-E651F253C89A}" name="Description"/>
    <tableColumn id="5" xr3:uid="{9BAC9BAA-9F47-4973-BAC3-3A83A20460BF}" name="Source" dataCellStyle="Input text calculated">
      <calculatedColumnFormula>"Issued for generated electricity"</calculatedColumnFormula>
    </tableColumn>
    <tableColumn id="2" xr3:uid="{FCBFA9FA-7AA2-4C3D-ACF1-6D6ED696008F}" name="Generation date" dataDxfId="378"/>
    <tableColumn id="3" xr3:uid="{D0EEF668-349E-478B-AECA-472059D72A53}" name="Number of certificates"/>
    <tableColumn id="4" xr3:uid="{9CD1860C-C622-4538-BCF0-DE729F452DB8}" name="MWh" dataCellStyle="Input number general calculated">
      <calculatedColumnFormula>Table_Input_RECConsumedByEntity[[#This Row],[Number of certificates]]</calculatedColumnFormula>
    </tableColumn>
    <tableColumn id="7" xr3:uid="{8B291479-F099-43C8-AFE7-CAC2A3F69FCB}"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2BE70D6E-AE6D-4F6F-A147-7F6E7E2FCEB4}"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8E81F44E-B0E1-4718-A60C-468765B04D20}" name="Product name" dataCellStyle="Input text"/>
    <tableColumn id="1" xr3:uid="{BB86A7A3-77C6-499C-A6E2-5C36B7856E71}" name="Type (select)" dataCellStyle="Input select"/>
    <tableColumn id="2" xr3:uid="{AF0EB14A-1D65-4C6D-86AC-462558225EBA}" name="Quantity purchased (kg)"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CB32AB76-E3CC-43E7-B1ED-FC25A7466D9E}"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88198A8F-7933-4322-92A4-84B692B67E0B}" name="Product / service name" dataCellStyle="Input text"/>
    <tableColumn id="2" xr3:uid="{1EA0F5C1-A81C-4161-AD38-DAAACE3EFBBE}" name="Amount" dataCellStyle="Input number general"/>
    <tableColumn id="3" xr3:uid="{B2F4F8DF-FCEB-4AF1-A94C-7744C87237BC}" name="Amount unit" dataCellStyle="Input tex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29BA9401-20A7-4798-B08A-20CAA6D83E82}"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3EC87FA7-95D6-4FE3-AC6D-B8079F721573}" name="Service provider / contractor" dataCellStyle="Input text"/>
    <tableColumn id="4" xr3:uid="{51DD4D98-0CE0-4D32-886C-082F481E4BC6}" name="Activity" dataCellStyle="Input text"/>
    <tableColumn id="2" xr3:uid="{390B0F32-6B4A-40A2-A4EE-5B6979068E91}" name="Total amount" dataCellStyle="Input number general"/>
    <tableColumn id="3" xr3:uid="{8F6C61C5-20DA-431A-82D0-20008151EBB5}" name="Amount unit" dataCellStyle="Input selec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829DF8D2-1FF9-48FD-A6F4-976CF998F5E3}" name="Table_Input_Pesticides" displayName="Table_Input_Pesticides" ref="D9:R19" totalsRowShown="0" headerRowDxfId="377">
  <autoFilter ref="D9:R19" xr:uid="{BA52E4BB-C3D1-441A-A568-0AD50449E880}"/>
  <tableColumns count="15">
    <tableColumn id="1" xr3:uid="{87C272D2-3C51-4D96-B901-70130A20EA78}" name="Product name"/>
    <tableColumn id="2" xr3:uid="{CDFD26B2-283E-4F91-A5A4-8E3CB5127391}" name="Amount applied per ha"/>
    <tableColumn id="7" xr3:uid="{D22DCCC0-C6B6-47AA-A147-8B705ABF2B05}" name="Application unit (select)" dataCellStyle="Input select"/>
    <tableColumn id="6" xr3:uid="{DEC6EE71-3841-4907-A9F6-D5950402234E}" name="Application area (ha)" dataCellStyle="Input number general"/>
    <tableColumn id="3" xr3:uid="{55219A9C-512C-4D7D-8FCE-66D0B1A339E3}" name="Total applied" dataCellStyle="Input number general calculated">
      <calculatedColumnFormula>Table_Input_Pesticides[[#This Row],[Amount applied per ha]]*Table_Input_Pesticides[[#This Row],[Application area (ha)]]</calculatedColumnFormula>
    </tableColumn>
    <tableColumn id="5" xr3:uid="{90C923EF-1C8C-4D1E-AB90-1D35B0AF122E}" name="Constituent unit (select)" dataCellStyle="Input select"/>
    <tableColumn id="4" xr3:uid="{130D1E8F-4349-4934-A90C-3AC4FC1790C1}" name="Active ingredient 1 (select)" dataCellStyle="Input select"/>
    <tableColumn id="8" xr3:uid="{C55BD099-B660-4F5E-A0C2-E80103C51960}" name="Active ingredient 1 amount" dataCellStyle="Input number general"/>
    <tableColumn id="16" xr3:uid="{383644C1-AAAF-4053-9FEB-566EFEB031F7}"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8391E36F-521E-4320-BE46-7DE0D5CB4F7E}" name="Active ingredient 2 (select)" dataCellStyle="Input select"/>
    <tableColumn id="11" xr3:uid="{57FFDB54-BE68-4BEE-AC5C-DBA865188C8C}" name="Active ingredient 2 amount" dataCellStyle="Input number general"/>
    <tableColumn id="17" xr3:uid="{1BB66E81-99BD-4F1A-B4E5-0C132EAC54FA}"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A799DF03-1B4B-431B-ADB0-192A2C00A681}" name="Active ingredient 3 (select)" dataCellStyle="Input select"/>
    <tableColumn id="14" xr3:uid="{0FF4C657-9454-40DD-B848-E375255F642E}" name="Active ingredient 3 amount" dataCellStyle="Input number general"/>
    <tableColumn id="18" xr3:uid="{3C01527A-D798-4065-A2EA-B83C3C04F5C7}"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69D48415-C36F-45B8-B3C1-05EDFF22832F}" name="Table_Input_FeedBlends" displayName="Table_Input_FeedBlends" ref="D18:Q28" totalsRowShown="0">
  <autoFilter ref="D18:Q28" xr:uid="{6EC3622A-9CA1-4931-8AAA-6FC289090D20}"/>
  <tableColumns count="14">
    <tableColumn id="1" xr3:uid="{0065C335-E5FA-4C58-8FE7-0B7D8F2414FA}" name="Feed blend name" dataCellStyle="Input text"/>
    <tableColumn id="2" xr3:uid="{26163303-4488-4E35-9275-28BEAFBE9CF5}" name="Amount fed (kg)"/>
    <tableColumn id="4" xr3:uid="{4A6F810F-BBBE-4635-B52F-9777720E9D32}" name="Ingredient 1 (select)" dataCellStyle="Input select"/>
    <tableColumn id="3" xr3:uid="{C45ED9B6-36AF-4188-882F-318C3EF132B9}" name="Ingredient 1 source region" dataCellStyle="Input select"/>
    <tableColumn id="5" xr3:uid="{D28CD33E-0B19-44FD-8E25-C18D72046EF8}" name="Ingredient 1 percent"/>
    <tableColumn id="6" xr3:uid="{F446FDA5-B77B-4AE0-994B-3C9F51D43AFE}" name="Ingredient 2 (select)" dataCellStyle="Input select"/>
    <tableColumn id="14" xr3:uid="{6429018D-D077-4F93-A0AB-A628B5864673}" name="Ingredient 2 source region" dataCellStyle="Input select"/>
    <tableColumn id="7" xr3:uid="{601374B0-C451-415E-B547-B21A5D6F7CDC}" name="Ingredient 2 percent"/>
    <tableColumn id="8" xr3:uid="{6D229416-9847-4090-8033-927CFEFB1B34}" name="Ingredient 3 (select)" dataCellStyle="Input select"/>
    <tableColumn id="15" xr3:uid="{A039074F-0AB8-47E3-BF38-2EC151D00AE2}" name="Ingredient 3 source region" dataCellStyle="Input select"/>
    <tableColumn id="9" xr3:uid="{75CCD12E-8D89-4B1B-9493-737958301C1F}" name="Ingredient 3 percent"/>
    <tableColumn id="10" xr3:uid="{C79F4A9D-FF0F-4AA8-BFEB-E01996FB11C3}" name="Ingredient 4 (select)" dataCellStyle="Input select"/>
    <tableColumn id="16" xr3:uid="{56E2348F-D6A4-4C95-9894-1C8DC0DAD17B}" name="Ingredient 4 source region" dataCellStyle="Input select"/>
    <tableColumn id="11" xr3:uid="{8B6A4B45-4232-479F-8BD9-C1696CDF4403}" name="Ingredient 4 percent"/>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7FBF8F73-46D1-4DDC-B6B5-B5B3E14B326A}" name="Table_Input_ChemicalsPharmacy" displayName="Table_Input_ChemicalsPharmacy" ref="D32:F42" totalsRowShown="0" headerRowCellStyle="Input table column header">
  <autoFilter ref="D32:F42" xr:uid="{F7DA8543-C7DE-49A8-A739-D82C85B7B828}"/>
  <tableColumns count="3">
    <tableColumn id="3" xr3:uid="{B08BBA73-9B91-4C0E-A710-CB3DC88B87C4}" name="Product name" dataCellStyle="Input text"/>
    <tableColumn id="1" xr3:uid="{CDD26D01-4462-4BFE-9708-21DF25F88348}" name="Type (select)" dataDxfId="376" dataCellStyle="Input select"/>
    <tableColumn id="2" xr3:uid="{17F2ADCA-4568-415F-8B22-E17DB325F70C}" name="Number of head treated" dataDxfId="375"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946BFE0-25C8-48C4-8EA2-2FAA7267514E}"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30934179-B65E-4A39-888D-0FD3125F117E}" name="Route name" dataCellStyle="Input text"/>
    <tableColumn id="2" xr3:uid="{D6064AD6-520C-4A68-B1BD-10888F87333D}" name="Freight type (select)" dataCellStyle="Input select"/>
    <tableColumn id="3" xr3:uid="{1422725B-3F3C-4CDA-82A2-27DA069D3045}" name="Route distance (km)"/>
    <tableColumn id="4" xr3:uid="{150238F2-36C8-477D-BF1D-B7326DD38BF8}" name="Average weight of freight per trip (t)"/>
    <tableColumn id="5" xr3:uid="{09F47E46-44CF-4E6A-A5CF-083645A01B1C}" name="Number of trips take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19C883C4-9973-4D82-8BB7-31CF9A78278F}"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506E80BF-689C-4A6B-8C5D-837F4056D209}" name="Route name" dataCellStyle="Input text"/>
    <tableColumn id="2" xr3:uid="{B0DE3345-1C30-4539-B830-25B46E31C4B6}" name="Freight type (select)" dataCellStyle="Input select"/>
    <tableColumn id="3" xr3:uid="{9110671C-30E0-4B47-97DD-908A469E507B}" name="Route distance (km)"/>
    <tableColumn id="4" xr3:uid="{17F9C833-3101-4E53-A95E-D52DB3429E4D}" name="Average weight of freight per trip (t)"/>
    <tableColumn id="5" xr3:uid="{BC0C0AEE-74F8-4E77-A122-B9679A9B6964}"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BD095DC0-1218-4574-BE44-60BE25601B14}"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47038A65-2D02-4CEE-BFAD-8F1AC2086F76}" name="Description" dataCellStyle="Input text"/>
    <tableColumn id="5" xr3:uid="{9CE81C47-A02D-45A9-A02A-D752450AD86F}" name="Treatment type (select)" dataCellStyle="Input select"/>
    <tableColumn id="2" xr3:uid="{92F57695-A183-4E4E-BBC0-659673606FB4}" name="Waste type (select)" dataCellStyle="Input select"/>
    <tableColumn id="3" xr3:uid="{0C589898-9102-45E1-AE67-62DAACBBF19A}" name="Treatment location (select)" dataCellStyle="Input select"/>
    <tableColumn id="4" xr3:uid="{9A5EB4B7-D684-4B57-97A3-7C415826113B}" name="Amount" dataCellStyle="Input number general"/>
    <tableColumn id="7" xr3:uid="{13B0864E-ED23-4039-8B13-5F01315D3480}" name="Amount unit (select)" dataCellStyle="Input selec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CCD68A-4551-4E37-BB4E-77B0EDBAED31}" name="Table_SourceData_Dairy_MMS" displayName="Table_SourceData_Dairy_MMS" ref="D7:E11" totalsRowShown="0">
  <autoFilter ref="D7:E11" xr:uid="{D5C443B2-EDE2-4250-B2EE-016878D19AD9}">
    <filterColumn colId="0" hiddenButton="1"/>
    <filterColumn colId="1" hiddenButton="1"/>
  </autoFilter>
  <tableColumns count="2">
    <tableColumn id="1" xr3:uid="{C94B177A-0712-4192-9C71-A017DD2257D5}" name="MMS"/>
    <tableColumn id="2" xr3:uid="{D6BAEC75-A6BA-4DA3-9576-D0A4E0282115}" name="Symbol and MMS" dataDxfId="374" dataCellStyle="Content normal"/>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CE80F65-1746-4871-AFA0-AC46C62F2137}" name="Table_SourceData_Dairy_CropProdSystems" displayName="Table_SourceData_Dairy_CropProdSystems" ref="G7:G9" totalsRowShown="0">
  <autoFilter ref="G7:G9" xr:uid="{B6F3FE3A-A0B5-47E7-85B2-8426FB75A7C8}">
    <filterColumn colId="0" hiddenButton="1"/>
  </autoFilter>
  <tableColumns count="1">
    <tableColumn id="1" xr3:uid="{B3F29824-BC37-4C86-A90C-45E384526703}" name="Production system">
      <calculatedColumnFormula>#REF!</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3D515F3-8889-417C-BEC9-A8D2875D3072}" name="Table_SourceData_Dairy_IrrigationMethods" displayName="Table_SourceData_Dairy_IrrigationMethods" ref="J7:J12" totalsRowShown="0">
  <autoFilter ref="J7:J12" xr:uid="{FE172B77-CEA3-430C-84BC-392A64D0B8FF}">
    <filterColumn colId="0" hiddenButton="1"/>
  </autoFilter>
  <tableColumns count="1">
    <tableColumn id="1" xr3:uid="{0506B14C-4914-4CBD-9300-2C82A1C48E01}" name="Irrigation method"/>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0049982-05E3-4E4A-9DA6-15D1A581F006}"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4F9656E6-D96D-4D96-8E64-C1E000A37EB6}" name="Breed">
      <calculatedColumnFormula array="1">Common_InputFunctions.Utility_DisplayArrayInTable(SourceData_Dairy.SourceData_Dairy_LiveweightCowsAndHeifers_Data(), Table_SourceData_Dairy_WjCowsHeifers[[#Headers],[Breed]], 0)</calculatedColumnFormula>
    </tableColumn>
    <tableColumn id="2" xr3:uid="{9239FE46-9A8A-4640-B38F-CD14CCCEAF52}" name="Milking cows" dataDxfId="373" dataCellStyle="Content normal">
      <calculatedColumnFormula array="1">Common_InputFunctions.Utility_DisplayArrayInTable(SourceData_Dairy.SourceData_Dairy_LiveweightCowsAndHeifers_Data(), Table_SourceData_Dairy_WjCowsHeifers[[#Headers],[Breed]], 0)</calculatedColumnFormula>
    </tableColumn>
    <tableColumn id="3" xr3:uid="{1531FE9A-3F5D-46A7-8976-BAE712F0C0C6}" name="Heifers &gt; 1" dataDxfId="372" dataCellStyle="Content normal">
      <calculatedColumnFormula array="1">Common_InputFunctions.Utility_DisplayArrayInTable(SourceData_Dairy.SourceData_Dairy_LiveweightCowsAndHeifers_Data(), Table_SourceData_Dairy_WjCowsHeifers[[#Headers],[Breed]], 0)</calculatedColumnFormula>
    </tableColumn>
    <tableColumn id="4" xr3:uid="{09EE376A-A3A6-48A7-A022-3B0A9A416642}" name="Heifers &lt; 1 (weaned)" dataDxfId="371"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EDDAFB7-801B-492D-A660-25CDCE3DEA23}"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7D8D7E6-9389-47D8-99C7-6AD3F0A5E890}" name="Breed">
      <calculatedColumnFormula array="1">Common_InputFunctions.Utility_DisplayArrayInTable(SourceData_Dairy.SourceData_Dairy_LiveweightBulls_Data(), Table_SourceData_Dairy_WjBulls[[#Headers],[Breed]], 0)</calculatedColumnFormula>
    </tableColumn>
    <tableColumn id="2" xr3:uid="{1FEFF995-B73F-4898-9BF7-EDBBC53B1898}" name="Bulls &gt; 1" dataDxfId="370" dataCellStyle="Content normal">
      <calculatedColumnFormula array="1">Common_InputFunctions.Utility_DisplayArrayInTable(SourceData_Dairy.SourceData_Dairy_LiveweightBulls_Data(), Table_SourceData_Dairy_WjBulls[[#Headers],[Breed]], 0)</calculatedColumnFormula>
    </tableColumn>
    <tableColumn id="3" xr3:uid="{ADB011D6-69DA-449B-A50B-3D2A84B2F661}" name="Bulls &lt; 1 (weaned)" dataDxfId="369"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386C79D-BC42-4C3F-9E4C-E90AFC511767}"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7550AFE-3F10-44D2-A757-4559F59483B0}" name="Milking cows">
      <calculatedColumnFormula array="1">Common_InputFunctions.Utility_DisplayArrayInTable(SourceData_Dairy.SourceData_Dairy_LiveweightGain_Data(), Table_SourceData_Dairy_LWGj[[#Headers],[Milking cows]], 0)</calculatedColumnFormula>
    </tableColumn>
    <tableColumn id="2" xr3:uid="{F2D3F8C3-1EFD-4961-859F-F9CAC03468EE}" name="Heifers &gt; 1" dataDxfId="368" dataCellStyle="Content normal">
      <calculatedColumnFormula array="1">Common_InputFunctions.Utility_DisplayArrayInTable(SourceData_Dairy.SourceData_Dairy_LiveweightGain_Data(), Table_SourceData_Dairy_LWGj[[#Headers],[Milking cows]], 0)</calculatedColumnFormula>
    </tableColumn>
    <tableColumn id="3" xr3:uid="{47827C03-31BF-4129-B8A3-173BC7824D69}" name="Heifers &lt; 1 (weaned)" dataDxfId="367" dataCellStyle="Content normal">
      <calculatedColumnFormula array="1">Common_InputFunctions.Utility_DisplayArrayInTable(SourceData_Dairy.SourceData_Dairy_LiveweightGain_Data(), Table_SourceData_Dairy_LWGj[[#Headers],[Milking cows]], 0)</calculatedColumnFormula>
    </tableColumn>
    <tableColumn id="4" xr3:uid="{D2C21075-2B21-4CDB-8965-D1634551D239}" name="Bulls &gt; 1" dataDxfId="366" dataCellStyle="Content normal">
      <calculatedColumnFormula array="1">Common_InputFunctions.Utility_DisplayArrayInTable(SourceData_Dairy.SourceData_Dairy_LiveweightGain_Data(), Table_SourceData_Dairy_LWGj[[#Headers],[Milking cows]], 0)</calculatedColumnFormula>
    </tableColumn>
    <tableColumn id="5" xr3:uid="{3136ED31-8FB2-4310-AEBC-7EF3A457B13F}" name="Bulls &lt; 1 (weaned)" dataDxfId="365"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A29F3EB-7A46-4094-9FD0-BEFA06F9FFC5}" name="Table_SourceData_Dairy_WRj" displayName="Table_SourceData_Dairy_WRj" ref="D54:H55" totalsRowShown="0" headerRowDxfId="364"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48134AD7-29D9-4A62-9CB8-C009728E5294}"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E234EE52-95D4-42AE-8903-46A5CC0A1844}"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F2375455-5965-423B-A117-58A8AFBC1015}"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3299687D-DC9D-4BF1-863D-1D33F57377A5}"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74304192-16FD-42B9-B55E-70CB9ABE6D19}"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3FF4BEE-FF88-4799-AF61-AB6FBFA85854}" name="Table_SourceData_Dairy_DataPreWeaned" displayName="Table_SourceData_Dairy_DataPreWeaned" ref="D62:G64" totalsRowShown="0" dataDxfId="363" dataCellStyle="Content normal">
  <autoFilter ref="D62:G64" xr:uid="{968BB314-DB2C-4CA2-BAA9-E66557777E59}">
    <filterColumn colId="0" hiddenButton="1"/>
    <filterColumn colId="1" hiddenButton="1"/>
    <filterColumn colId="2" hiddenButton="1"/>
    <filterColumn colId="3" hiddenButton="1"/>
  </autoFilter>
  <tableColumns count="4">
    <tableColumn id="1" xr3:uid="{DAC74AA7-1645-4152-986C-E2CD50CE6F39}" name="Animal class j" dataDxfId="362" dataCellStyle="Content normal">
      <calculatedColumnFormula array="1">Common_InputFunctions.Utility_DisplayArrayInTable(SourceData_Dairy.SourceData_Dairy_PreWeanedCalves_Data(), Table_SourceData_Dairy_DataPreWeaned[[#Headers],[Animal class j]], -1)</calculatedColumnFormula>
    </tableColumn>
    <tableColumn id="2" xr3:uid="{DE457AE5-0D10-4CB8-8652-79EC44FFC3F9}" name="CH4 production" dataDxfId="361" dataCellStyle="Content normal">
      <calculatedColumnFormula array="1">Common_InputFunctions.Utility_DisplayArrayInTable(SourceData_Dairy.SourceData_Dairy_PreWeanedCalves_Data(), Table_SourceData_Dairy_DataPreWeaned[[#Headers],[Animal class j]], -1)</calculatedColumnFormula>
    </tableColumn>
    <tableColumn id="3" xr3:uid="{6685F3D1-6291-41D5-A24F-E1ECF2A8954B}" name="Volatile solids (VSj=3,5)" dataDxfId="360" dataCellStyle="Content normal">
      <calculatedColumnFormula array="1">Common_InputFunctions.Utility_DisplayArrayInTable(SourceData_Dairy.SourceData_Dairy_PreWeanedCalves_Data(), Table_SourceData_Dairy_DataPreWeaned[[#Headers],[Animal class j]], -1)</calculatedColumnFormula>
    </tableColumn>
    <tableColumn id="4" xr3:uid="{F65AB213-ECC1-4A13-8B75-C84298D4F17D}" name="Nitrogen Excreted (NPWj=3,5)" dataDxfId="359"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400B6D7-4B08-4F58-BBF8-C16C94A885A6}"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8BEB316-1B3C-475A-9275-0EFD809A4151}" name="MMS m">
      <calculatedColumnFormula array="1">Common_InputFunctions.Utility_DisplayArrayInTable(SourceData_Dairy.SourceData_Dairy_MCF_Data(), Table_SourceData_Dairy_MCFjm[[#Headers],[MMS m]], 0)</calculatedColumnFormula>
    </tableColumn>
    <tableColumn id="2" xr3:uid="{00DA0E1A-4772-4C3F-9489-28D64F495D37}" name="ACT" dataDxfId="358" dataCellStyle="Content normal">
      <calculatedColumnFormula array="1">Common_InputFunctions.Utility_DisplayArrayInTable(SourceData_Dairy.SourceData_Dairy_MCF_Data(), Table_SourceData_Dairy_MCFjm[[#Headers],[MMS m]], 0)</calculatedColumnFormula>
    </tableColumn>
    <tableColumn id="3" xr3:uid="{0DBB04CC-D69A-446E-A004-8621882B5CBD}" name="NSW" dataDxfId="357" dataCellStyle="Content normal">
      <calculatedColumnFormula array="1">Common_InputFunctions.Utility_DisplayArrayInTable(SourceData_Dairy.SourceData_Dairy_MCF_Data(), Table_SourceData_Dairy_MCFjm[[#Headers],[MMS m]], 0)</calculatedColumnFormula>
    </tableColumn>
    <tableColumn id="4" xr3:uid="{5B3892AE-E3EF-45DF-BEA2-414ADA1C74FB}" name="NT" dataDxfId="356" dataCellStyle="Content normal">
      <calculatedColumnFormula array="1">Common_InputFunctions.Utility_DisplayArrayInTable(SourceData_Dairy.SourceData_Dairy_MCF_Data(), Table_SourceData_Dairy_MCFjm[[#Headers],[MMS m]], 0)</calculatedColumnFormula>
    </tableColumn>
    <tableColumn id="5" xr3:uid="{DABC5F3D-6EDE-45B3-AB40-B59F4C7A8F88}" name="QLD" dataDxfId="355" dataCellStyle="Content normal">
      <calculatedColumnFormula array="1">Common_InputFunctions.Utility_DisplayArrayInTable(SourceData_Dairy.SourceData_Dairy_MCF_Data(), Table_SourceData_Dairy_MCFjm[[#Headers],[MMS m]], 0)</calculatedColumnFormula>
    </tableColumn>
    <tableColumn id="6" xr3:uid="{596C4976-8D7C-4B5D-B8EA-7D10D8CD3B14}" name="SA" dataDxfId="354" dataCellStyle="Content normal">
      <calculatedColumnFormula array="1">Common_InputFunctions.Utility_DisplayArrayInTable(SourceData_Dairy.SourceData_Dairy_MCF_Data(), Table_SourceData_Dairy_MCFjm[[#Headers],[MMS m]], 0)</calculatedColumnFormula>
    </tableColumn>
    <tableColumn id="7" xr3:uid="{CCC096B3-7969-4128-89C9-19250FE6BA46}" name="TAS" dataDxfId="353" dataCellStyle="Content normal">
      <calculatedColumnFormula array="1">Common_InputFunctions.Utility_DisplayArrayInTable(SourceData_Dairy.SourceData_Dairy_MCF_Data(), Table_SourceData_Dairy_MCFjm[[#Headers],[MMS m]], 0)</calculatedColumnFormula>
    </tableColumn>
    <tableColumn id="8" xr3:uid="{947946B1-3897-463C-B2C7-BD589C89C563}" name="VIC" dataDxfId="352" dataCellStyle="Content normal">
      <calculatedColumnFormula array="1">Common_InputFunctions.Utility_DisplayArrayInTable(SourceData_Dairy.SourceData_Dairy_MCF_Data(), Table_SourceData_Dairy_MCFjm[[#Headers],[MMS m]], 0)</calculatedColumnFormula>
    </tableColumn>
    <tableColumn id="9" xr3:uid="{14DFBA73-B101-45D3-BCDD-5FE8CE03DD78}" name="WA" dataDxfId="351" dataCellStyle="Content normal">
      <calculatedColumnFormula array="1">Common_InputFunctions.Utility_DisplayArrayInTable(SourceData_Dairy.SourceData_Dairy_MCF_Data(), Table_SourceData_Dairy_MCFjm[[#Headers],[MMS m]], 0)</calculatedColumnFormula>
    </tableColumn>
    <tableColumn id="10" xr3:uid="{C95D182E-D962-498B-B517-0FC65C022B7D}" name="NIR reference" dataDxfId="350"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3A09756-867A-447A-8E59-520FD1A276D5}"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51F23997-AFAF-4E33-BE35-AC2311EA2DE7}" name="MMS m">
      <calculatedColumnFormula array="1">Common_InputFunctions.Utility_DisplayArrayInTable(SourceData_Dairy.SourceData_Dairy_NitrousOxideEFsAndFracGASM_Data(), Table_SourceData_Dairy_EFmFracGASM[[#Headers],[MMS m]], 0)</calculatedColumnFormula>
    </tableColumn>
    <tableColumn id="2" xr3:uid="{C127204C-A299-4AA2-AE17-1606F8C6B49B}" name="EFm" dataDxfId="349" dataCellStyle="Content normal">
      <calculatedColumnFormula array="1">Common_InputFunctions.Utility_DisplayArrayInTable(SourceData_Dairy.SourceData_Dairy_NitrousOxideEFsAndFracGASM_Data(), Table_SourceData_Dairy_EFmFracGASM[[#Headers],[MMS m]], 0)</calculatedColumnFormula>
    </tableColumn>
    <tableColumn id="3" xr3:uid="{CBB5E352-F69E-4ECC-BE44-56F17A66B779}" name="FracGASMm" dataDxfId="348" dataCellStyle="Content normal">
      <calculatedColumnFormula array="1">Common_InputFunctions.Utility_DisplayArrayInTable(SourceData_Dairy.SourceData_Dairy_NitrousOxideEFsAndFracGASM_Data(), Table_SourceData_Dairy_EFmFracGASM[[#Headers],[MMS m]], 0)</calculatedColumnFormula>
    </tableColumn>
    <tableColumn id="4" xr3:uid="{C3C4F071-70E6-4BB7-9AAF-193923C18900}" name="NIR reference" dataDxfId="347"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7929532-AFF7-45D8-B559-5DE7DBD712BD}"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E03F216A-1B20-47E7-97E3-301663A963A3}"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F6C4D743-6E0C-49CB-8EFB-43CA1347D49D}" name="MPW ENTERIC" dataDxfId="346"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602A9E-752C-4E71-8D88-4940A1DCEBC1}"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15922639-0928-4B45-9CEF-749E519FC300}" name="Animal class j">
      <calculatedColumnFormula array="1">Common_InputFunctions.Utility_DisplayArrayInTable(SourceData_Dairy.SourceData_Dairy_IncreasedMetabolicRateMilk_Data(), Table_SourceData_Dairy_MRj[[#Headers],[Animal class j]], 0)</calculatedColumnFormula>
    </tableColumn>
    <tableColumn id="2" xr3:uid="{2AA85A01-3B5A-4FEA-8835-3D6627ED2E80}" name="MRj" dataDxfId="345"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6AF0927D-E002-4C9D-8341-3D870998311A}"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843AC35A-EEDD-45F4-9F70-4E4B91985011}" name="Area">
      <calculatedColumnFormula array="1">Common_InputFunctions.Utility_DisplayArrayInTable(SourceData_Dairy.SourceData_Dairy_FractionVolatileSolidsVoidedMMS_Data(), Table_SourceData_Dairy_ProductionSystemTemplates[[#Headers],[Area]], 0)</calculatedColumnFormula>
    </tableColumn>
    <tableColumn id="2" xr3:uid="{9A98809C-DDCC-4782-ABDF-B8BE40C4A6C6}" name="Pasture" dataDxfId="344"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401A3401-BFE7-4A9E-BFD8-840540D8830B}" name="Milking shed" dataDxfId="343"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A048221E-9DAA-4AEF-983C-CA241100A649}" name="Feedpad" dataDxfId="342"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B47E8B0B-7AEE-41B6-9232-489CF23B07EC}"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E4073926-97AB-4253-A5E5-682DAE9B71B4}" name="MMS m">
      <calculatedColumnFormula array="1">Common_InputFunctions.Utility_DisplayArrayInTable(SourceData_Dairy.SourceData_Dairy_EFNitrousOxidePerMMS_Data(), Table_SourceData_Dairy_EFm[[#Headers],[MMS m]], 0)</calculatedColumnFormula>
    </tableColumn>
    <tableColumn id="2" xr3:uid="{7C3AB8ED-76F5-437A-B975-88C06914B170}" name="EFm" dataDxfId="341" dataCellStyle="Content normal">
      <calculatedColumnFormula array="1">Common_InputFunctions.Utility_DisplayArrayInTable(SourceData_Dairy.SourceData_Dairy_EFNitrousOxidePerMMS_Data(), Table_SourceData_Dairy_EFm[[#Headers],[MMS m]], 0)</calculatedColumnFormula>
    </tableColumn>
    <tableColumn id="3" xr3:uid="{E185A7B2-E852-4C82-A4F1-4B9AC66633ED}" name="NIR reference" dataDxfId="340"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AAC15D2-0E6F-4415-96F3-123C9C0ACEB1}"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20B89C73-4AAC-47B8-AE3C-EBA6FD2FE89A}" name="Animal class j">
      <calculatedColumnFormula array="1">Common_InputFunctions.Utility_DisplayArrayInTable(SourceData_Dairy.SourceData_Dairy_DurationOfStay_Data(), Table_SourceData_Dairy_Duration[[#Headers],[Animal class j]], 0)</calculatedColumnFormula>
    </tableColumn>
    <tableColumn id="2" xr3:uid="{9C7DBA66-89D8-4CC6-9C6F-021871E56136}" name="Duration (weaned)" dataDxfId="339" dataCellStyle="Content normal">
      <calculatedColumnFormula array="1">Common_InputFunctions.Utility_DisplayArrayInTable(SourceData_Dairy.SourceData_Dairy_DurationOfStay_Data(), Table_SourceData_Dairy_Duration[[#Headers],[Animal class j]], 0)</calculatedColumnFormula>
    </tableColumn>
    <tableColumn id="3" xr3:uid="{DE17274C-EFE1-489A-8D04-B1B385BA0460}" name="Duration (pre-weaned)" dataDxfId="338"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4C33B1A-3131-4B07-B749-CB5F1391FC56}" name="Table_LivestockClasses_Dairy" displayName="Table_LivestockClasses_Dairy" ref="L7:L12" totalsRowShown="0">
  <autoFilter ref="L7:L12" xr:uid="{F006A23F-3930-4C16-9B92-37DD408BCC17}">
    <filterColumn colId="0" hiddenButton="1"/>
  </autoFilter>
  <tableColumns count="1">
    <tableColumn id="1" xr3:uid="{27877E91-D412-498A-A50B-4AA6688DFFD4}" name="Livestock class"/>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64038E0B-D80A-4A68-B4FC-AD4EB82F7EBD}"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42572DD8-EF45-4769-8933-0BEB139DED23}" name="Crop type">
      <calculatedColumnFormula array="1">Common_InputFunctions.Utility_DisplayArrayInTable(Agresidue_SourceData.CropAttributes_Data(),Table_SourceData_CropAttributes[[#Headers],[Crop type]], -1)</calculatedColumnFormula>
    </tableColumn>
    <tableColumn id="2" xr3:uid="{04DA773C-7D81-4E6C-87EE-CFE5BF42D511}" name="Residue: Crop ratio">
      <calculatedColumnFormula array="1">Common_InputFunctions.Utility_DisplayArrayInTable(Agresidue_SourceData.CropAttributes_Data(),Table_SourceData_CropAttributes[[#Headers],[Crop type]], -1)</calculatedColumnFormula>
    </tableColumn>
    <tableColumn id="3" xr3:uid="{8C88772E-B53B-4CCD-B1D2-E5325BB0BE5F}" name="Below-ground: above-ground residue ratio">
      <calculatedColumnFormula array="1">Common_InputFunctions.Utility_DisplayArrayInTable(Agresidue_SourceData.CropAttributes_Data(),Table_SourceData_CropAttributes[[#Headers],[Crop type]], -1)</calculatedColumnFormula>
    </tableColumn>
    <tableColumn id="4" xr3:uid="{C09E189D-1643-4299-A41B-B76453BF799B}" name="Dry matter content">
      <calculatedColumnFormula array="1">Common_InputFunctions.Utility_DisplayArrayInTable(Agresidue_SourceData.CropAttributes_Data(),Table_SourceData_CropAttributes[[#Headers],[Crop type]], -1)</calculatedColumnFormula>
    </tableColumn>
    <tableColumn id="5" xr3:uid="{8CD7DFF1-E733-4B85-B188-38D7AEF4BA4F}" name="Carbon fraction in dry matter">
      <calculatedColumnFormula array="1">Common_InputFunctions.Utility_DisplayArrayInTable(Agresidue_SourceData.CropAttributes_Data(),Table_SourceData_CropAttributes[[#Headers],[Crop type]], -1)</calculatedColumnFormula>
    </tableColumn>
    <tableColumn id="6" xr3:uid="{EE4D7191-8D9D-4350-8CA6-971FF176B3E1}" name="N content above-ground">
      <calculatedColumnFormula array="1">Common_InputFunctions.Utility_DisplayArrayInTable(Agresidue_SourceData.CropAttributes_Data(),Table_SourceData_CropAttributes[[#Headers],[Crop type]], -1)</calculatedColumnFormula>
    </tableColumn>
    <tableColumn id="7" xr3:uid="{B85D15E2-3429-4B33-B467-C5912C261B3D}" name="N content below-ground">
      <calculatedColumnFormula array="1">Common_InputFunctions.Utility_DisplayArrayInTable(Agresidue_SourceData.CropAttributes_Data(),Table_SourceData_CropAttributes[[#Headers],[Crop type]], -1)</calculatedColumnFormula>
    </tableColumn>
    <tableColumn id="8" xr3:uid="{1723D022-B8F0-4E77-90E8-482F1018F6D1}"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B19B5879-EFEB-4089-84D3-4B442280BE6D}"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4B83AE7C-6E3B-42C0-9611-D7B231C6B786}" name="Table76" displayName="Table76" ref="D73:F89" totalsRowShown="0">
  <autoFilter ref="D73:F89" xr:uid="{7CD0B032-9881-4EF1-81E3-483C7C16D9D0}">
    <filterColumn colId="0" hiddenButton="1"/>
    <filterColumn colId="1" hiddenButton="1"/>
    <filterColumn colId="2" hiddenButton="1"/>
  </autoFilter>
  <tableColumns count="3">
    <tableColumn id="1" xr3:uid="{AA1109C2-FDB1-4A8A-9291-AA10010FE372}" name="Crop type c">
      <calculatedColumnFormula array="1">Common_InputFunctions.Utility_DisplayArrayInTable(Agresidue_SourceData.CropFractionRemoved_Data(), Table76[[#Headers],[Crop type c]], 0)</calculatedColumnFormula>
    </tableColumn>
    <tableColumn id="2" xr3:uid="{DCC3D113-66D9-477F-869B-5514D0D14D83}" name="State" dataDxfId="337">
      <calculatedColumnFormula array="1">Common_InputFunctions.Utility_DisplayArrayInTable(Agresidue_SourceData.CropFractionRemoved_Data(), Table76[[#Headers],[Crop type c]], 0)</calculatedColumnFormula>
    </tableColumn>
    <tableColumn id="3" xr3:uid="{CF1121A3-348A-4DA4-A8A9-9A25A28430C7}" name="Fraction removed" dataDxfId="336">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9F410709-A062-4D4E-8F8C-7A3EF8718E6E}" name="Table77" displayName="Table77" ref="D92:F235" totalsRowShown="0">
  <autoFilter ref="D92:F235" xr:uid="{1FA7CC86-1C1E-41FA-9AA1-AAD48AA2EEF0}">
    <filterColumn colId="0" hiddenButton="1"/>
    <filterColumn colId="1" hiddenButton="1"/>
    <filterColumn colId="2" hiddenButton="1"/>
  </autoFilter>
  <tableColumns count="3">
    <tableColumn id="1" xr3:uid="{ED2D8D7B-7084-48B5-82FE-56481D90691C}" name="Crop type c">
      <calculatedColumnFormula array="1">Common_InputFunctions.Utility_DisplayArrayInTable(Agresidue_SourceData.CropFractionRemoved_CustomisedData(), Table77[[#Headers],[Crop type c]], 0)</calculatedColumnFormula>
    </tableColumn>
    <tableColumn id="2" xr3:uid="{99E708D6-1FE7-4241-952B-2394B43660D9}" name="State" dataDxfId="335">
      <calculatedColumnFormula array="1">Common_InputFunctions.Utility_DisplayArrayInTable(Agresidue_SourceData.CropFractionRemoved_CustomisedData(), Table77[[#Headers],[Crop type c]], 0)</calculatedColumnFormula>
    </tableColumn>
    <tableColumn id="3" xr3:uid="{46C85FCC-7B7A-46DD-86AF-8E7FE644407F}" name="Fraction removed" dataDxfId="334">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FAF1D56-0EF4-4144-AF75-0D461AE3E7A5}" name="Table_SourceData_N2OEFOrganicFert" displayName="Table_SourceData_N2OEFOrganicFert" ref="D43:E45" totalsRowShown="0" dataDxfId="333" dataCellStyle="Content bold">
  <autoFilter ref="D43:E45" xr:uid="{2270AB6D-D03A-4D71-95C0-00BA6BB02732}">
    <filterColumn colId="0" hiddenButton="1"/>
    <filterColumn colId="1" hiddenButton="1"/>
  </autoFilter>
  <tableColumns count="2">
    <tableColumn id="1" xr3:uid="{37F2E8EA-B5BB-4EFF-8ED9-9F9E1EEC0430}" name="Climate zone type i" dataDxfId="332" dataCellStyle="Content bold">
      <calculatedColumnFormula array="1">Common_InputFunctions.Utility_DisplayArrayInTable(Agresidue_SourceData.N2OEFOrganicFertiliser_Data(), Table_SourceData_N2OEFOrganicFert[[#Headers],[Climate zone type i]], 0)</calculatedColumnFormula>
    </tableColumn>
    <tableColumn id="2" xr3:uid="{3495383A-9B57-4612-BB3E-D5A233E4DB08}" name="EF i N2O" dataDxfId="331"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084FD975-78E1-4421-BA4D-2F9F5B6045FD}" name="Table_SourceData_PastureAttributes" displayName="Table_SourceData_PastureAttributes" ref="D51:I56" totalsRowShown="0" dataDxfId="330"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4981D1A7-1316-4AB1-ABFA-28B094F8E82D}" name="Pasture type" dataDxfId="329" dataCellStyle="Content normal">
      <calculatedColumnFormula array="1">Common_InputFunctions.Utility_DisplayArrayInTable(Agresidue_SourceData.PastureAttributes_Data(), Table_SourceData_PastureAttributes[[#Headers],[Pasture type]], 0)</calculatedColumnFormula>
    </tableColumn>
    <tableColumn id="2" xr3:uid="{3EB7E7CA-AFFD-4EC4-8A25-6F2617932970}" name="Average Yield (t DM ha) Yp" dataDxfId="328" dataCellStyle="Content normal">
      <calculatedColumnFormula array="1">Common_InputFunctions.Utility_DisplayArrayInTable(Agresidue_SourceData.PastureAttributes_Data(), Table_SourceData_PastureAttributes[[#Headers],[Pasture type]], 0)</calculatedColumnFormula>
    </tableColumn>
    <tableColumn id="3" xr3:uid="{27F3815D-3D9D-4C00-BF08-132D7D6D9315}" name="Below-ground: above-ground residue ratio RBGp" dataDxfId="327" dataCellStyle="Content normal">
      <calculatedColumnFormula array="1">Common_InputFunctions.Utility_DisplayArrayInTable(Agresidue_SourceData.PastureAttributes_Data(), Table_SourceData_PastureAttributes[[#Headers],[Pasture type]], 0)</calculatedColumnFormula>
    </tableColumn>
    <tableColumn id="4" xr3:uid="{B7BE9D5A-17B2-48C0-B685-F594B9F9AE51}" name="N content Above-ground NCAGp" dataDxfId="326" dataCellStyle="Content normal">
      <calculatedColumnFormula array="1">Common_InputFunctions.Utility_DisplayArrayInTable(Agresidue_SourceData.PastureAttributes_Data(), Table_SourceData_PastureAttributes[[#Headers],[Pasture type]], 0)</calculatedColumnFormula>
    </tableColumn>
    <tableColumn id="5" xr3:uid="{D1A9EA9E-4291-4985-9D18-35334EC261A6}" name="N content Below-ground NCBGp" dataDxfId="325" dataCellStyle="Content normal">
      <calculatedColumnFormula array="1">Common_InputFunctions.Utility_DisplayArrayInTable(Agresidue_SourceData.PastureAttributes_Data(), Table_SourceData_PastureAttributes[[#Headers],[Pasture type]], 0)</calculatedColumnFormula>
    </tableColumn>
    <tableColumn id="6" xr3:uid="{287F57EB-3BB1-4439-A0E8-5EF1A9821885}" name="Fraction of pasture yield that is removed FFODp" dataDxfId="324"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17C2F820-4D86-48E1-8BC7-A1A76BA9506B}"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E7D8E1B1-4889-4668-913A-032425D5E3CC}" name="Gas species">
      <calculatedColumnFormula array="1">Common_InputFunctions.Utility_DisplayArrayInTable(AgResidues_SourceData.BurningOfAgriculturalResiduesEFs_Data(), Table_SourceData_BurningResidueEFs[[#Headers],[Gas species]], 0)</calculatedColumnFormula>
    </tableColumn>
    <tableColumn id="2" xr3:uid="{69E7B09C-D980-4CBB-9A74-ED53CDA2B7A9}" name="Emission factor EFg (Gg element in species/ Gg element in fuel burnt)" dataDxfId="323" dataCellStyle="Content normal">
      <calculatedColumnFormula array="1">Common_InputFunctions.Utility_DisplayArrayInTable(AgResidues_SourceData.BurningOfAgriculturalResiduesEFs_Data(), Table_SourceData_BurningResidueEFs[[#Headers],[Gas species]], 0)</calculatedColumnFormula>
    </tableColumn>
    <tableColumn id="3" xr3:uid="{54671347-BFA1-4398-8DB4-77EDE43A8AB7}" name="Elemental to molecular mass conversion factor (Cg)" dataDxfId="322"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57A78CB2-3862-4E54-812B-A0EC917A821F}" name="Table_SourceData_CropPurposeAndYields" displayName="Table_SourceData_CropPurposeAndYields" ref="D7:K10" totalsRowShown="0" headerRowDxfId="321">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E940796-FA38-4014-9EDF-CB80D8FFBDF4}" name="Purpose">
      <calculatedColumnFormula array="1">Common_InputFunctions.Utility_DisplayArrayInTable(Agresidue_SourceData.CropPurposeAndYield_Data(), Table_SourceData_CropPurposeAndYields[[#Headers],[Purpose]], 0)</calculatedColumnFormula>
    </tableColumn>
    <tableColumn id="2" xr3:uid="{6E0CA96C-7F95-4C92-A986-4644A7B7AEA2}" name="Per hectare unit">
      <calculatedColumnFormula array="1">Common_InputFunctions.Utility_DisplayArrayInTable(Agresidue_SourceData.CropPurposeAndYield_Data(), Table_SourceData_CropPurposeAndYields[[#Headers],[Purpose]], 0)</calculatedColumnFormula>
    </tableColumn>
    <tableColumn id="3" xr3:uid="{E8974707-4609-478D-8169-DF4C55DD81C6}" name="harvest term">
      <calculatedColumnFormula array="1">Common_InputFunctions.Utility_DisplayArrayInTable(Agresidue_SourceData.CropPurposeAndYield_Data(), Table_SourceData_CropPurposeAndYields[[#Headers],[Purpose]], 0)</calculatedColumnFormula>
    </tableColumn>
    <tableColumn id="4" xr3:uid="{84D3F8A4-114D-4199-BA4A-0F4DED6D7C57}" name="harvest endpoint">
      <calculatedColumnFormula array="1">Common_InputFunctions.Utility_DisplayArrayInTable(Agresidue_SourceData.CropPurposeAndYield_Data(), Table_SourceData_CropPurposeAndYields[[#Headers],[Purpose]], 0)</calculatedColumnFormula>
    </tableColumn>
    <tableColumn id="5" xr3:uid="{A4FA880E-FF7B-4EA3-9C98-0BD30CAE6CD6}" name="Harvest uit">
      <calculatedColumnFormula array="1">Common_InputFunctions.Utility_DisplayArrayInTable(Agresidue_SourceData.CropPurposeAndYield_Data(), Table_SourceData_CropPurposeAndYields[[#Headers],[Purpose]], 0)</calculatedColumnFormula>
    </tableColumn>
    <tableColumn id="6" xr3:uid="{74602F99-ED04-451A-A8CB-9DC27AC4196C}" name="Yield note">
      <calculatedColumnFormula array="1">Common_InputFunctions.Utility_DisplayArrayInTable(Agresidue_SourceData.CropPurposeAndYield_Data(), Table_SourceData_CropPurposeAndYields[[#Headers],[Purpose]], 0)</calculatedColumnFormula>
    </tableColumn>
    <tableColumn id="8" xr3:uid="{0446993B-679F-497D-A717-596F3A411DA2}" name="Residue crop ratio note">
      <calculatedColumnFormula array="1">Common_InputFunctions.Utility_DisplayArrayInTable(Agresidue_SourceData.CropPurposeAndYield_Data(), Table_SourceData_CropPurposeAndYields[[#Headers],[Purpose]], 0)</calculatedColumnFormula>
    </tableColumn>
    <tableColumn id="9" xr3:uid="{D6FE9A83-C0EB-41B3-90BB-2AC8E311250A}"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BDF310E8-AB4A-4958-99BC-CAB59A089FF5}" name="Table_SourceData_Fertiliser_IrrigationMethods94" displayName="Table_SourceData_Fertiliser_IrrigationMethods94" ref="N21:N26" totalsRowShown="0">
  <autoFilter ref="N21:N26" xr:uid="{1AC5909E-E06C-4A79-81E9-C25A0B6D9E90}">
    <filterColumn colId="0" hiddenButton="1"/>
  </autoFilter>
  <tableColumns count="1">
    <tableColumn id="1" xr3:uid="{A57A64BA-BD3E-45C1-BD97-EED6C8CFC695}" name="Irrigation method"/>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9D087D58-435E-4D89-B1C9-6ACC200B00E7}"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B2834DF9-1EC2-4E9D-9C82-27E7D79FD61D}" name="Symbol">
      <calculatedColumnFormula array="1">Common_InputFunctions.Utility_DisplayArrayInTable(CommonLivestock_SourceData.SourceData_Livestock_Common_SymbolsMMS_Data(), Table_Data_MMSSymbols[[#Headers],[Symbol]], 0)</calculatedColumnFormula>
    </tableColumn>
    <tableColumn id="2" xr3:uid="{ACB0924B-D4B8-4B15-A8BF-1758D41FF479}" name="Manure management system">
      <calculatedColumnFormula array="1">Common_InputFunctions.Utility_DisplayArrayInTable(CommonLivestock_SourceData.SourceData_Livestock_Common_SymbolsMMS_Data(), Table_Data_MMSSymbols[[#Headers],[Symbol]], 0)</calculatedColumnFormula>
    </tableColumn>
    <tableColumn id="3" xr3:uid="{4CA59490-97FD-48A3-BD4C-F3AA43D9F05B}"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E12AB16A-7421-4F41-9115-53191F75AA56}" name="Table_SourceData_ElectricityEFs" displayName="Table_SourceData_ElectricityEFs" ref="D9:F19" totalsRowShown="0" headerRowDxfId="320">
  <autoFilter ref="D9:F19" xr:uid="{3144A982-7A4D-4CF2-8790-1A30DAE3E0A4}">
    <filterColumn colId="0" hiddenButton="1"/>
    <filterColumn colId="1" hiddenButton="1"/>
    <filterColumn colId="2" hiddenButton="1"/>
  </autoFilter>
  <tableColumns count="3">
    <tableColumn id="1" xr3:uid="{0A2483E3-8F1F-4790-B96F-9B4516F2F98B}"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10F71FFB-EB5E-4CDB-91F2-DC1E8C7DDD32}"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73FFFF99-35FF-4245-8653-F82A3ED24998}"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3531833-A282-4F22-B8A9-BE04351DE5C3}"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BD34A55-5B49-4FE1-AC36-598826AFDAFA}"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A83E1B9F-92CF-4C22-BBDD-FC4792D06799}"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F074F1A1-7A3D-44A5-B14F-4B4ACAF0E804}"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937AA614-B0E9-4DB9-8CA7-C8CDB57328D8}"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8297F003-9699-46C8-8EA0-6FB1276FC9E3}"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F99D9346-2393-4E3A-B253-F3B2F89D27EA}"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F8BF5CF3-52C8-47AC-BD15-A1B0D5DCA33C}"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0D9E1EC-1B50-4086-9269-C77D1FE6F61A}" name="FNinorganic f">
      <calculatedColumnFormula array="1">Common_InputFunctions.Utility_DisplayArrayInTable(Fertiliser_SourceData.Fertiliser_ChemicalCompoundElements_Data(),Table_Fertiliser_ChemicalCompounds[[#Headers],[Fertiliser type f]], 0)</calculatedColumnFormula>
    </tableColumn>
    <tableColumn id="3" xr3:uid="{5585DFAD-0EBF-458C-AF33-60C6F78F097D}" name="FU f">
      <calculatedColumnFormula array="1">Common_InputFunctions.Utility_DisplayArrayInTable(Fertiliser_SourceData.Fertiliser_ChemicalCompoundElements_Data(),Table_Fertiliser_ChemicalCompounds[[#Headers],[Fertiliser type f]], 0)</calculatedColumnFormula>
    </tableColumn>
    <tableColumn id="4" xr3:uid="{0B97CC1B-C531-4F85-90EF-3AB3777296CB}" name="Basis">
      <calculatedColumnFormula array="1">Common_InputFunctions.Utility_DisplayArrayInTable(Fertiliser_SourceData.Fertiliser_ChemicalCompoundElements_Data(),Table_Fertiliser_ChemicalCompounds[[#Headers],[Fertiliser type f]], 0)</calculatedColumnFormula>
    </tableColumn>
    <tableColumn id="5" xr3:uid="{CEF95C70-E819-4C17-B5BE-C395A64CC6C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ADC58045-F45C-4E99-89E5-8546B3273D4C}"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764C383E-2859-4470-94FF-16DACBD29287}"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F5FB6176-0AB7-473F-8BA7-AACC80300EAA}" name="Company" totalsRowFunction="custom" totalsRowDxfId="319">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CBE83AD0-00CF-4407-A855-13B9A4B6F86A}"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373CDB90-E9B9-48CA-B399-0711A85F50BC}"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219BB494-3F90-4041-9ACF-C959F75FE059}"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EFB6290C-53B6-4B52-872A-729371CBF089}"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680289DA-87C0-41E8-81D0-A83BE555818C}"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D48F49C2-7BDA-4F3B-B8B8-2CC55B6F9ABA}"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627F617C-E36D-47FC-800C-4782A3A8E33D}"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C2EC8769-1D70-42B4-9883-5176A36E9311}"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651ACCC3-753A-44C4-AD8D-E20420747654}"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9D7823B9-1830-432E-ABA3-0151D45AADE4}"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0FF5C3CE-08DD-423F-A62A-5DB7A6A87F4C}" name="Ingredient 1" totalsRowFunction="custom" totalsRowCellStyle="Content normal">
      <totalsRowFormula array="1">Common_InputFunctions.Utility_DisplayArrayInTable(Fertiliser_SourceData.Fertiliser_Products_Data3(), FertiliserProducts[[#Headers],[Company]],61)</totalsRowFormula>
    </tableColumn>
    <tableColumn id="22" xr3:uid="{601BEDE6-79E6-42AC-8F72-17DB4F948FC7}"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37B99155-227F-49AB-8FA4-2F63CF173A26}"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08B896C8-6062-48BB-A867-6C2CBCD569BA}"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E978042B-4E9F-48A7-A4B3-E3778C2354D5}"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46CD5351-3AEB-44E8-A1C9-B35D17714943}"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2F3C2156-656A-4522-8CFE-382C7AE22E21}"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642BFC84-88F2-4722-A3F1-AFC93B9D63DD}"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E8398E30-4B5B-4021-B9E6-F3E181F33FC0}"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37D7E40A-F4D0-42D9-861B-FED3504EC28F}"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445EDD35-87E5-4DA3-B831-4BCD31BE1B31}"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B0F93BD5-96BA-485E-A8B1-27B35D96BB3E}"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84556E85-4687-4E71-8FED-8657EB7C3216}"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DE734FC8-9FB5-4A86-B346-9F6903C8C0E6}"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1BE22077-7250-4BFF-A26B-A510E6B7A2E8}"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029E7AA4-A32A-4F8D-BB1C-E87E5826C9DB}"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67C0DDCC-9882-42D5-B8A2-5F26EAA7FC00}"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E5C5F18A-FD45-4C83-82F7-4ABEB80128A5}"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CCB21367-878C-4276-A62F-950948D832DA}"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64818619-4C2E-408B-BB26-73917CADF893}" name="Ingredient 10 percent" totalsRowCellStyle="Content normal"/>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94388DF4-0545-4C3B-8901-10F5FED1E896}"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253B3275-D5A0-4C0D-B394-180042745AD2}" name="Fertiliser type f">
      <calculatedColumnFormula array="1">Common_InputFunctions.Utility_DisplayArrayInTable(Fertiliser_SourceData.Fertiliser_FracGASF_Data(), Table_SourceData_Fertiliser_FracGASF[[#Headers],[Fertiliser type f]], 0)</calculatedColumnFormula>
    </tableColumn>
    <tableColumn id="2" xr3:uid="{925F87E1-9283-4EC1-B858-78F2534F0A9F}" name="FracGASF f" dataDxfId="318"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221490F8-46F0-46B7-B36D-39D86982DF2B}" name="Table_SourceData_Fertiliser_CropProdSystems" displayName="Table_SourceData_Fertiliser_CropProdSystems" ref="D41:D43" totalsRowShown="0">
  <autoFilter ref="D41:D43" xr:uid="{24F3A11E-40F5-4BB9-BFF4-A71FA2ADA0EF}">
    <filterColumn colId="0" hiddenButton="1"/>
  </autoFilter>
  <tableColumns count="1">
    <tableColumn id="1" xr3:uid="{D89418EB-6AF6-4529-B7A5-00E65E1F65CB}" name="Production system">
      <calculatedColumnFormula>#REF!</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7AE5C884-7B9B-47D3-894F-14694F541206}"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544E2BC9-15EB-49E9-8E1C-66AEA5FAF771}" name="Irrigation method"/>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C6FA6D52-C143-4C86-9C2D-B883D66C4851}" name="Table_SourceData_Fertiliser_CropTypes" displayName="Table_SourceData_Fertiliser_CropTypes" ref="F41:F45" totalsRowShown="0">
  <autoFilter ref="F41:F45" xr:uid="{CB5044B5-FA3C-4AA2-B1AB-72F7E61D072F}">
    <filterColumn colId="0" hiddenButton="1"/>
  </autoFilter>
  <tableColumns count="1">
    <tableColumn id="1" xr3:uid="{1FB31ECA-A808-4FDB-BE43-6D44A5AF2656}" name="Production system"/>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DEF85C9B-1CD0-473D-A664-A40DB054B135}" name="Table_SourceData_OrganicFertiliserTypes" displayName="Table_SourceData_OrganicFertiliserTypes" ref="J41:J46" totalsRowShown="0">
  <autoFilter ref="J41:J46" xr:uid="{B44627B1-537E-4ABC-92C3-57282CEE5B40}">
    <filterColumn colId="0" hiddenButton="1"/>
  </autoFilter>
  <tableColumns count="1">
    <tableColumn id="1" xr3:uid="{DB800171-8A2C-459E-8045-8DBE38EF3990}" name="Organic fertiliser type"/>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C456DEB1-FAAB-44D0-B941-17BD19AB441A}"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E948A23B-3524-450E-970C-A9326AF6E79F}" name="Element">
      <calculatedColumnFormula array="1">Common_InputFunctions.Utility_DisplayArrayInTable(Fertiliser_SourceData.Fertiliser_LimeDolomiteGypsumConstants_Data(), Table_SourceData_Fertiliser_LimeDolomiteConstants[[#Headers],[Element]], 0)</calculatedColumnFormula>
    </tableColumn>
    <tableColumn id="2" xr3:uid="{EEE6C483-51A1-45A3-B2BE-4CD8FC1DE74E}" name="P" dataDxfId="31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1AF5CEFB-DBAE-432D-A6B6-CEC2E853822C}" name="EF" dataDxfId="31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58703597-7F95-496E-81E4-41F120B4D968}" name="Table2" displayName="Table2" ref="K19:L28" totalsRowShown="0" dataDxfId="315" dataCellStyle="Content normal">
  <autoFilter ref="K19:L28" xr:uid="{27B93029-EB1F-4C4A-A946-CD673A8A6C46}">
    <filterColumn colId="0" hiddenButton="1"/>
    <filterColumn colId="1" hiddenButton="1"/>
  </autoFilter>
  <tableColumns count="2">
    <tableColumn id="1" xr3:uid="{CD21E802-05DC-4E39-8F2B-F3EA0AFC5D9D}" name="Fertiliser type f" dataDxfId="314" dataCellStyle="Content normal">
      <calculatedColumnFormula array="1">Common_InputFunctions.Utility_DisplayArrayInTable(Fertiliser_SourceData.Fertiliser_FractionNCommonFertilisers_Data(), Table2[[#Headers],[Fertiliser type f]], 0)</calculatedColumnFormula>
    </tableColumn>
    <tableColumn id="2" xr3:uid="{9B18DC0C-40B2-4999-AB35-622E52E05E7F}" name="FNinorganic f" dataDxfId="313"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2DCAE6DE-9A72-44C7-9EC5-406F0977B634}" name="Table28" displayName="Table28" ref="Q19:R28" totalsRowShown="0" dataDxfId="312" dataCellStyle="Content normal">
  <autoFilter ref="Q19:R28" xr:uid="{791CEA59-796C-47AB-86BC-41E8F699030C}">
    <filterColumn colId="0" hiddenButton="1"/>
    <filterColumn colId="1" hiddenButton="1"/>
  </autoFilter>
  <tableColumns count="2">
    <tableColumn id="1" xr3:uid="{169443D2-0ADD-4977-8BBA-7D73D6AE487D}" name="Fertiliser type f" dataDxfId="311" dataCellStyle="Content normal">
      <calculatedColumnFormula array="1">Common_InputFunctions.Utility_DisplayArrayInTable(Fertiliser_SourceData.Fertiliser_FractionUreaCommonFertilisers_Data(), Table28[[#Headers],[Fertiliser type f]], 0)</calculatedColumnFormula>
    </tableColumn>
    <tableColumn id="2" xr3:uid="{F7836302-B5A6-4C44-A3B1-2F1531D93E79}" name="FNinorganic f" dataDxfId="310"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C21CE3E3-F80A-4E60-B375-A3745440B36B}"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3301FD4B-9912-4073-93CA-14121A03AB05}"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FBA56565-48B0-471A-9FBD-D8BF6AC16156}" name="Table_Fuel_EFs_StationaryLiquid" displayName="Table_Fuel_EFs_StationaryLiquid" ref="D53:K77" totalsRowShown="0" headerRowDxfId="309" dataDxfId="308">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56162CE-3E38-4023-B1AF-FFB270D85EDA}" name="Fuel combusted" dataDxfId="307">
      <calculatedColumnFormula array="1">Common_InputFunctions.Utility_DisplayArrayInTable(Fuel_SourceData.Fuel_Scope1Scope3EmissionFactorsStationaryLiquid_Data(), Table_Fuel_EFs_StationaryLiquid[[#Headers],[Fuel combusted]],0)</calculatedColumnFormula>
    </tableColumn>
    <tableColumn id="2" xr3:uid="{6A2CBD49-8C18-4BE3-800A-EF49ABB214E5}" name="Energy Content Factor (GJ per unit of fuel)" dataDxfId="306">
      <calculatedColumnFormula array="1">Common_InputFunctions.Utility_DisplayArrayInTable(Fuel_SourceData.Fuel_Scope1Scope3EmissionFactorsStationaryLiquid_Data(), Table_Fuel_EFs_StationaryLiquid[[#Headers],[Fuel combusted]],0)</calculatedColumnFormula>
    </tableColumn>
    <tableColumn id="3" xr3:uid="{2D38F22F-7535-40A4-9787-277488BB379E}" name="Fuel unit" dataDxfId="305">
      <calculatedColumnFormula array="1">Common_InputFunctions.Utility_DisplayArrayInTable(Fuel_SourceData.Fuel_Scope1Scope3EmissionFactorsStationaryLiquid_Data(), Table_Fuel_EFs_StationaryLiquid[[#Headers],[Fuel combusted]],0)</calculatedColumnFormula>
    </tableColumn>
    <tableColumn id="4" xr3:uid="{4E0D231A-0E62-4C4A-9C5C-15233421D894}" name="Scope 1 Emission Factor (kg CO2 - e / GJ) CO2" dataDxfId="304">
      <calculatedColumnFormula array="1">Common_InputFunctions.Utility_DisplayArrayInTable(Fuel_SourceData.Fuel_Scope1Scope3EmissionFactorsStationaryLiquid_Data(), Table_Fuel_EFs_StationaryLiquid[[#Headers],[Fuel combusted]],0)</calculatedColumnFormula>
    </tableColumn>
    <tableColumn id="5" xr3:uid="{82D4C734-C9A4-4030-925E-C89F5C4A07ED}" name="Scope 1 Emission Factor (kg CO2 - e / GJ) CH4" dataDxfId="303">
      <calculatedColumnFormula array="1">Common_InputFunctions.Utility_DisplayArrayInTable(Fuel_SourceData.Fuel_Scope1Scope3EmissionFactorsStationaryLiquid_Data(), Table_Fuel_EFs_StationaryLiquid[[#Headers],[Fuel combusted]],0)</calculatedColumnFormula>
    </tableColumn>
    <tableColumn id="6" xr3:uid="{4D03E7CF-E288-4F8C-A159-DEC8998B0B71}" name="Scope 1 Emission Factor (kg CO2 - e / GJ) N2O" dataDxfId="302">
      <calculatedColumnFormula array="1">Common_InputFunctions.Utility_DisplayArrayInTable(Fuel_SourceData.Fuel_Scope1Scope3EmissionFactorsStationaryLiquid_Data(), Table_Fuel_EFs_StationaryLiquid[[#Headers],[Fuel combusted]],0)</calculatedColumnFormula>
    </tableColumn>
    <tableColumn id="7" xr3:uid="{BC6F7AC1-76F4-450A-A82F-0928AE089A40}" name="Scope 1 Emission Factor (kg CO2 - e / GJ) Combined gases" dataDxfId="301">
      <calculatedColumnFormula array="1">Common_InputFunctions.Utility_DisplayArrayInTable(Fuel_SourceData.Fuel_Scope1Scope3EmissionFactorsStationaryLiquid_Data(), Table_Fuel_EFs_StationaryLiquid[[#Headers],[Fuel combusted]],0)</calculatedColumnFormula>
    </tableColumn>
    <tableColumn id="8" xr3:uid="{F420F712-2CC8-48AD-9191-96E708943424}" name="Scope 3 Emission Factor (kg CO2 - e / GJ)" dataDxfId="300">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DC3CC051-28C3-4743-8ACE-D5F5466D75EB}" name="Table_Fuel_EFs_Transport" displayName="Table_Fuel_EFs_Transport" ref="D9:L34" totalsRowShown="0" headerRowDxfId="299" dataDxfId="298">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E3E8A26-DF33-45B6-B95C-758CEDB859BA}" name="Transport type" dataDxfId="297">
      <calculatedColumnFormula array="1">Common_InputFunctions.Utility_DisplayArrayInTable(Fuel_SourceData.Fuel_Scope1Scope3EmissionFactorsTransport_Data(), Table_Fuel_EFs_Transport[[#Headers],[Transport type]], 0)</calculatedColumnFormula>
    </tableColumn>
    <tableColumn id="2" xr3:uid="{66E4B127-CC75-49DA-8041-508347B6FD85}" name="Fuel combusted" dataDxfId="296">
      <calculatedColumnFormula array="1">Common_InputFunctions.Utility_DisplayArrayInTable(Fuel_SourceData.Fuel_Scope1Scope3EmissionFactorsTransport_Data(), Table_Fuel_EFs_Transport[[#Headers],[Transport type]], 0)</calculatedColumnFormula>
    </tableColumn>
    <tableColumn id="3" xr3:uid="{5B1807A4-A368-4DBD-BB4B-94C8B44200AB}" name="Energy Content Factor (GJ per unit of fuel)" dataDxfId="295">
      <calculatedColumnFormula array="1">Common_InputFunctions.Utility_DisplayArrayInTable(Fuel_SourceData.Fuel_Scope1Scope3EmissionFactorsTransport_Data(), Table_Fuel_EFs_Transport[[#Headers],[Transport type]], 0)</calculatedColumnFormula>
    </tableColumn>
    <tableColumn id="4" xr3:uid="{4840D549-9A7B-4E88-9A56-7F94B310CD5D}" name="Fuel unit" dataDxfId="294">
      <calculatedColumnFormula array="1">Common_InputFunctions.Utility_DisplayArrayInTable(Fuel_SourceData.Fuel_Scope1Scope3EmissionFactorsTransport_Data(), Table_Fuel_EFs_Transport[[#Headers],[Transport type]], 0)</calculatedColumnFormula>
    </tableColumn>
    <tableColumn id="8" xr3:uid="{222946B7-042D-4F06-8096-36BA86CDCD70}" name="Scope 1 Emission Factor (kg CO2 - e / GJ) CO2" dataDxfId="293">
      <calculatedColumnFormula array="1">Common_InputFunctions.Utility_DisplayArrayInTable(Fuel_SourceData.Fuel_Scope1Scope3EmissionFactorsTransport_Data(), Table_Fuel_EFs_Transport[[#Headers],[Transport type]], 0)</calculatedColumnFormula>
    </tableColumn>
    <tableColumn id="9" xr3:uid="{09620568-1089-4611-8B20-22592992D2C9}" name="Scope 1 Emission Factor (kg CO2 - e / GJ) CH4" dataDxfId="292">
      <calculatedColumnFormula array="1">Common_InputFunctions.Utility_DisplayArrayInTable(Fuel_SourceData.Fuel_Scope1Scope3EmissionFactorsTransport_Data(), Table_Fuel_EFs_Transport[[#Headers],[Transport type]], 0)</calculatedColumnFormula>
    </tableColumn>
    <tableColumn id="10" xr3:uid="{EEDDEABE-DC0E-4714-8ADE-DC7A4A85D2E7}" name="Scope 1 Emission Factor (kg CO2 - e / GJ) N2O" dataDxfId="291">
      <calculatedColumnFormula array="1">Common_InputFunctions.Utility_DisplayArrayInTable(Fuel_SourceData.Fuel_Scope1Scope3EmissionFactorsTransport_Data(), Table_Fuel_EFs_Transport[[#Headers],[Transport type]], 0)</calculatedColumnFormula>
    </tableColumn>
    <tableColumn id="11" xr3:uid="{123DE8F1-B620-48D5-8E57-8AC7534680CE}" name="Scope 1 Emission Factor (kg CO2 - e / GJ) Combined gases" dataDxfId="290">
      <calculatedColumnFormula array="1">Common_InputFunctions.Utility_DisplayArrayInTable(Fuel_SourceData.Fuel_Scope1Scope3EmissionFactorsTransport_Data(), Table_Fuel_EFs_Transport[[#Headers],[Transport type]], 0)</calculatedColumnFormula>
    </tableColumn>
    <tableColumn id="12" xr3:uid="{B917EEF9-20C2-4B5D-B3CD-AF6ED0C32A1C}" name="Scope 3 Emission Factor (kg CO2 - e / GJ)" dataDxfId="289">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7F9C19F-A920-4AF7-ABD1-3E98C18EC24A}" name="Table_FuelTypesPerUse" displayName="Table_FuelTypesPerUse" ref="D130:I139" totalsRowShown="0" headerRowDxfId="288" dataDxfId="287">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FB3C9F8D-E282-4DD6-BDDA-E5367170E33D}" name="Generators" dataDxfId="286"/>
    <tableColumn id="2" xr3:uid="{CEC75A1E-79E9-4A3E-B317-A7A4236594BF}" name="Power standalone machinery or heating" dataDxfId="285"/>
    <tableColumn id="3" xr3:uid="{A2D729CF-DB49-47D6-B3C1-00898F9B8FB2}" name="Aviation" dataDxfId="284"/>
    <tableColumn id="5" xr3:uid="{1BB2CAE7-779F-46E5-BEC0-4D971D37C5A3}" name="Cars and light commercial vehicles" dataDxfId="283"/>
    <tableColumn id="7" xr3:uid="{12E1B834-F6E7-44C4-A000-E8C848E6F485}" name="Off-road Agriculture and forestry equipment" dataDxfId="282" dataCellStyle="Content bold"/>
    <tableColumn id="8" xr3:uid="{0F47C4D6-F1E5-42D0-8C77-59297BD2AC48}" name="Vessels" dataDxfId="281" dataCellStyle="Content bold"/>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6879D1D7-C048-4F58-8263-4CE134B08522}" name="Table_Fuel_EFs_StationaryGaseous" displayName="Table_Fuel_EFs_StationaryGaseous" ref="D86:J104" totalsRowShown="0" headerRowDxfId="280" dataDxfId="279">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85238B2-F2A8-4614-AC7E-E6BFB3A4486A}" name="Fuel combusted" dataDxfId="278">
      <calculatedColumnFormula array="1">Common_InputFunctions.Utility_DisplayArrayInTable(Fuel_SourceData.Fuel_Scope1EmissionFactorsStationaryGaseous_Data(), Table_Fuel_EFs_StationaryGaseous[[#Headers],[Fuel combusted]],0)</calculatedColumnFormula>
    </tableColumn>
    <tableColumn id="2" xr3:uid="{B7E060E5-F83C-4DDC-8DF9-D620354F22CC}" name="Energy Content Factor (GJ per unit of fuel)" dataDxfId="277">
      <calculatedColumnFormula array="1">Common_InputFunctions.Utility_DisplayArrayInTable(Fuel_SourceData.Fuel_Scope1EmissionFactorsStationaryGaseous_Data(), Table_Fuel_EFs_StationaryGaseous[[#Headers],[Fuel combusted]],0)</calculatedColumnFormula>
    </tableColumn>
    <tableColumn id="3" xr3:uid="{9B1C8A28-9B67-4C4A-AE24-7F19710FE123}" name="Fuel unit" dataDxfId="276">
      <calculatedColumnFormula array="1">Common_InputFunctions.Utility_DisplayArrayInTable(Fuel_SourceData.Fuel_Scope1EmissionFactorsStationaryGaseous_Data(), Table_Fuel_EFs_StationaryGaseous[[#Headers],[Fuel combusted]],0)</calculatedColumnFormula>
    </tableColumn>
    <tableColumn id="4" xr3:uid="{364A582E-801A-4FFC-AC27-9B02B6357E27}" name="Scope 1 Emission Factor (kg CO2 - e / GJ) CO2" dataDxfId="275">
      <calculatedColumnFormula array="1">Common_InputFunctions.Utility_DisplayArrayInTable(Fuel_SourceData.Fuel_Scope1EmissionFactorsStationaryGaseous_Data(), Table_Fuel_EFs_StationaryGaseous[[#Headers],[Fuel combusted]],0)</calculatedColumnFormula>
    </tableColumn>
    <tableColumn id="5" xr3:uid="{AA88E55B-C049-45B9-AA82-2EA3AF075C26}" name="Scope 1 Emission Factor (kg CO2 - e / GJ) CH4" dataDxfId="274">
      <calculatedColumnFormula array="1">Common_InputFunctions.Utility_DisplayArrayInTable(Fuel_SourceData.Fuel_Scope1EmissionFactorsStationaryGaseous_Data(), Table_Fuel_EFs_StationaryGaseous[[#Headers],[Fuel combusted]],0)</calculatedColumnFormula>
    </tableColumn>
    <tableColumn id="6" xr3:uid="{E1F258D5-7F0F-489B-BB82-B7E2FE3945B3}" name="Scope 1 Emission Factor (kg CO2 - e / GJ) N2O" dataDxfId="273">
      <calculatedColumnFormula array="1">Common_InputFunctions.Utility_DisplayArrayInTable(Fuel_SourceData.Fuel_Scope1EmissionFactorsStationaryGaseous_Data(), Table_Fuel_EFs_StationaryGaseous[[#Headers],[Fuel combusted]],0)</calculatedColumnFormula>
    </tableColumn>
    <tableColumn id="7" xr3:uid="{C4F4948C-508C-4068-A4B5-1C70F264C2E0}" name="Scope 1 Emission Factor (kg CO2 - e / GJ) Combined gases" dataDxfId="272">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4A155E71-C9B5-4E9F-BE76-94F48542040E}" name="Table_Fuel_EFs_StationaryGaseous34" displayName="Table_Fuel_EFs_StationaryGaseous34" ref="D112:F120" headerRowDxfId="271" totalsRowDxfId="270">
  <autoFilter ref="D112:F120" xr:uid="{7D6CE29D-2354-4FAC-9965-9A66FFA42416}">
    <filterColumn colId="0" hiddenButton="1"/>
    <filterColumn colId="1" hiddenButton="1"/>
    <filterColumn colId="2" hiddenButton="1"/>
  </autoFilter>
  <tableColumns count="3">
    <tableColumn id="1" xr3:uid="{1AF2C50D-BAF6-422D-A661-16F621357C87}" name="State or territory" totalsRowDxfId="269">
      <calculatedColumnFormula array="1">Common_InputFunctions.Utility_DisplayArrayInTable(Fuel_SourceData.Fuel_Scope3EmissionFactorsStationaryGaseous_Data(), Table_Fuel_EFs_StationaryGaseous34[[#Headers],[State or territory]],0)</calculatedColumnFormula>
    </tableColumn>
    <tableColumn id="2" xr3:uid="{A8E238EF-73A6-4C15-9C42-C44C20352FE9}" name="Metro" totalsRowDxfId="268">
      <calculatedColumnFormula array="1">Common_InputFunctions.Utility_DisplayArrayInTable(Fuel_SourceData.Fuel_Scope3EmissionFactorsStationaryGaseous_Data(), Table_Fuel_EFs_StationaryGaseous34[[#Headers],[State or territory]],0)</calculatedColumnFormula>
    </tableColumn>
    <tableColumn id="3" xr3:uid="{D3155EC5-C35B-4BCA-AEBF-A5869CC84AEE}" name="Non-metro" totalsRowDxfId="267">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AA542FC3-407B-4AAE-91C9-A24BEB3932AB}"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2FDE0902-88F6-48E5-B454-0BF56684198D}" name="Fuel type"/>
    <tableColumn id="2" xr3:uid="{78F7FE56-B4AE-4DEF-995D-0DC416BB308E}" name="Unit"/>
    <tableColumn id="3" xr3:uid="{1FD4141C-1371-4B61-9645-3AFC98D3EAC7}" name="Input Unit" dataDxfId="266"/>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B4909956-FBF2-4A19-804A-4E5E56DB34F5}"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680C1C3-2DA9-45BD-AA79-89E59F73E716}"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226C17D8-4DC4-4CFA-81E3-C9BC8B713EDE}" name="Fuel type q" dataDxfId="26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978C6DA2-1EAD-4944-B30A-12B42179DE05}" name="ECTrans,q (GJ/kL)" dataDxfId="26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7D5BFB80-D6E2-4D4A-AEB7-7260451FAE3A}" name="Scope 1 CO2 EFTran,1,tqg (kg CO2-e/GJ)" dataDxfId="26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76A54B93-B49B-4E13-9374-CC30D510F965}" name="Scope 1 CH4 EFTran,1,tgg (kg CO2-e/GJ)" dataDxfId="26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5263ADC1-B55E-4E6A-88AB-BEE7315D518F}" name="Scope 1 N2O EFTran,1,tgg (kg CO2-e/GJ)" dataDxfId="26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DB80E5F1-0F12-4F24-B0E6-8477EB2CA22F}" name="Scope 3 EFTrans,3,q (kg CO2-e/GJ)" dataDxfId="26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1D2A3BA0-649D-4554-A4CF-D8ADD78AB599}" name="Table_SourceData_Scope3_Animals" displayName="Table_SourceData_Scope3_Animals"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AAAFA07-C5C9-49A4-B3B8-233E9CFEFFE3}" name="Category" dataDxfId="259" dataCellStyle="Content normal">
      <calculatedColumnFormula array="1">Common_InputFunctions.Utility_DisplayArrayInTable(Scope3_SourceData.Scope3_Livestock_Data(), Table_SourceData_Scope3_Animals[[#Headers],[Category]], 0, 2)</calculatedColumnFormula>
    </tableColumn>
    <tableColumn id="2" xr3:uid="{67994F13-11AF-4A06-AE89-26E9C271CF11}" name="Product" dataDxfId="258" dataCellStyle="Content normal">
      <calculatedColumnFormula array="1">Common_InputFunctions.Utility_DisplayArrayInTable(Scope3_SourceData.Scope3_Livestock_Data(), Table_SourceData_Scope3_Animals[[#Headers],[Category]], 0, 2)</calculatedColumnFormula>
    </tableColumn>
    <tableColumn id="3" xr3:uid="{1029EF1E-A21B-4F0A-877D-BF962C2210A6}" name="Region of origin" dataDxfId="257" dataCellStyle="Content normal">
      <calculatedColumnFormula array="1">Common_InputFunctions.Utility_DisplayArrayInTable(Scope3_SourceData.Scope3_Livestock_Data(), Table_SourceData_Scope3_Animals[[#Headers],[Category]], 0, 2)</calculatedColumnFormula>
    </tableColumn>
    <tableColumn id="8" xr3:uid="{B2F021DA-03C2-4F30-9A19-BBC452E657E2}" name="Quantity Unit" dataDxfId="256" dataCellStyle="Content normal">
      <calculatedColumnFormula array="1">Common_InputFunctions.Utility_DisplayArrayInTable(Scope3_SourceData.Scope3_Livestock_Data(), Table_SourceData_Scope3_Animals[[#Headers],[Category]], 0, 2)</calculatedColumnFormula>
    </tableColumn>
    <tableColumn id="9" xr3:uid="{B098E6B3-3110-40D3-9A22-D399BC5A505B}" name="Emissions intensity" dataDxfId="255" dataCellStyle="Content normal">
      <calculatedColumnFormula array="1">Common_InputFunctions.Utility_DisplayArrayInTable(Scope3_SourceData.Scope3_Livestock_Data(), Table_SourceData_Scope3_Animals[[#Headers],[Category]], 0, 2)</calculatedColumnFormula>
    </tableColumn>
    <tableColumn id="10" xr3:uid="{AF1EF1DA-A9CA-46E4-8421-F7273FA18BA3}" name="System boundary" dataDxfId="254" dataCellStyle="Content normal">
      <calculatedColumnFormula array="1">Common_InputFunctions.Utility_DisplayArrayInTable(Scope3_SourceData.Scope3_Livestock_Data(), Table_SourceData_Scope3_Animals[[#Headers],[Category]], 0, 2)</calculatedColumnFormula>
    </tableColumn>
    <tableColumn id="4" xr3:uid="{6D9A5D50-5D44-4468-8E68-D2D0579EE9FA}" name="Source" dataDxfId="253" dataCellStyle="Content normal"/>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947C6B2-2BA6-4D64-9815-895C8711D94C}"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B24E212-9ED4-4D7B-8E1D-B46CF1F21FE4}" name="Category" dataDxfId="252" dataCellStyle="Content normal">
      <calculatedColumnFormula array="1">Common_InputFunctions.Utility_DisplayArrayInTable(Scope3_SourceData.Scope3_Chemicals_Data(), Table_SourceData_Scope3_ChemicalsCleaning[[#Headers],[Category]], 0, 2)</calculatedColumnFormula>
    </tableColumn>
    <tableColumn id="2" xr3:uid="{FA4FD9DB-9C68-4B06-B6F9-C0CC56A188FD}" name="Product" dataDxfId="251" dataCellStyle="Content normal">
      <calculatedColumnFormula array="1">Common_InputFunctions.Utility_DisplayArrayInTable(Scope3_SourceData.Scope3_Chemicals_Data(), Table_SourceData_Scope3_ChemicalsCleaning[[#Headers],[Category]], 0, 2)</calculatedColumnFormula>
    </tableColumn>
    <tableColumn id="3" xr3:uid="{4878FF83-3C33-4753-9F8F-0CC93382D9F2}" name="Region of origin" dataDxfId="250" dataCellStyle="Content normal">
      <calculatedColumnFormula array="1">Common_InputFunctions.Utility_DisplayArrayInTable(Scope3_SourceData.Scope3_Chemicals_Data(), Table_SourceData_Scope3_ChemicalsCleaning[[#Headers],[Category]], 0, 2)</calculatedColumnFormula>
    </tableColumn>
    <tableColumn id="8" xr3:uid="{2319D943-D8A2-4EE7-9E7F-D51875D1CBEC}" name="Quantity Unit" dataDxfId="249" dataCellStyle="Content normal">
      <calculatedColumnFormula array="1">Common_InputFunctions.Utility_DisplayArrayInTable(Scope3_SourceData.Scope3_Chemicals_Data(), Table_SourceData_Scope3_ChemicalsCleaning[[#Headers],[Category]], 0, 2)</calculatedColumnFormula>
    </tableColumn>
    <tableColumn id="9" xr3:uid="{05167BF0-5227-4897-8812-D815817A808B}" name="Emissions intensity" dataDxfId="248" dataCellStyle="Content normal">
      <calculatedColumnFormula array="1">Common_InputFunctions.Utility_DisplayArrayInTable(Scope3_SourceData.Scope3_Chemicals_Data(), Table_SourceData_Scope3_ChemicalsCleaning[[#Headers],[Category]], 0, 2)</calculatedColumnFormula>
    </tableColumn>
    <tableColumn id="10" xr3:uid="{AF3B9709-7AA4-43BC-932B-D9E92BCC3734}" name="System boundary" dataDxfId="247" dataCellStyle="Content normal">
      <calculatedColumnFormula array="1">Common_InputFunctions.Utility_DisplayArrayInTable(Scope3_SourceData.Scope3_Chemicals_Data(), Table_SourceData_Scope3_ChemicalsCleaning[[#Headers],[Category]], 0, 2)</calculatedColumnFormula>
    </tableColumn>
    <tableColumn id="4" xr3:uid="{6BAB3A19-C31E-4FF1-B8BD-E69AA75691AC}" name="Source" dataDxfId="246" dataCellStyle="Content normal"/>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C57B4754-D198-42FA-8083-FF964F0EB4B0}" name="Table_SourceData_Scope3_Feed" displayName="Table_SourceData_Scope3_Feed" ref="D89:J158" dataDxfId="245"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01B6C59-A273-4AC1-8179-5746F81AFBDF}" name="Category" totalsRowFunction="custom" dataDxfId="244" totalsRowDxfId="24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75350296-84C4-4EEB-BC82-8CA6BF134281}" name="Product" totalsRowFunction="custom" dataDxfId="242" totalsRowDxfId="241"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074DA515-20EF-451B-A878-CE82BF50ED02}" name="Region of origin" totalsRowFunction="custom" dataDxfId="240" totalsRowDxfId="239"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ED8C44AA-4366-4463-A185-5146EFDD6754}" name="Quantity Unit" totalsRowFunction="custom" dataDxfId="238" totalsRowDxfId="237"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BB6FBB76-D721-4518-A54A-DD9B8E74EA06}" name="Emissions intensity" totalsRowFunction="custom" dataDxfId="236" totalsRowDxfId="235"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DB11E7D1-DFE7-4D0C-BA55-7FC111508A82}" name="System boundary" totalsRowFunction="custom" dataDxfId="234" totalsRowDxfId="23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217B73F4-3A59-421B-909E-306C42F9A2C2}" name="Source" totalsRowLabel="GHGEI-MIAFF" dataDxfId="232" totalsRowDxfId="231" dataCellStyle="Content normal"/>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B40F2BE4-2A60-4480-A49B-2461384E53CE}"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703D6FBE-74A6-464F-9B30-835D6791C4FC}" name="Category">
      <calculatedColumnFormula array="1">Common_InputFunctions.Utility_DisplayArrayInTable(Scope3_SourceData.Scope3_InorganicFertilisers_Data(), Table_SourceData_Scope3_InorganicFertiliser[[#Headers],[Category]], 0, 2)</calculatedColumnFormula>
    </tableColumn>
    <tableColumn id="2" xr3:uid="{65A26B63-06E6-45A7-8A96-FEC80DD9430C}" name="Product">
      <calculatedColumnFormula array="1">Common_InputFunctions.Utility_DisplayArrayInTable(Scope3_SourceData.Scope3_InorganicFertilisers_Data(), Table_SourceData_Scope3_InorganicFertiliser[[#Headers],[Category]], 0, 2)</calculatedColumnFormula>
    </tableColumn>
    <tableColumn id="3" xr3:uid="{8858024D-A8FE-4C00-AC8A-E2F77B72F5C2}" name="Region of origin">
      <calculatedColumnFormula array="1">Common_InputFunctions.Utility_DisplayArrayInTable(Scope3_SourceData.Scope3_InorganicFertilisers_Data(), Table_SourceData_Scope3_InorganicFertiliser[[#Headers],[Category]], 0, 2)</calculatedColumnFormula>
    </tableColumn>
    <tableColumn id="4" xr3:uid="{D7EBA9C2-8447-4670-B948-D94662D1DC4E}" name="Chemical compound"/>
    <tableColumn id="5" xr3:uid="{8196CE74-574D-4E29-A7DC-AA410E9984D4}" name="Urea source"/>
    <tableColumn id="6" xr3:uid="{18081769-2A91-4E1A-BE5B-3FEE41B0EF3E}" name="Ammonia source"/>
    <tableColumn id="7" xr3:uid="{5EE6B1B5-17F6-4DA2-84C7-9FDB513E1451}" name="Quantity"/>
    <tableColumn id="8" xr3:uid="{49F6EE80-613A-4815-BA14-FDE7322FDDB3}" name="Quantity Unit">
      <calculatedColumnFormula array="1">Common_InputFunctions.Utility_DisplayArrayInTable(Scope3_SourceData.Scope3_InorganicFertilisers_Data(), Table_SourceData_Scope3_InorganicFertiliser[[#Headers],[Category]], 0, -2)</calculatedColumnFormula>
    </tableColumn>
    <tableColumn id="9" xr3:uid="{58C923EF-3290-4B74-94C1-6BD0F1D4284B}" name="Emissions intensity">
      <calculatedColumnFormula array="1">Common_InputFunctions.Utility_DisplayArrayInTable(Scope3_SourceData.Scope3_InorganicFertilisers_Data(), Table_SourceData_Scope3_InorganicFertiliser[[#Headers],[Category]], 0, -2)</calculatedColumnFormula>
    </tableColumn>
    <tableColumn id="10" xr3:uid="{8B2216CD-6622-4D9E-87FA-885C66DCB891}" name="System boundary" dataDxfId="230" dataCellStyle="Content normal">
      <calculatedColumnFormula array="1">Common_InputFunctions.Utility_DisplayArrayInTable(Scope3_SourceData.Scope3_InorganicFertilisers_Data(), Table_SourceData_Scope3_InorganicFertiliser[[#Headers],[Category]], 0, -2)</calculatedColumnFormula>
    </tableColumn>
    <tableColumn id="11" xr3:uid="{255C253B-BA72-46B8-A32D-A569FEBC4C79}" name="Source" dataDxfId="229" dataCellStyle="Content normal"/>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F3FCB8F0-2116-43C4-A735-3D30AEF1658C}" name="Table_SourceData_Scope3_Other" displayName="Table_SourceData_Scope3_Other" ref="D201:J209" totalsRowShown="0" dataDxfId="228"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5F0CCB2-67FE-445C-9DF5-693E7CE0CFBA}" name="Category" dataDxfId="227" dataCellStyle="Content normal">
      <calculatedColumnFormula array="1">Common_InputFunctions.Utility_DisplayArrayInTable(Scope3_SourceData.Scope3_Other_Data(), Table_SourceData_Scope3_Other[[#Headers],[Category]], 0, 2)</calculatedColumnFormula>
    </tableColumn>
    <tableColumn id="2" xr3:uid="{1AAF7985-595F-4A16-8E79-2354F33EB37E}" name="Product" dataDxfId="226" dataCellStyle="Content normal">
      <calculatedColumnFormula array="1">Common_InputFunctions.Utility_DisplayArrayInTable(Scope3_SourceData.Scope3_Other_Data(), Table_SourceData_Scope3_Other[[#Headers],[Category]], 0, 2)</calculatedColumnFormula>
    </tableColumn>
    <tableColumn id="3" xr3:uid="{E8F7D84E-5BE7-48AC-B08B-700FC7BD041D}" name="Region of origin" dataDxfId="225" dataCellStyle="Content normal">
      <calculatedColumnFormula array="1">Common_InputFunctions.Utility_DisplayArrayInTable(Scope3_SourceData.Scope3_Other_Data(), Table_SourceData_Scope3_Other[[#Headers],[Category]], 0, 2)</calculatedColumnFormula>
    </tableColumn>
    <tableColumn id="8" xr3:uid="{ACE81F20-7943-46A7-AF12-EA95F3AAC08A}" name="Quantity Unit" dataDxfId="224" dataCellStyle="Content normal">
      <calculatedColumnFormula array="1">Common_InputFunctions.Utility_DisplayArrayInTable(Scope3_SourceData.Scope3_Other_Data(), Table_SourceData_Scope3_Other[[#Headers],[Category]], 0, 2)</calculatedColumnFormula>
    </tableColumn>
    <tableColumn id="9" xr3:uid="{11DDD90E-0387-41AA-92FE-D94481ECC8E3}" name="Emissions intensity" dataDxfId="223" dataCellStyle="Content normal">
      <calculatedColumnFormula array="1">Common_InputFunctions.Utility_DisplayArrayInTable(Scope3_SourceData.Scope3_Other_Data(), Table_SourceData_Scope3_Other[[#Headers],[Category]], 0, 2)</calculatedColumnFormula>
    </tableColumn>
    <tableColumn id="10" xr3:uid="{D5868A01-E484-47AB-9DC3-DF9E8624E273}" name="System boundary" dataDxfId="222" dataCellStyle="Content normal">
      <calculatedColumnFormula array="1">Common_InputFunctions.Utility_DisplayArrayInTable(Scope3_SourceData.Scope3_Other_Data(), Table_SourceData_Scope3_Other[[#Headers],[Category]], 0, 2)</calculatedColumnFormula>
    </tableColumn>
    <tableColumn id="4" xr3:uid="{0D5747C2-DAEC-4734-9624-2C8D3A6A1E86}" name="Source" dataDxfId="221" dataCellStyle="Content normal"/>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71403CF7-E5BE-45D2-8482-F03A7D6EBA7A}" name="Table_SourceData_Scope3_Packaging" displayName="Table_SourceData_Scope3_Packaging" ref="D212:J216" totalsRowShown="0" dataDxfId="220"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A3D8773-2701-4638-85CB-F2900E3FADB8}" name="Category" dataDxfId="219" dataCellStyle="Content normal">
      <calculatedColumnFormula array="1">Common_InputFunctions.Utility_DisplayArrayInTable(Scope3_SourceData.Scope3_Packaging_Data(), Table_SourceData_Scope3_Packaging[[#Headers],[Category]], 0, 2)</calculatedColumnFormula>
    </tableColumn>
    <tableColumn id="2" xr3:uid="{EF03668B-6BD5-4343-81DF-D956425AA086}" name="Product" dataDxfId="218" dataCellStyle="Content normal">
      <calculatedColumnFormula array="1">Common_InputFunctions.Utility_DisplayArrayInTable(Scope3_SourceData.Scope3_Packaging_Data(), Table_SourceData_Scope3_Packaging[[#Headers],[Category]], 0, 2)</calculatedColumnFormula>
    </tableColumn>
    <tableColumn id="3" xr3:uid="{349F2781-0005-469D-9E78-C9F854A68BD1}" name="Region of origin" dataDxfId="217" dataCellStyle="Content normal">
      <calculatedColumnFormula array="1">Common_InputFunctions.Utility_DisplayArrayInTable(Scope3_SourceData.Scope3_Packaging_Data(), Table_SourceData_Scope3_Packaging[[#Headers],[Category]], 0, 2)</calculatedColumnFormula>
    </tableColumn>
    <tableColumn id="8" xr3:uid="{0D09A57D-369D-4445-BBE5-0EBE41EAA653}" name="Quantity Unit" dataDxfId="216" dataCellStyle="Content normal">
      <calculatedColumnFormula array="1">Common_InputFunctions.Utility_DisplayArrayInTable(Scope3_SourceData.Scope3_Packaging_Data(), Table_SourceData_Scope3_Packaging[[#Headers],[Category]], 0, 2)</calculatedColumnFormula>
    </tableColumn>
    <tableColumn id="9" xr3:uid="{6C78AF97-1FEF-43C8-A431-113A96DD8EF8}" name="Emissions intensity" dataDxfId="215" dataCellStyle="Content normal">
      <calculatedColumnFormula array="1">Common_InputFunctions.Utility_DisplayArrayInTable(Scope3_SourceData.Scope3_Packaging_Data(), Table_SourceData_Scope3_Packaging[[#Headers],[Category]], 0, 2)</calculatedColumnFormula>
    </tableColumn>
    <tableColumn id="10" xr3:uid="{092C12BD-3EF0-4CBF-9E39-4C23F791E584}" name="System boundary" dataDxfId="214" dataCellStyle="Content normal">
      <calculatedColumnFormula array="1">Common_InputFunctions.Utility_DisplayArrayInTable(Scope3_SourceData.Scope3_Packaging_Data(), Table_SourceData_Scope3_Packaging[[#Headers],[Category]], 0, 2)</calculatedColumnFormula>
    </tableColumn>
    <tableColumn id="4" xr3:uid="{EB170C2A-102C-4520-9DC7-BACCF1D29AD0}" name="Source" dataDxfId="213" dataCellStyle="Content normal"/>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AB9847BE-6824-4842-930D-7EBF068973BD}" name="Table_SourceData_Scope3_Pesticides" displayName="Table_SourceData_Scope3_Pesticides" ref="D219:J231" totalsRowShown="0" dataDxfId="212"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C136A11-CDEE-4B38-9135-81621DFA8464}" name="Category" dataDxfId="211" dataCellStyle="Content normal">
      <calculatedColumnFormula array="1">Common_InputFunctions.Utility_DisplayArrayInTable(Scope3_SourceData.Scope3_Pesticides_Data(), Table_SourceData_Scope3_Pesticides[[#Headers],[Category]], 0, 2)</calculatedColumnFormula>
    </tableColumn>
    <tableColumn id="2" xr3:uid="{28282361-9144-4D7D-A465-58850920DEFD}" name="Product" dataDxfId="210" dataCellStyle="Content normal">
      <calculatedColumnFormula array="1">Common_InputFunctions.Utility_DisplayArrayInTable(Scope3_SourceData.Scope3_Pesticides_Data(), Table_SourceData_Scope3_Pesticides[[#Headers],[Category]], 0, 2)</calculatedColumnFormula>
    </tableColumn>
    <tableColumn id="3" xr3:uid="{82760EF2-FBD9-47A5-AFF5-09C9CB5FC9C1}" name="Region of origin" dataDxfId="209" dataCellStyle="Content normal">
      <calculatedColumnFormula array="1">Common_InputFunctions.Utility_DisplayArrayInTable(Scope3_SourceData.Scope3_Pesticides_Data(), Table_SourceData_Scope3_Pesticides[[#Headers],[Category]], 0, 2)</calculatedColumnFormula>
    </tableColumn>
    <tableColumn id="8" xr3:uid="{265C2321-B584-4032-920F-628E4A2BF601}" name="Quantity Unit" dataDxfId="208" dataCellStyle="Content normal">
      <calculatedColumnFormula array="1">Common_InputFunctions.Utility_DisplayArrayInTable(Scope3_SourceData.Scope3_Pesticides_Data(), Table_SourceData_Scope3_Pesticides[[#Headers],[Category]], 0, 2)</calculatedColumnFormula>
    </tableColumn>
    <tableColumn id="9" xr3:uid="{607FC3E3-1BFB-4421-BA74-589EEC3735D4}" name="Emissions intensity" dataDxfId="207" dataCellStyle="Content normal">
      <calculatedColumnFormula array="1">Common_InputFunctions.Utility_DisplayArrayInTable(Scope3_SourceData.Scope3_Pesticides_Data(), Table_SourceData_Scope3_Pesticides[[#Headers],[Category]], 0, 2)</calculatedColumnFormula>
    </tableColumn>
    <tableColumn id="10" xr3:uid="{C4E4F5FF-0419-47A6-8423-35F4F5F57AE6}" name="System boundary" dataDxfId="206" dataCellStyle="Content normal">
      <calculatedColumnFormula array="1">Common_InputFunctions.Utility_DisplayArrayInTable(Scope3_SourceData.Scope3_Pesticides_Data(), Table_SourceData_Scope3_Pesticides[[#Headers],[Category]], 0, 2)</calculatedColumnFormula>
    </tableColumn>
    <tableColumn id="4" xr3:uid="{5BA4DA04-DC43-4264-A8A4-CD3A9BF67692}" name="Source" dataDxfId="205" data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4EB9BD71-7B7D-4756-9B83-0B2BCD744572}" name="Table_SourceData_Scope3_SoilAmeliorants" displayName="Table_SourceData_Scope3_SoilAmeliorants" ref="D234:J237" totalsRowShown="0" dataDxfId="204"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7FD852A-33A9-42C6-BCD4-E3907A62E7DB}" name="Category" dataDxfId="203" dataCellStyle="Content normal">
      <calculatedColumnFormula array="1">Common_InputFunctions.Utility_DisplayArrayInTable(Scope3_SourceData.Scope3_SoilAmendments_Data(), Table_SourceData_Scope3_SoilAmeliorants[[#Headers],[Category]], 0, 2)</calculatedColumnFormula>
    </tableColumn>
    <tableColumn id="2" xr3:uid="{69C8AD09-4A18-4FF2-AFAD-E396293CEE3E}" name="Product" dataDxfId="202" dataCellStyle="Content normal">
      <calculatedColumnFormula array="1">Common_InputFunctions.Utility_DisplayArrayInTable(Scope3_SourceData.Scope3_SoilAmendments_Data(), Table_SourceData_Scope3_SoilAmeliorants[[#Headers],[Category]], 0, 2)</calculatedColumnFormula>
    </tableColumn>
    <tableColumn id="3" xr3:uid="{6C2AF73F-8BBD-45F1-878C-571089FAEF44}" name="Region of origin" dataDxfId="201" dataCellStyle="Content normal">
      <calculatedColumnFormula array="1">Common_InputFunctions.Utility_DisplayArrayInTable(Scope3_SourceData.Scope3_SoilAmendments_Data(), Table_SourceData_Scope3_SoilAmeliorants[[#Headers],[Category]], 0, 2)</calculatedColumnFormula>
    </tableColumn>
    <tableColumn id="8" xr3:uid="{351E5C1C-BC4C-4EEC-B1D6-515CCE5C5107}" name="Quantity Unit" dataDxfId="200" dataCellStyle="Content normal">
      <calculatedColumnFormula array="1">Common_InputFunctions.Utility_DisplayArrayInTable(Scope3_SourceData.Scope3_SoilAmendments_Data(), Table_SourceData_Scope3_SoilAmeliorants[[#Headers],[Category]], 0, 2)</calculatedColumnFormula>
    </tableColumn>
    <tableColumn id="9" xr3:uid="{11026F2F-E1DE-4D6E-97E6-B8AA8D50AD26}" name="Emissions intensity" dataDxfId="199" dataCellStyle="Content normal">
      <calculatedColumnFormula array="1">Common_InputFunctions.Utility_DisplayArrayInTable(Scope3_SourceData.Scope3_SoilAmendments_Data(), Table_SourceData_Scope3_SoilAmeliorants[[#Headers],[Category]], 0, 2)</calculatedColumnFormula>
    </tableColumn>
    <tableColumn id="10" xr3:uid="{5D07D882-0A27-46F1-B47C-D96AFF967619}" name="System boundary" dataDxfId="198" dataCellStyle="Content normal">
      <calculatedColumnFormula array="1">Common_InputFunctions.Utility_DisplayArrayInTable(Scope3_SourceData.Scope3_SoilAmendments_Data(), Table_SourceData_Scope3_SoilAmeliorants[[#Headers],[Category]], 0, 2)</calculatedColumnFormula>
    </tableColumn>
    <tableColumn id="4" xr3:uid="{29321F40-A98B-4B0F-8159-3655D8C8800A}" name="Source" dataDxfId="197" dataCellStyle="Content normal"/>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3553C565-35B4-44FE-80EF-9E7247D923A3}" name="Table_SourceData_Scope3_ChemicalsPharmacy" displayName="Table_SourceData_Scope3_ChemicalsPharmacy" ref="D82:J86" totalsRowShown="0" dataDxfId="196"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4DA2CB0-CECF-4F7E-8E1F-8EE94B58BE04}" name="Category" dataDxfId="195" dataCellStyle="Content normal">
      <calculatedColumnFormula array="1">Common_InputFunctions.Utility_DisplayArrayInTable(Scope3_SourceData.Scope3_Chemicals_Data(), Table_SourceData_Scope3_ChemicalsPharmacy[[#Headers],[Category]], -3, 2)</calculatedColumnFormula>
    </tableColumn>
    <tableColumn id="2" xr3:uid="{36426AB2-CABB-4D34-81F1-3B2CF82BEF61}" name="Product" dataDxfId="194" dataCellStyle="Content normal">
      <calculatedColumnFormula array="1">Common_InputFunctions.Utility_DisplayArrayInTable(Scope3_SourceData.Scope3_Chemicals_Data(), Table_SourceData_Scope3_ChemicalsPharmacy[[#Headers],[Category]], -3, 2)</calculatedColumnFormula>
    </tableColumn>
    <tableColumn id="3" xr3:uid="{1E24815C-76CF-4BB1-A56A-2873099ABC25}" name="Region of origin" dataDxfId="193" dataCellStyle="Content normal">
      <calculatedColumnFormula array="1">Common_InputFunctions.Utility_DisplayArrayInTable(Scope3_SourceData.Scope3_Chemicals_Data(), Table_SourceData_Scope3_ChemicalsPharmacy[[#Headers],[Category]], -3, 2)</calculatedColumnFormula>
    </tableColumn>
    <tableColumn id="8" xr3:uid="{6A687489-0413-4730-9F73-32D205E9E066}" name="Quantity Unit" dataDxfId="192" dataCellStyle="Content normal">
      <calculatedColumnFormula array="1">Common_InputFunctions.Utility_DisplayArrayInTable(Scope3_SourceData.Scope3_Chemicals_Data(), Table_SourceData_Scope3_ChemicalsPharmacy[[#Headers],[Category]], -3, 2)</calculatedColumnFormula>
    </tableColumn>
    <tableColumn id="9" xr3:uid="{CB892244-2E81-4D8C-9E38-9F9DE2E38539}" name="Emissions intensity" dataDxfId="191" dataCellStyle="Content normal">
      <calculatedColumnFormula array="1">Common_InputFunctions.Utility_DisplayArrayInTable(Scope3_SourceData.Scope3_Chemicals_Data(), Table_SourceData_Scope3_ChemicalsPharmacy[[#Headers],[Category]], -3, 2)</calculatedColumnFormula>
    </tableColumn>
    <tableColumn id="10" xr3:uid="{CD1123C4-5F49-420F-94E0-93B59A299F1F}" name="System boundary" dataDxfId="190" dataCellStyle="Content normal">
      <calculatedColumnFormula array="1">Common_InputFunctions.Utility_DisplayArrayInTable(Scope3_SourceData.Scope3_Chemicals_Data(), Table_SourceData_Scope3_ChemicalsPharmacy[[#Headers],[Category]], -3, 2)</calculatedColumnFormula>
    </tableColumn>
    <tableColumn id="4" xr3:uid="{DE8FE423-445F-41B4-B92B-F527D1D1593B}" name="Source" dataDxfId="189" dataCellStyle="Content normal"/>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FD08181-184B-4B74-977D-A3F974615E09}" name="Table_SourceData_Scope3_LickBlocks" displayName="Table_SourceData_Scope3_LickBlocks" ref="D167:J170" totalsRowShown="0" headerRowDxfId="188"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5537D28-A8D9-4C88-929A-15019ED3E88D}" name="Category" dataDxfId="187" dataCellStyle="Content normal">
      <calculatedColumnFormula array="1">Common_InputFunctions.Utility_DisplayArrayInTable(Scope3_SourceData.Scope3_Feed_Data(), Table_SourceData_Scope3_LickBlocks[[#Headers],[Category]], -73, 2)</calculatedColumnFormula>
    </tableColumn>
    <tableColumn id="2" xr3:uid="{27988211-584F-47AD-8FA3-F147EFD74900}" name="Product" dataDxfId="186" dataCellStyle="Content normal">
      <calculatedColumnFormula array="1">Common_InputFunctions.Utility_DisplayArrayInTable(Scope3_SourceData.Scope3_Feed_Data(), Table_SourceData_Scope3_LickBlocks[[#Headers],[Category]], -73, 2)</calculatedColumnFormula>
    </tableColumn>
    <tableColumn id="3" xr3:uid="{22BCA876-9D95-457A-9923-1E92B3789E84}" name="Region of origin" dataDxfId="185" dataCellStyle="Content normal">
      <calculatedColumnFormula array="1">Common_InputFunctions.Utility_DisplayArrayInTable(Scope3_SourceData.Scope3_Feed_Data(), Table_SourceData_Scope3_LickBlocks[[#Headers],[Category]], -73, 2)</calculatedColumnFormula>
    </tableColumn>
    <tableColumn id="4" xr3:uid="{3588F79C-AC72-47BA-8383-8CA9C82B0F1D}" name="Quantity Unit" dataDxfId="184" dataCellStyle="Content normal">
      <calculatedColumnFormula array="1">Common_InputFunctions.Utility_DisplayArrayInTable(Scope3_SourceData.Scope3_Feed_Data(), Table_SourceData_Scope3_LickBlocks[[#Headers],[Category]], -73, 2)</calculatedColumnFormula>
    </tableColumn>
    <tableColumn id="5" xr3:uid="{ABA95D04-966E-451F-B01B-9D70800C7668}" name="Emissions intensity" dataDxfId="183" dataCellStyle="Content normal">
      <calculatedColumnFormula array="1">Common_InputFunctions.Utility_DisplayArrayInTable(Scope3_SourceData.Scope3_Feed_Data(), Table_SourceData_Scope3_LickBlocks[[#Headers],[Category]], -73, 2)</calculatedColumnFormula>
    </tableColumn>
    <tableColumn id="6" xr3:uid="{51750A9D-0AFB-425E-B3B4-C233902C1DDC}" name="System boundary" dataDxfId="182" dataCellStyle="Content normal">
      <calculatedColumnFormula array="1">Common_InputFunctions.Utility_DisplayArrayInTable(Scope3_SourceData.Scope3_Feed_Data(), Table_SourceData_Scope3_LickBlocks[[#Headers],[Category]], -73, 2)</calculatedColumnFormula>
    </tableColumn>
    <tableColumn id="7" xr3:uid="{0988EF02-3676-4843-BE0E-1271377E093C}" name="Source" dataDxfId="181" dataCellStyle="Content normal"/>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0CE909F4-F90E-4858-95C8-CA7C1E79E9DE}" name="Table_SourceData_Scope3_MixedRations" displayName="Table_SourceData_Scope3_MixedRations" ref="D161:J165" totalsRowShown="0" headerRowDxfId="180"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AF7A8D5-AB9E-454D-9629-1A34992227E6}" name="Category" dataDxfId="179" dataCellStyle="Content normal">
      <calculatedColumnFormula array="1">Common_InputFunctions.Utility_DisplayArrayInTable(Scope3_SourceData.Scope3_Feed_Data(), Table_SourceData_Scope3_MixedRations[[#Headers],[Category]], -66, 2)</calculatedColumnFormula>
    </tableColumn>
    <tableColumn id="2" xr3:uid="{DE262725-B701-40D9-BB56-C1BEA3877713}" name="Product" dataDxfId="178" dataCellStyle="Content normal">
      <calculatedColumnFormula array="1">Common_InputFunctions.Utility_DisplayArrayInTable(Scope3_SourceData.Scope3_Feed_Data(), Table_SourceData_Scope3_MixedRations[[#Headers],[Category]], -66, 2)</calculatedColumnFormula>
    </tableColumn>
    <tableColumn id="3" xr3:uid="{AC94C5E5-6976-427B-A5F1-126B1F63CEC2}" name="Region of origin" dataDxfId="177" dataCellStyle="Content normal">
      <calculatedColumnFormula array="1">Common_InputFunctions.Utility_DisplayArrayInTable(Scope3_SourceData.Scope3_Feed_Data(), Table_SourceData_Scope3_MixedRations[[#Headers],[Category]], -66, 2)</calculatedColumnFormula>
    </tableColumn>
    <tableColumn id="4" xr3:uid="{51433D79-83FE-43C7-8E78-CD317AB53131}" name="Quantity Unit" dataDxfId="176" dataCellStyle="Content normal">
      <calculatedColumnFormula array="1">Common_InputFunctions.Utility_DisplayArrayInTable(Scope3_SourceData.Scope3_Feed_Data(), Table_SourceData_Scope3_MixedRations[[#Headers],[Category]], -66, 2)</calculatedColumnFormula>
    </tableColumn>
    <tableColumn id="5" xr3:uid="{22891D7E-04F0-419B-AACF-66C2F72C3E05}" name="Emissions intensity" dataDxfId="175" dataCellStyle="Content normal">
      <calculatedColumnFormula array="1">Common_InputFunctions.Utility_DisplayArrayInTable(Scope3_SourceData.Scope3_Feed_Data(), Table_SourceData_Scope3_MixedRations[[#Headers],[Category]], -66, 2)</calculatedColumnFormula>
    </tableColumn>
    <tableColumn id="6" xr3:uid="{541AC7AB-35C2-4EDC-9E24-E84D3D5BF5DE}" name="System boundary" dataDxfId="174" dataCellStyle="Content normal">
      <calculatedColumnFormula array="1">Common_InputFunctions.Utility_DisplayArrayInTable(Scope3_SourceData.Scope3_Feed_Data(), Table_SourceData_Scope3_MixedRations[[#Headers],[Category]], -66, 2)</calculatedColumnFormula>
    </tableColumn>
    <tableColumn id="7" xr3:uid="{5785AD6A-179C-4E0F-97B9-0207215DBD92}" name="Source" dataDxfId="173" dataCellStyle="Content normal"/>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24171DB5-8315-4FC6-B116-366B6E9130FF}"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B8ED3225-C757-4173-A22E-677ED0FA6057}" name="Product">
      <calculatedColumnFormula>Table_SourceData_Scope3_FishFeedAndBait[[#This Row],[Product]]</calculatedColumnFormula>
    </tableColumn>
    <tableColumn id="2" xr3:uid="{60833519-F09B-4E94-88AA-A05CB53EB305}" name="Region">
      <calculatedColumnFormula>Table_SourceData_Scope3_FishFeedAndBait[[#This Row],[Region of origin]]</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59A178CB-80AF-4AA6-90BE-4328A3049E01}"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E124D902-4DC8-4A3E-9AA7-9EBCDD41D4A8}" name="Product">
      <calculatedColumnFormula>Table_SourceData_Scope3_Feed[[#This Row],[Product]]</calculatedColumnFormula>
    </tableColumn>
    <tableColumn id="2" xr3:uid="{A7AFE999-260E-458D-AF25-AD2D49076B2A}" name="Region">
      <calculatedColumnFormula>Table_SourceData_Scope3_Feed[[#This Row],[Region of origin]]</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12108037-B595-48B3-8643-EA19FCE2D5DF}" name="Table_ProductRegions_Maizegrain" displayName="Table_ProductRegions_Maizegrain" ref="L97:M104" totalsRowShown="0" headerRowDxfId="172" headerRowCellStyle="Content normal">
  <autoFilter ref="L97:M104" xr:uid="{70F320A7-5DBE-4A83-91E4-C9B3BDA564BD}">
    <filterColumn colId="0" hiddenButton="1"/>
    <filterColumn colId="1" hiddenButton="1"/>
  </autoFilter>
  <tableColumns count="2">
    <tableColumn id="1" xr3:uid="{A20BBAAE-6376-471F-810F-8459C34A5FB1}" name="Product">
      <calculatedColumnFormula>Table_SourceData_Scope3_Feed[[#This Row],[Product]]</calculatedColumnFormula>
    </tableColumn>
    <tableColumn id="2" xr3:uid="{DDF5B51E-378B-40E3-ACAB-3E74A4CE2866}" name="Region">
      <calculatedColumnFormula>Table_SourceData_Scope3_Feed[[#This Row],[Region of origin]]</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ECD7C273-69B2-4B0E-8FCD-48714187096C}" name="Table_ProductRegions_Sorghumgrain" displayName="Table_ProductRegions_Sorghumgrain" ref="O104:P109" totalsRowShown="0" headerRowDxfId="171" headerRowCellStyle="Content normal">
  <autoFilter ref="O104:P109" xr:uid="{90205417-8A77-41A3-A4E2-624BD92B7269}">
    <filterColumn colId="0" hiddenButton="1"/>
    <filterColumn colId="1" hiddenButton="1"/>
  </autoFilter>
  <tableColumns count="2">
    <tableColumn id="1" xr3:uid="{235324E7-EDB7-4014-9B62-44365B635156}" name="Product">
      <calculatedColumnFormula>Table_SourceData_Scope3_Feed[[#This Row],[Product]]</calculatedColumnFormula>
    </tableColumn>
    <tableColumn id="2" xr3:uid="{4CB1A43D-82E0-43E6-B9D6-EA766A2BF1EB}" name="Region">
      <calculatedColumnFormula>Table_SourceData_Scope3_Feed[[#This Row],[Region of origin]]</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49C467A0-D7D3-49B3-A6CF-44CCE1028AB9}" name="Table_ProductRegions_Wheatgrain" displayName="Table_ProductRegions_Wheatgrain" ref="L109:M117" totalsRowShown="0" headerRowDxfId="170" headerRowCellStyle="Content normal">
  <autoFilter ref="L109:M117" xr:uid="{9DD7D3AD-59A1-48FC-B80D-99C25A2A79F5}">
    <filterColumn colId="0" hiddenButton="1"/>
    <filterColumn colId="1" hiddenButton="1"/>
  </autoFilter>
  <tableColumns count="2">
    <tableColumn id="1" xr3:uid="{C40FC88A-86BC-4E72-84B2-C5719BD9D2E1}" name="Product">
      <calculatedColumnFormula>Table_SourceData_Scope3_Feed[[#This Row],[Product]]</calculatedColumnFormula>
    </tableColumn>
    <tableColumn id="2" xr3:uid="{DF27E514-044F-4755-A102-4AF20EBFB410}" name="Region">
      <calculatedColumnFormula>Table_SourceData_Scope3_Feed[[#This Row],[Region of origin]]</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BFBD3D35-FC47-4BA7-8E41-43139E444D2D}"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14654F65-D7F4-4898-8C36-AE6838AAEFBE}" name="Product">
      <calculatedColumnFormula>Table_SourceData_Scope3_Feed[[#This Row],[Product]]</calculatedColumnFormula>
    </tableColumn>
    <tableColumn id="2" xr3:uid="{E60032F2-D232-428A-9998-A4BA939A150D}" name="Region">
      <calculatedColumnFormula>Table_SourceData_Scope3_Feed[[#This Row],[Region of origin]]</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F722D751-01F3-4C20-A163-ACAB6F8EA934}"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97281D35-38A4-4B84-B0B6-01B42F583AF2}" name="Product">
      <calculatedColumnFormula>Table_SourceData_Scope3_Feed[[#This Row],[Product]]</calculatedColumnFormula>
    </tableColumn>
    <tableColumn id="2" xr3:uid="{DD0D179E-200D-4B5A-9726-EB1C17118E47}" name="Region">
      <calculatedColumnFormula>Table_SourceData_Scope3_Feed[[#This Row],[Region of origin]]</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F6448948-B3D7-4439-B61A-60CE74BA9998}"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A02C786B-463A-4A4B-B936-1E7B59C4F786}" name="Product">
      <calculatedColumnFormula>Table_SourceData_Scope3_Feed[[#This Row],[Product]]</calculatedColumnFormula>
    </tableColumn>
    <tableColumn id="2" xr3:uid="{40A0EA6E-071D-4A89-B69D-5D03A94BF71A}" name="Region">
      <calculatedColumnFormula>Table_SourceData_Scope3_Feed[[#This Row],[Region of origin]]</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4B87FF8C-1EA0-4A75-A891-5E70666987EF}"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3E2127B6-DFCE-4BE1-8CA9-5A69F907345F}" name="Product">
      <calculatedColumnFormula>Table_SourceData_Scope3_Feed[[#This Row],[Product]]</calculatedColumnFormula>
    </tableColumn>
    <tableColumn id="2" xr3:uid="{9BBFFDF3-6EA2-4502-B6AF-1230265F7DAE}" name="Region">
      <calculatedColumnFormula>Table_SourceData_Scope3_Feed[[#This Row],[Region of origin]]</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2D8FF28D-245D-43C3-9324-58D5B8CC9A36}"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97D21354-8204-4465-9B99-10BE20DD4B89}" name="Product">
      <calculatedColumnFormula>Table_SourceData_Scope3_Feed[[#This Row],[Product]]</calculatedColumnFormula>
    </tableColumn>
    <tableColumn id="2" xr3:uid="{70839653-6167-4F3C-827F-34FC2575354A}" name="Region">
      <calculatedColumnFormula>Table_SourceData_Scope3_Feed[[#This Row],[Region of origin]]</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9BB7CF4F-7CBF-48B2-9F29-A6C7D4D6246E}" name="Table_ProductRegions_Canolameal" displayName="Table_ProductRegions_Canolameal" ref="L150:M151" totalsRowShown="0" headerRowDxfId="169" headerRowCellStyle="Content normal" dataCellStyle="Content normal">
  <autoFilter ref="L150:M151" xr:uid="{58F78B6F-294E-4D4E-8E3B-BFE4FA85583E}">
    <filterColumn colId="0" hiddenButton="1"/>
    <filterColumn colId="1" hiddenButton="1"/>
  </autoFilter>
  <tableColumns count="2">
    <tableColumn id="1" xr3:uid="{6796A84A-3B26-45CF-A7CE-05836A138F4A}" name="Product" dataCellStyle="Content normal">
      <calculatedColumnFormula>Table_SourceData_Scope3_Feed[[#This Row],[Product]]</calculatedColumnFormula>
    </tableColumn>
    <tableColumn id="2" xr3:uid="{9FEC001F-0435-406E-8AED-29C1E95B842D}"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FEAB16A1-7D04-40BD-BE05-9FD5D8ACB698}"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6038E0BF-ED64-419E-8724-3AD30CD133F0}" name="Product">
      <calculatedColumnFormula>Table_SourceData_Scope3_Feed[[#This Row],[Product]]</calculatedColumnFormula>
    </tableColumn>
    <tableColumn id="2" xr3:uid="{0AE632B3-EB8F-4A59-91D0-D6912316E327}" name="Region">
      <calculatedColumnFormula>Table_SourceData_Scope3_Feed[[#This Row],[Region of origin]]</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41B37C5E-CCD1-44BD-B9EB-817C6D74A150}"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0B2032BB-4B23-43EA-9FA8-101F97F1F1E1}" name="Product">
      <calculatedColumnFormula>Table_SourceData_Scope3_Feed[[#This Row],[Product]]</calculatedColumnFormula>
    </tableColumn>
    <tableColumn id="2" xr3:uid="{CC33863E-79EB-4371-A737-C0F884AC5208}" name="Region">
      <calculatedColumnFormula>Table_SourceData_Scope3_Feed[[#This Row],[Region of origin]]</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966E9825-3A27-4253-BE99-3EE5D1EA2F6B}"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5A93220F-9554-4315-B498-2B9FB1099835}" name="Product">
      <calculatedColumnFormula>Table_SourceData_Scope3_Feed[[#This Row],[Product]]</calculatedColumnFormula>
    </tableColumn>
    <tableColumn id="2" xr3:uid="{8FF11581-9469-4F15-A063-928000147620}" name="Region">
      <calculatedColumnFormula>Table_SourceData_Scope3_Feed[[#This Row],[Region of origin]]</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A618F01D-CE5F-492D-83D7-33B6C1A4133E}"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57B97E18-47A7-46E4-90AE-D7DFF1D947DA}" name="Product">
      <calculatedColumnFormula>Table_SourceData_Scope3_Feed[[#This Row],[Product]]</calculatedColumnFormula>
    </tableColumn>
    <tableColumn id="2" xr3:uid="{580FB308-3B29-48EF-B1B4-FC6AB96CB4D6}" name="Region">
      <calculatedColumnFormula>Table_SourceData_Scope3_Feed[[#This Row],[Region of origin]]</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77A89FE7-21D9-4BEF-9ED1-E12D091D48AF}"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5F4F1442-D3BC-4E98-8125-F3350718992E}" name="Product">
      <calculatedColumnFormula>Table_SourceData_Scope3_Feed[[#This Row],[Product]]</calculatedColumnFormula>
    </tableColumn>
    <tableColumn id="2" xr3:uid="{2377E700-F7D2-4FC8-B6D7-B2DD7A80FCF0}" name="Region">
      <calculatedColumnFormula>Table_SourceData_Scope3_Feed[[#This Row],[Region of origin]]</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85951BCA-15DF-4D8A-A649-6322E0911410}"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D3658646-EEC1-4C58-98B3-BE0ABF612877}" name="Product">
      <calculatedColumnFormula>Table_SourceData_Scope3_Feed[[#This Row],[Product]]</calculatedColumnFormula>
    </tableColumn>
    <tableColumn id="2" xr3:uid="{B93094E3-BD4F-4343-A178-A1662C31103D}" name="Region">
      <calculatedColumnFormula>Table_SourceData_Scope3_Feed[[#This Row],[Region of origin]]</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91FAB3AD-F2F3-4EBC-92E7-A0EC5EE958ED}"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12664E74-66CE-4EE5-8B8F-F857D6BF3BA4}" name="Product">
      <calculatedColumnFormula>Table_SourceData_Scope3_Feed[[#This Row],[Product]]</calculatedColumnFormula>
    </tableColumn>
    <tableColumn id="2" xr3:uid="{0DF54B17-0DC6-40BC-86B2-E4543EF65A4D}" name="Region">
      <calculatedColumnFormula>Table_SourceData_Scope3_Feed[[#This Row],[Region of origin]]</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388CE524-D776-4248-9DBE-8816DAFD207E}" name="Table_ProductRegions_Beefcattle" displayName="Table_ProductRegions_Beefcattle" ref="L33:M49" totalsRowShown="0">
  <autoFilter ref="L33:M49" xr:uid="{77539992-728B-4655-965B-FB28372E4BBC}">
    <filterColumn colId="0" hiddenButton="1"/>
    <filterColumn colId="1" hiddenButton="1"/>
  </autoFilter>
  <tableColumns count="2">
    <tableColumn id="1" xr3:uid="{76AF2F02-6F29-4C66-B551-E9784D6E2579}" name="Region"/>
    <tableColumn id="2" xr3:uid="{E240EAEF-6E8B-4A73-8231-15833281486B}" name="Scope3 regio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876740E1-5C09-4CC1-B06C-69878681EE1D}" name="Table_SourceData_Scope3_FishFeedAndBait" displayName="Table_SourceData_Scope3_FishFeedAndBait" ref="D241:J247" totalsRowShown="0" dataDxfId="168"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0B02F300-888D-4319-9267-AA81F80ACC9D}" name="Category" dataDxfId="167" dataCellStyle="Content normal">
      <calculatedColumnFormula array="1">Common_InputFunctions.Utility_DisplayArrayInTable(Scope3_SourceData.Scope3_FishFeedAndBait_Data(), Table_SourceData_Scope3_FishFeedAndBait[[#Headers],[Category]], 0, 1)</calculatedColumnFormula>
    </tableColumn>
    <tableColumn id="1" xr3:uid="{63EA16AA-EE64-41DA-AD8C-69B3F8C8F979}" name="Product" dataDxfId="166" dataCellStyle="Content normal">
      <calculatedColumnFormula array="1">Common_InputFunctions.Utility_DisplayArrayInTable(Scope3_SourceData.Scope3_FishFeedAndBait_Data(), Table_SourceData_Scope3_FishFeedAndBait[[#Headers],[Category]], 0, 1)</calculatedColumnFormula>
    </tableColumn>
    <tableColumn id="2" xr3:uid="{E537843A-1EC5-4798-B6C2-8B17B54FE5FF}" name="Region of origin" dataDxfId="165" dataCellStyle="Content normal">
      <calculatedColumnFormula array="1">Common_InputFunctions.Utility_DisplayArrayInTable(Scope3_SourceData.Scope3_FishFeedAndBait_Data(), Table_SourceData_Scope3_FishFeedAndBait[[#Headers],[Category]], 0, 1)</calculatedColumnFormula>
    </tableColumn>
    <tableColumn id="3" xr3:uid="{E120B788-82A1-4EFA-8A04-F0AC05296CAD}" name="Quantity Unit" dataDxfId="164" dataCellStyle="Content normal">
      <calculatedColumnFormula array="1">Common_InputFunctions.Utility_DisplayArrayInTable(Scope3_SourceData.Scope3_FishFeedAndBait_Data(), Table_SourceData_Scope3_FishFeedAndBait[[#Headers],[Category]], 0, 1)</calculatedColumnFormula>
    </tableColumn>
    <tableColumn id="4" xr3:uid="{E370CDE2-DB0F-4DE8-9BB3-E575FDFC4477}" name="Emissions intensity" dataDxfId="163" dataCellStyle="Content normal">
      <calculatedColumnFormula array="1">Common_InputFunctions.Utility_DisplayArrayInTable(Scope3_SourceData.Scope3_FishFeedAndBait_Data(), Table_SourceData_Scope3_FishFeedAndBait[[#Headers],[Category]], 0, 1)</calculatedColumnFormula>
    </tableColumn>
    <tableColumn id="5" xr3:uid="{90A597F5-62AE-4D46-9E42-63A6E16B62E1}" name="System boundary" dataDxfId="162" dataCellStyle="Content normal">
      <calculatedColumnFormula array="1">Common_InputFunctions.Utility_DisplayArrayInTable(Scope3_SourceData.Scope3_FishFeedAndBait_Data(), Table_SourceData_Scope3_FishFeedAndBait[[#Headers],[Category]], 0, 1)</calculatedColumnFormula>
    </tableColumn>
    <tableColumn id="8" xr3:uid="{A4609189-C37D-4E12-A1FC-1792EF10F4A2}" name="Source" dataDxfId="161" dataCellStyle="Content normal"/>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C478747-1F5D-47EE-BF4A-E425947C11C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A287FA3-800B-4A3C-B890-EE3EB2C92498}" name="State/Territory">
      <calculatedColumnFormula array="1">Common_InputFunctions.Utility_DisplayArrayInTable(Common_SourceData.Common_SourceData_AustralianStatesTerritories_Data(),Table_AustralianStates[[#Headers],[State/Territory]],0)</calculatedColumnFormula>
    </tableColumn>
    <tableColumn id="2" xr3:uid="{96370351-02C0-481B-ABA4-01406FE3BD55}" name="Common Name">
      <calculatedColumnFormula array="1">Common_InputFunctions.Utility_DisplayArrayInTable(Common_SourceData.Common_SourceData_AustralianStatesTerritories_Data(),Table_AustralianStates[[#Headers],[State/Territory]],0)</calculatedColumnFormula>
    </tableColumn>
    <tableColumn id="3" xr3:uid="{842546B1-B984-44F3-AC64-19842544880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39DC0B0-B96D-42DE-A74F-9666165298BB}" name="Table_WASA4Areas" displayName="Table_WASA4Areas" ref="D20:D30" totalsRowShown="0">
  <autoFilter ref="D20:D30" xr:uid="{5FA81339-C6C8-4D36-BEEA-6C4AEDD9E676}">
    <filterColumn colId="0" hiddenButton="1"/>
  </autoFilter>
  <tableColumns count="1">
    <tableColumn id="1" xr3:uid="{CEB26DE3-6D08-4488-BCC5-CAF66DA074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088AC4D-D2BB-4119-86D0-5C4ECEF277E6}" name="Table_GWPData" displayName="Table_GWPData" ref="D36:E43" totalsRowShown="0">
  <autoFilter ref="D36:E43" xr:uid="{B8E87A66-3E41-4AD3-925D-01EE21B43D7A}">
    <filterColumn colId="0" hiddenButton="1"/>
    <filterColumn colId="1" hiddenButton="1"/>
  </autoFilter>
  <tableColumns count="2">
    <tableColumn id="1" xr3:uid="{8B79CC01-3ECE-4E13-BCFA-D269536A7BCE}" name="Gas">
      <calculatedColumnFormula array="1">Common_InputFunctions.Utility_DisplayArrayInTable(Common_SourceData.Common_SourceData_GWP_Data(), Table_GWPData[[#Headers],[Gas]], 0)</calculatedColumnFormula>
    </tableColumn>
    <tableColumn id="2" xr3:uid="{1429926F-63F9-41B0-922F-6ECBEB0F51C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082FF7C-D65B-40DD-A145-3895A8DB7C1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4DBA2455-78CB-4D98-AA3F-09E76468921A}" name="Gas">
      <calculatedColumnFormula array="1">Common_InputFunctions.Utility_DisplayArrayInTable(Common_SourceData.Common_SourceData_ConvertGasElementalToMolecular_Data(),Table_GasToMolecularConversionFactor[[#Headers],[Gas]], 0)</calculatedColumnFormula>
    </tableColumn>
    <tableColumn id="5" xr3:uid="{847F9075-C0C3-424A-89AD-B0E0C46CC2B7}" name="Conversion factor">
      <calculatedColumnFormula array="1">Common_InputFunctions.Utility_DisplayArrayInTable(Common_SourceData.Common_SourceData_ConvertGasElementalToMolecular_Data(),Table_GasToMolecularConversionFactor[[#Headers],[Gas]], 0)</calculatedColumnFormula>
    </tableColumn>
    <tableColumn id="2" xr3:uid="{B3F423E7-5422-4AB0-8E9F-FE964D1AB28C}"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0878C27-AF09-4C3E-AA84-4643A115F4B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AA59925-0E1E-4C81-A2FE-508039861BCA}"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0CB345A-1C1C-4903-883E-95B118EE9D5B}"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22A5368-2115-4AFA-9E1B-55763DE8967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85395033-5600-477B-B2A8-F9DD6340CCA7}" name="MAT" totalsRowDxfId="160" totalsRowCellStyle="Content bold">
      <calculatedColumnFormula array="1">Common_InputFunctions.Utility_DisplayArrayInTable(Common_SourceData.Common_SourceData_ClimateZones_Data(), Table_SourceData_ClimateZones[[#Headers],[Climate zone]], 0)</calculatedColumnFormula>
    </tableColumn>
    <tableColumn id="3" xr3:uid="{CFC93F08-2BC7-4BBC-A029-A0CEEFC4A386}" name="MAP" totalsRowDxfId="159" totalsRowCellStyle="Content bold">
      <calculatedColumnFormula array="1">Common_InputFunctions.Utility_DisplayArrayInTable(Common_SourceData.Common_SourceData_ClimateZones_Data(), Table_SourceData_ClimateZones[[#Headers],[Climate zone]], 0)</calculatedColumnFormula>
    </tableColumn>
    <tableColumn id="4" xr3:uid="{7EEE0652-905E-4C60-9EA8-BB1B972258D1}" name="Frost days per year" totalsRowDxfId="158" totalsRowCellStyle="Content bold">
      <calculatedColumnFormula array="1">Common_InputFunctions.Utility_DisplayArrayInTable(Common_SourceData.Common_SourceData_ClimateZones_Data(), Table_SourceData_ClimateZones[[#Headers],[Climate zone]], 0)</calculatedColumnFormula>
    </tableColumn>
    <tableColumn id="5" xr3:uid="{097C0B4C-AE79-4AEF-9D0C-8729F8FD7AE7}" name="Elevation" totalsRowDxfId="157" totalsRowCellStyle="Content bold">
      <calculatedColumnFormula array="1">Common_InputFunctions.Utility_DisplayArrayInTable(Common_SourceData.Common_SourceData_ClimateZones_Data(), Table_SourceData_ClimateZones[[#Headers],[Climate zone]], 0)</calculatedColumnFormula>
    </tableColumn>
    <tableColumn id="6" xr3:uid="{FEB741F7-AC5C-4AEE-9552-9D4B6ECAE991}" name="MAP:PET" totalsRowDxfId="156" totalsRowCellStyle="Content bold">
      <calculatedColumnFormula array="1">Common_InputFunctions.Utility_DisplayArrayInTable(Common_SourceData.Common_SourceData_ClimateZones_Data(), Table_SourceData_ClimateZones[[#Headers],[Climate zone]], 0)</calculatedColumnFormula>
    </tableColumn>
    <tableColumn id="7" xr3:uid="{D5410FE5-B548-4931-A6AC-14C2144A60DA}" name="Min temp" totalsRowDxfId="155" totalsRowCellStyle="Content bold">
      <calculatedColumnFormula array="1">Common_InputFunctions.Utility_DisplayArrayInTable(Common_SourceData.Common_SourceData_ClimateZones_Data(), Table_SourceData_ClimateZones[[#Headers],[Climate zone]], 0)</calculatedColumnFormula>
    </tableColumn>
    <tableColumn id="8" xr3:uid="{5A1A3BF3-FC1C-49D4-864A-417D756978EB}" name="Max temp" totalsRowDxfId="154" totalsRowCellStyle="Content bold">
      <calculatedColumnFormula array="1">Common_InputFunctions.Utility_DisplayArrayInTable(Common_SourceData.Common_SourceData_ClimateZones_Data(), Table_SourceData_ClimateZones[[#Headers],[Climate zone]], 0)</calculatedColumnFormula>
    </tableColumn>
    <tableColumn id="9" xr3:uid="{2C3E4891-FDD2-45D8-9E12-D7E20AB2C942}" name="Min rainfall" totalsRowDxfId="153" totalsRowCellStyle="Content bold">
      <calculatedColumnFormula array="1">Common_InputFunctions.Utility_DisplayArrayInTable(Common_SourceData.Common_SourceData_ClimateZones_Data(), Table_SourceData_ClimateZones[[#Headers],[Climate zone]], 0)</calculatedColumnFormula>
    </tableColumn>
    <tableColumn id="10" xr3:uid="{5C2EEE10-BE60-43AB-BD46-3D5857E233F0}" name="Max rainfall" totalsRowDxfId="152" totalsRowCellStyle="Content bold">
      <calculatedColumnFormula array="1">Common_InputFunctions.Utility_DisplayArrayInTable(Common_SourceData.Common_SourceData_ClimateZones_Data(), Table_SourceData_ClimateZones[[#Headers],[Climate zone]], 0)</calculatedColumnFormula>
    </tableColumn>
    <tableColumn id="11" xr3:uid="{B8D4FB2A-E41F-41E4-A1B0-B50B6F4B8222}" name="Min frost days" totalsRowDxfId="151" totalsRowCellStyle="Content bold">
      <calculatedColumnFormula array="1">Common_InputFunctions.Utility_DisplayArrayInTable(Common_SourceData.Common_SourceData_ClimateZones_Data(), Table_SourceData_ClimateZones[[#Headers],[Climate zone]], 0)</calculatedColumnFormula>
    </tableColumn>
    <tableColumn id="15" xr3:uid="{D1F195A5-29D3-4872-B840-5C2B982B31D3}" name="Max frost days" totalsRowDxfId="150" totalsRowCellStyle="Content bold">
      <calculatedColumnFormula array="1">Common_InputFunctions.Utility_DisplayArrayInTable(Common_SourceData.Common_SourceData_ClimateZones_Data(), Table_SourceData_ClimateZones[[#Headers],[Climate zone]], 0)</calculatedColumnFormula>
    </tableColumn>
    <tableColumn id="12" xr3:uid="{D7C29537-FEDC-4D4C-ACE3-42DDEEA677B7}" name="Min elevation" totalsRowDxfId="149" totalsRowCellStyle="Content bold">
      <calculatedColumnFormula array="1">Common_InputFunctions.Utility_DisplayArrayInTable(Common_SourceData.Common_SourceData_ClimateZones_Data(), Table_SourceData_ClimateZones[[#Headers],[Climate zone]], 0)</calculatedColumnFormula>
    </tableColumn>
    <tableColumn id="16" xr3:uid="{958174B2-155C-4F21-8FC1-CAED3FC453D2}" name="Max elevation" totalsRowDxfId="148" totalsRowCellStyle="Content bold">
      <calculatedColumnFormula array="1">Common_InputFunctions.Utility_DisplayArrayInTable(Common_SourceData.Common_SourceData_ClimateZones_Data(), Table_SourceData_ClimateZones[[#Headers],[Climate zone]], 0)</calculatedColumnFormula>
    </tableColumn>
    <tableColumn id="13" xr3:uid="{17E613AB-F9F0-404A-8CFE-A6BE09D2A63F}" name="Min MAP:PET" totalsRowDxfId="147" totalsRowCellStyle="Content bold">
      <calculatedColumnFormula array="1">Common_InputFunctions.Utility_DisplayArrayInTable(Common_SourceData.Common_SourceData_ClimateZones_Data(), Table_SourceData_ClimateZones[[#Headers],[Climate zone]], 0)</calculatedColumnFormula>
    </tableColumn>
    <tableColumn id="17" xr3:uid="{1E04DA75-1873-41D6-92F5-FFC40E85975A}" name="Max MAP:PET" totalsRowDxfId="14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8EA0F00-70EE-4353-B983-2572CEB0F04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8F355FA-9E18-4624-B96F-3F7C85E0C75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E23F64E-887D-4EF9-9FE8-07F603CE353D}" name="Wet or Dry Zone" totalsRowDxfId="14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3AFA370-8738-4E34-8DE5-34791278D8C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028E416-FD0D-4083-A9D9-9CDCBCBAB5EC}" name="Temperature Zone">
      <calculatedColumnFormula array="1">Common_InputFunctions.Utility_DisplayArrayInTable(Common_SourceData.Common_SourceData_TemperatureZones_Data(),Table_SourceData_TemperatureZones[[#Headers],[Temperature Zone]],0)</calculatedColumnFormula>
    </tableColumn>
    <tableColumn id="2" xr3:uid="{3213D349-5EBF-4936-AAA8-D15F4B964FB1}" name="MAT">
      <calculatedColumnFormula array="1">Common_InputFunctions.Utility_DisplayArrayInTable(Common_SourceData.Common_SourceData_TemperatureZones_Data(),Table_SourceData_TemperatureZones[[#Headers],[Temperature Zone]],0)</calculatedColumnFormula>
    </tableColumn>
    <tableColumn id="3" xr3:uid="{E0EBBFC7-A140-40A8-8E12-520D0626130C}" name="Min MAT">
      <calculatedColumnFormula array="1">Common_InputFunctions.Utility_DisplayArrayInTable(Common_SourceData.Common_SourceData_TemperatureZones_Data(),Table_SourceData_TemperatureZones[[#Headers],[Temperature Zone]],0)</calculatedColumnFormula>
    </tableColumn>
    <tableColumn id="4" xr3:uid="{D697D416-FDA5-4372-8BBC-3176E392201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04C603B-B6F6-4EF5-BD98-BFD203645EB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ADDB08F-80D5-4814-A2A0-D98870369EC7}" name="Rainfall Zone">
      <calculatedColumnFormula array="1">Common_InputFunctions.Utility_DisplayArrayInTable(Common_SourceData.Common_SourceData_RainfallZones_Data(),Table_SourceData_RainfallZones[[#Headers],[Rainfall Zone]],0)</calculatedColumnFormula>
    </tableColumn>
    <tableColumn id="2" xr3:uid="{E0DE79E3-5186-40AE-AFE3-FF55A6EEA374}" name="Annual rainfall">
      <calculatedColumnFormula array="1">Common_InputFunctions.Utility_DisplayArrayInTable(Common_SourceData.Common_SourceData_RainfallZones_Data(),Table_SourceData_RainfallZones[[#Headers],[Rainfall Zone]],0)</calculatedColumnFormula>
    </tableColumn>
    <tableColumn id="3" xr3:uid="{31804A76-4AC7-4705-A77D-2CCE1E9337BE}" name="Min rainfall">
      <calculatedColumnFormula array="1">Common_InputFunctions.Utility_DisplayArrayInTable(Common_SourceData.Common_SourceData_RainfallZones_Data(),Table_SourceData_RainfallZones[[#Headers],[Rainfall Zone]],0)</calculatedColumnFormula>
    </tableColumn>
    <tableColumn id="4" xr3:uid="{D9EF56B1-0415-4006-AE4F-4DB80FEDB32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7AA4CFA5-F9FD-4055-8934-17ECCA2F6C8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81F7D022-6B55-4D8B-932F-227988594410}" name="Leaching Zone">
      <calculatedColumnFormula array="1">Common_InputFunctions.Utility_DisplayArrayInTable(Common_SourceData.Common_SourceData_LeachingZones_Data(), Table_SourceData_LeachingZones[[#Headers],[Leaching Zone]], 0)</calculatedColumnFormula>
    </tableColumn>
    <tableColumn id="2" xr3:uid="{2F08230F-DF28-4379-B8D2-B1FBE7194F9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31C3C94-FBA2-41C7-A91E-9959E5819B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3A7BCDD8-83C0-455D-9496-7FEF773FF5E2}" name="Data source">
      <calculatedColumnFormula array="1">Common_InputFunctions.Utility_DisplayArrayInTable(Common_SourceData.Common_SourceData_DataScores_Scope3_Data(), Table_SourceData_DataScores_Scope3[[#Headers],[Data source]], 0)</calculatedColumnFormula>
    </tableColumn>
    <tableColumn id="2" xr3:uid="{E2BCFC54-9252-41C2-9D03-980F90A46BF2}"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280D15C-3F73-4E88-9643-0E3B7226C575}" name="Table_SourceData_FracWET" displayName="Table_SourceData_FracWET" ref="D134:E136" totalsRowShown="0">
  <autoFilter ref="D134:E136" xr:uid="{308E99BE-FE1F-47A4-B2CA-97217277C4E9}">
    <filterColumn colId="0" hiddenButton="1"/>
    <filterColumn colId="1" hiddenButton="1"/>
  </autoFilter>
  <tableColumns count="2">
    <tableColumn id="1" xr3:uid="{52D54B98-3F5C-4DAD-91D8-47209B1CBF0F}" name="Is in leaching zone">
      <calculatedColumnFormula array="1">Common_InputFunctions.Utility_DisplayArrayInTable(Common_SourceData.Common_SourceData_FracWET_Data(),Table_SourceData_FracWET[[#Headers],[Is in leaching zone]],0)</calculatedColumnFormula>
    </tableColumn>
    <tableColumn id="2" xr3:uid="{9A57EC7B-E1C2-4105-B13E-4EB510230417}" name="FracWET" dataDxfId="14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7F96F76-16B5-4D2C-B2C0-0677F9A62AA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877D4AE1-5BBD-45EF-BFCD-46D4274DEA0D}" name="Production system j">
      <calculatedColumnFormula array="1">Common_InputFunctions.Utility_DisplayArrayInTable(Common_SourceData.Common_SourceData_EFN2O_Data(), Table_SourceData_Common_EFN2O[[#Headers],[Production system j]], 0)</calculatedColumnFormula>
    </tableColumn>
    <tableColumn id="2" xr3:uid="{C6CCA8D0-AB73-4541-AA09-167B095E7B82}" name="EFN2O">
      <calculatedColumnFormula array="1">Common_InputFunctions.Utility_DisplayArrayInTable(Common_SourceData.Common_SourceData_EFN2O_Data(), Table_SourceData_Common_EFN2O[[#Headers],[Production system j]], 0)</calculatedColumnFormula>
    </tableColumn>
    <tableColumn id="3" xr3:uid="{204083C8-C399-4D6B-B0B2-8991D4E5A8F7}" name="Production system only">
      <calculatedColumnFormula array="1">Common_InputFunctions.Utility_DisplayArrayInTable(Common_SourceData.Common_SourceData_EFN2O_Data(), Table_SourceData_Common_EFN2O[[#Headers],[Production system j]], 0)</calculatedColumnFormula>
    </tableColumn>
    <tableColumn id="4" xr3:uid="{973DD926-23DF-46A2-AD58-D64F34F24EFA}" name="Irrigation method">
      <calculatedColumnFormula array="1">Common_InputFunctions.Utility_DisplayArrayInTable(Common_SourceData.Common_SourceData_EFN2O_Data(), Table_SourceData_Common_EFN2O[[#Headers],[Production system j]], 0)</calculatedColumnFormula>
    </tableColumn>
    <tableColumn id="5" xr3:uid="{E046B314-7010-4676-A5EB-F80F38D4F3A9}"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EBC22D0-6B32-4611-AF7D-E42A8F1055F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C001083-286C-4E7A-AD5C-B894196CEE00}" name="Irrigation type i">
      <calculatedColumnFormula array="1">Common_InputFunctions.Utility_DisplayArrayInTable(Common_SourceData.Common_SourceData_FracWETIrrigation_Data(), Table_SourceData_FracWETIrrigation[[#Headers],[Irrigation type i]], 0)</calculatedColumnFormula>
    </tableColumn>
    <tableColumn id="2" xr3:uid="{DE1A60AE-C5D5-49AC-95C8-8D0AAEB02582}" name="FracWET" dataDxfId="14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BD8BBAD-D110-4F14-9BA3-022B7AA72A9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9596886-0825-40AB-8B15-2DDEA3CCEB3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7A08677F-AAE3-40D4-BEDE-23058A375EDA}" name="EFPRP" dataDxfId="14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362327E-5357-47F6-8F2F-705B458BCC4B}"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7C75E7A-19E3-47ED-8896-2766A83C634A}" name="Month">
      <calculatedColumnFormula array="1">Common_InputFunctions.Utility_DisplayArrayInTable(Common_SourceData.Common_SourceData_MonthsToSeasons_Data(), Table_SourceData_Common_MonthToSeason[[#Headers],[Month]], 0)</calculatedColumnFormula>
    </tableColumn>
    <tableColumn id="2" xr3:uid="{812BD67D-F33D-41B3-8A9B-8A4DB75F9B83}" name="Season" dataDxfId="14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1C8652F-8FA0-4F1A-AD28-C3BA994322F5}"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4C72E13-EE2E-41C7-BA47-EFB29BF9831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2CDB234B-55CD-4F04-ABCC-7C1B9BE9C5EA}" name="MAT (ºC)" dataDxfId="1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31FC9592-470C-4745-BE0C-801EDB73B364}" name="Anaerobic lagoon" dataDxfId="1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0BBADFC2-AD9E-45A1-A477-BCBE2A443483}" name="Digester / covered lagoons" dataDxfId="1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1489AD5-67B7-4E73-8CF6-B6524734B20F}" name="Liquid systems" dataDxfId="1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11525F1-D92E-45C7-9BF8-3E33E56C8730}" name="Daily spread" dataDxfId="1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A24CB689-3CDB-4700-9377-C73EB2656DE1}" name="Composting (passive windrow)" dataDxfId="1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0D646B5-9BD0-4389-90A1-3149EF4602EE}" name="Solid storage" dataDxfId="1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253D8404-CF61-4D43-BB93-FA9A02F1F766}" name="Pit storage" dataDxfId="1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9A04ED5B-4BC1-4A37-9DD3-B2528AAD7D05}" name="Deep litter" dataDxfId="1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AA791DA-F3A0-4954-BB53-8C5671397221}" name="Poultry manure with bedding" dataDxfId="1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0CE6F09E-7C27-49A4-B2A7-6B3A0CF05769}" name="Poultry manure without bedding" dataDxfId="1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2162768-ACCE-48D5-8771-DFE30DA7454E}" name="Direct processing" dataDxfId="1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0F00B85-C8DF-42B4-9E3D-CEE67B91738F}" name="Direct application" dataDxfId="1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9065A74-641E-40D6-BB3B-C46C0998BA8B}" name="Pasture range and paddock" dataDxfId="1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E8697876-07FA-45DD-A420-6BD64684FC66}" name="MAT raw" dataDxfId="1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94AA6F70-552D-46BB-96AE-FD3E2133B44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FAA3D460-A09A-40D0-9FC4-A7902DA21DB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396FB2E9-CFF3-46A0-BF64-8B8E1F7DF6B8}" name="EFNi &amp; EFN2Oi" dataDxfId="12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42CC366-20A9-444B-A561-C804E2F99D16}"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07757BA8-A751-4CC2-AE82-298486C3FD88}" name="User friendly description" dataDxfId="124" dataCellStyle="Content normal"/>
    <tableColumn id="2" xr3:uid="{7148520C-28F0-4874-9F7C-976B826B4A88}" name="Description" dataDxfId="123" dataCellStyle="Content normal"/>
    <tableColumn id="1" xr3:uid="{4E13974D-F616-49F2-8E9F-954EDBFEB1DF}" name="ID"/>
    <tableColumn id="3" xr3:uid="{D4828A0E-47E2-4749-9825-94EC16B5A930}" name="Score"/>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AA6D4A1-4ED8-4C02-AA02-CEDDB7739BB5}"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27C9BB11-5A5E-4868-AAA0-6356A69D99D1}" name="User friendly description" dataDxfId="122" dataCellStyle="Content normal"/>
    <tableColumn id="1" xr3:uid="{5314C418-FE67-4ED2-AFCE-B99D3B3384BF}" name="Description"/>
    <tableColumn id="2" xr3:uid="{C480E577-2F78-4D53-BB14-47F2D4CB7F6B}" name="ID"/>
    <tableColumn id="3" xr3:uid="{27AA2D04-9437-4C31-9825-9D3DEF675DE3}" name="Score"/>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E7EF91D-C903-4E93-8374-8181D0B54E94}"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880B99BA-1D99-4F48-AD2A-ADA10026B35B}" name="User friendly description" dataDxfId="121" dataCellStyle="Content normal"/>
    <tableColumn id="1" xr3:uid="{855C20E7-2F1D-46E4-BCBB-B0560AC9FFBE}" name="Description"/>
    <tableColumn id="2" xr3:uid="{63747E18-1861-4B36-BC18-2372100BAEB5}" name="ID"/>
    <tableColumn id="3" xr3:uid="{60790537-9A08-4B5B-8242-4A2FBE180FEA}" name="Score"/>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C3C5FC3-6328-4E26-A1B1-2FF540B251A3}"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257D70B5-1E05-48E9-9E7E-FA2D457A2143}" name="User friendly description" dataDxfId="120" dataCellStyle="Content normal"/>
    <tableColumn id="1" xr3:uid="{1E03ECF4-A79D-42E7-943F-CF1494573C20}" name="Description"/>
    <tableColumn id="2" xr3:uid="{001CA177-D95B-4CDB-8087-179AE22145B9}" name="ID"/>
    <tableColumn id="3" xr3:uid="{4F4BC539-FCC4-4BE3-BF64-C433A1418A06}" name="Score"/>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ADD26498-012D-4690-90DB-F0FD3A4AAEC7}" name="Table_Input_Refrigerant" displayName="Table_Input_Refrigerant" ref="D9:H19" totalsRowShown="0" headerRowCellStyle="Input table column header">
  <autoFilter ref="D9:H19" xr:uid="{522F53FC-4417-4684-906D-1EAA429D66BB}">
    <filterColumn colId="0" hiddenButton="1"/>
    <filterColumn colId="1" hiddenButton="1"/>
    <filterColumn colId="2" hiddenButton="1"/>
    <filterColumn colId="3" hiddenButton="1"/>
    <filterColumn colId="4" hiddenButton="1"/>
  </autoFilter>
  <tableColumns count="5">
    <tableColumn id="1" xr3:uid="{586EBE55-2FBC-46D0-94AB-8523BCC6F83E}" name="Refrigeration unit name" dataCellStyle="Input text"/>
    <tableColumn id="2" xr3:uid="{E4BDA1E4-AEC3-4CCB-A878-0FE6F6B2CF33}" name="Appliance type (select)" dataCellStyle="Input select"/>
    <tableColumn id="3" xr3:uid="{8D3D386F-D67C-41AB-9165-41809E42FD06}" name="Refrigerant used (select)" dataCellStyle="Input select"/>
    <tableColumn id="4" xr3:uid="{5C243820-726A-486B-95C6-17A98A09E984}" name="Unit refrigerant gas capacity (kg)" dataCellStyle="Input number general"/>
    <tableColumn id="5" xr3:uid="{D0D62C76-1E33-4332-846B-B026B6C76E71}" name="Number of units in use" dataCellStyle="Input number general"/>
  </tableColumns>
  <tableStyleInfo name="Editable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A749015-47D1-47A0-9D64-F4AD45AB3C36}" name="Table_RefrigerantChemicalGWP" displayName="Table_RefrigerantChemicalGWP" ref="D8:H46" totalsRowShown="0">
  <autoFilter ref="D8:H46" xr:uid="{E1C64E54-9C84-4DF0-963A-F003AFDF82BC}">
    <filterColumn colId="0" hiddenButton="1"/>
    <filterColumn colId="1" hiddenButton="1"/>
    <filterColumn colId="2" hiddenButton="1"/>
    <filterColumn colId="3" hiddenButton="1"/>
    <filterColumn colId="4" hiddenButton="1"/>
  </autoFilter>
  <tableColumns count="5">
    <tableColumn id="1" xr3:uid="{807E5C5F-268F-41A5-B6D3-B1FA22D57DB1}" name="Gas">
      <calculatedColumnFormula array="1">Common_InputFunctions.Utility_DisplayArrayInTable(Refrigerants_SourceData.Refrigerants_ChemicalGWP_Data(), Table_RefrigerantChemicalGWP[[#Headers],[Gas]], 0)</calculatedColumnFormula>
    </tableColumn>
    <tableColumn id="2" xr3:uid="{46D469BA-91D6-40AA-A7AB-063BEB163C5C}" name="Chemical formula">
      <calculatedColumnFormula array="1">Common_InputFunctions.Utility_DisplayArrayInTable(Refrigerants_SourceData.Refrigerants_ChemicalGWP_Data(), Table_RefrigerantChemicalGWP[[#Headers],[Gas]], 0)</calculatedColumnFormula>
    </tableColumn>
    <tableColumn id="3" xr3:uid="{4E254D72-8257-4624-910D-2FFF60F3B600}" name="Global warming potential (AR5)">
      <calculatedColumnFormula array="1">Common_InputFunctions.Utility_DisplayArrayInTable(Refrigerants_SourceData.Refrigerants_ChemicalGWP_Data(), Table_RefrigerantChemicalGWP[[#Headers],[Gas]], 0)</calculatedColumnFormula>
    </tableColumn>
    <tableColumn id="4" xr3:uid="{387363FB-D112-4622-BFC1-F371CC559C07}" name="Gas - FC name">
      <calculatedColumnFormula array="1">Common_InputFunctions.Utility_DisplayArrayInTable(Refrigerants_SourceData.Refrigerants_ChemicalGWP_Data(), Table_RefrigerantChemicalGWP[[#Headers],[Gas]], 0)</calculatedColumnFormula>
    </tableColumn>
    <tableColumn id="5" xr3:uid="{674F90D5-C8D6-4FB8-BD7F-96FF2F260F14}" name="Aditional data source">
      <calculatedColumnFormula array="1">Common_InputFunctions.Utility_DisplayArrayInTable(Refrigerants_SourceData.Refrigerants_ChemicalGWP_Data(), Table_RefrigerantChemicalGWP[[#Headers],[Gas]], 0)</calculatedColumnFormula>
    </tableColum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B9BCE95-700A-400A-BCC7-8CC831574E21}" name="Table_RefrigerantBlends" displayName="Table_RefrigerantBlends" ref="D52:F102" totalsRowShown="0">
  <autoFilter ref="D52:F102" xr:uid="{18425C18-C97A-4426-BBB3-EF366039709E}">
    <filterColumn colId="0" hiddenButton="1"/>
    <filterColumn colId="1" hiddenButton="1"/>
    <filterColumn colId="2" hiddenButton="1"/>
  </autoFilter>
  <tableColumns count="3">
    <tableColumn id="1" xr3:uid="{32AA21E7-4BF0-4040-8F32-F343F78DE3E7}" name="Blend">
      <calculatedColumnFormula array="1">Common_InputFunctions.Utility_DisplayArrayInTable(Refrigerants_SourceData.Refrigerants_ChemicalBlends_Data(), Table_RefrigerantBlends[[#Headers],[Blend]], 0)</calculatedColumnFormula>
    </tableColumn>
    <tableColumn id="2" xr3:uid="{335B4D82-6613-4898-BBCF-B7CBF28328FA}" name="Constituents">
      <calculatedColumnFormula array="1">Common_InputFunctions.Utility_DisplayArrayInTable(Refrigerants_SourceData.Refrigerants_ChemicalBlends_Data(), Table_RefrigerantBlends[[#Headers],[Blend]], 0)</calculatedColumnFormula>
    </tableColumn>
    <tableColumn id="3" xr3:uid="{0F47FE76-D986-41EA-94FA-159F1E7C808C}" name="Composition (%)">
      <calculatedColumnFormula array="1">Common_InputFunctions.Utility_DisplayArrayInTable(Refrigerants_SourceData.Refrigerants_ChemicalBlends_Data(), Table_RefrigerantBlends[[#Headers],[Blend]], 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46E25F91-A536-4E6A-B082-A070201ED1A0}" name="Table_RefrigerantBlends_Cleaned" displayName="Table_RefrigerantBlends_Cleaned" ref="D109:Q161" totalsRowShown="0">
  <autoFilter ref="D109:Q161" xr:uid="{4B81EECF-2AA9-4F39-8881-1C4A3A77059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1A86791E-2362-43A2-A4D6-7957437C03B6}" name="Blend">
      <calculatedColumnFormula>D53</calculatedColumnFormula>
    </tableColumn>
    <tableColumn id="2" xr3:uid="{540BD7B2-08D7-41C9-9C1A-8095C82A5BFB}" name="Constituent 1">
      <calculatedColumnFormula array="1">IFERROR(INDEX(TRANSPOSE(InputFunctions_Utilities.Utility_SplitStringIntoArray($Q53, "/")), 1), "")</calculatedColumnFormula>
    </tableColumn>
    <tableColumn id="3" xr3:uid="{9B230832-FBCF-45F7-A801-0DCF79BF1D89}" name="Constituent 2">
      <calculatedColumnFormula array="1">IFERROR(INDEX(TRANSPOSE(InputFunctions_Utilities.Utility_SplitStringIntoArray($Q53, "/")), 2), "")</calculatedColumnFormula>
    </tableColumn>
    <tableColumn id="4" xr3:uid="{0418CFC0-05CC-4E4A-9195-EFF4CC63FA28}" name="Constituent 3">
      <calculatedColumnFormula array="1">IFERROR(INDEX(TRANSPOSE(InputFunctions_Utilities.Utility_SplitStringIntoArray($Q53, "/")), 3), "")</calculatedColumnFormula>
    </tableColumn>
    <tableColumn id="5" xr3:uid="{51D3EED7-2BBD-48C4-AE3B-6C75FA443AFE}" name="Constituent 4">
      <calculatedColumnFormula array="1">IFERROR(INDEX(TRANSPOSE(InputFunctions_Utilities.Utility_SplitStringIntoArray($Q53, "/")), 4), "")</calculatedColumnFormula>
    </tableColumn>
    <tableColumn id="6" xr3:uid="{3D10C6CE-E12C-4E6D-9351-42B763F51FB8}" name="Constituent 1 fraction"/>
    <tableColumn id="7" xr3:uid="{53B33579-CF17-461E-9741-E66515D37D30}" name="Constituent 2 fraction"/>
    <tableColumn id="8" xr3:uid="{E3CD4D5E-A302-4BEB-BECD-0FBF4CC1D0DE}" name="Constituent 3 fraction"/>
    <tableColumn id="9" xr3:uid="{02758692-6D49-4AD5-AEFB-19209FC918B1}" name="Constituent 4 fraction"/>
    <tableColumn id="10" xr3:uid="{C6E4DDA4-01F7-4116-847D-6321FD81D12F}" name="Constituent 1 GWP">
      <calculatedColumnFormula array="1">IFERROR(Table_RefrigerantBlends_Cleaned[[#This Row],[Constituent 1 fraction]]*Common_InputFunctions.Utility_LookupValueInTableNumber(Table_RefrigerantBlends_Cleaned[[#This Row],[Constituent 1]], Table_RefrigerantChemicalGWP[Gas - FC name], Table_RefrigerantChemicalGWP[Global warming potential (AR5)]),"")</calculatedColumnFormula>
    </tableColumn>
    <tableColumn id="11" xr3:uid="{415358DB-319B-44EA-9329-FD5E582CCAD8}" name="Constituent 2 GWP"/>
    <tableColumn id="12" xr3:uid="{3C8F1CD9-F2FB-4640-9D33-D923FD3004F8}" name="Constituent 3 GWP"/>
    <tableColumn id="13" xr3:uid="{FE71E11C-46EF-409B-9E8A-FFDCD36D55B4}" name="Constituent 4 GWP"/>
    <tableColumn id="14" xr3:uid="{E966D6F4-0B32-4287-91D9-CE93CE8F59EE}" name="Blend GWP">
      <calculatedColumnFormula array="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F165817F-E872-41C0-A84D-EF82BB8CCB1E}" name="Table_Refrigerants_LeakageRates" displayName="Table_Refrigerants_LeakageRates" ref="D167:E174" totalsRowShown="0">
  <autoFilter ref="D167:E174" xr:uid="{4B340411-0B16-4A11-B31A-8128F73C9D92}">
    <filterColumn colId="0" hiddenButton="1"/>
    <filterColumn colId="1" hiddenButton="1"/>
  </autoFilter>
  <tableColumns count="2">
    <tableColumn id="1" xr3:uid="{A6D9F11F-2F96-4B85-922C-8F5E96E9A61A}" name="Product">
      <calculatedColumnFormula array="1">Common_InputFunctions.Utility_DisplayArrayInTable(Refrigerants_SourceData.Refrigerants_LeakageRates_Data(), Table_Refrigerants_LeakageRates[[#Headers],[Product]], 0)</calculatedColumnFormula>
    </tableColumn>
    <tableColumn id="2" xr3:uid="{9A5F735C-390D-40BF-8F2F-2850C9ED6F00}" name="Annual leakage rate (%)">
      <calculatedColumnFormula array="1">Common_InputFunctions.Utility_DisplayArrayInTable(Refrigerants_SourceData.Refrigerants_LeakageRates_Data(), Table_Refrigerants_LeakageRates[[#Headers],[Product]], 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DE87456C-4F10-4E7D-AC7E-22D92E59A317}"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0E9AA1C8-8F10-47D0-BDE2-6D973F19BEE1}"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8A95C400-FD86-4481-BD1D-91857DA39EA9}" name="Waste type w" dataDxfId="11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226477A1-73F4-4DCC-A774-DE7D094C5521}" name="EFwt" dataDxfId="118"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200A93F6-0CBC-4CBC-BF67-EACF696C9C1F}" name="EF source" dataDxfId="117"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D3ED4560-77B1-4636-9DD7-3DBEDBA272C4}"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33A1E3E2-DB63-460D-BD73-EA008578DECF}"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96C62B20-8CE2-4707-A34F-B0F1C522227B}" name="VTMw" dataDxfId="116"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FB4F38DD-6E3C-42AE-8A30-E852C9794FD7}" name="Table_WasteTypes_Landfill" displayName="Table_WasteTypes_Landfill" ref="I16:I27" totalsRowShown="0">
  <autoFilter ref="I16:I27" xr:uid="{99B942E3-1D24-4166-921C-DCC10960718D}">
    <filterColumn colId="0" hiddenButton="1"/>
  </autoFilter>
  <tableColumns count="1">
    <tableColumn id="1" xr3:uid="{CB2727FE-A941-48F0-8EFA-89E23DC313CD}"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20FBC23F-AABB-4D58-BCB0-19E521ADA044}" name="Table_WasteTypes_Incineration" displayName="Table_WasteTypes_Incineration" ref="K16:K26" totalsRowShown="0" headerRowDxfId="115" headerRowCellStyle="Content normal" dataCellStyle="Content normal">
  <autoFilter ref="K16:K26" xr:uid="{9A900595-7035-4239-9059-ACC16835BF72}">
    <filterColumn colId="0" hiddenButton="1"/>
  </autoFilter>
  <tableColumns count="1">
    <tableColumn id="1" xr3:uid="{BBE29A04-B1F5-46A1-AC2F-A8928E622B09}" name="Waste type w" dataCellStyle="Content normal">
      <calculatedColumnFormula>E29</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C4C6FAF0-D570-417C-B574-DCB7AD30ECC0}" name="Table_WasteTypes_Composting" displayName="Table_WasteTypes_Composting" ref="M16:M21" totalsRowShown="0" headerRowDxfId="114" headerRowCellStyle="Content normal" dataCellStyle="Content normal">
  <autoFilter ref="M16:M21" xr:uid="{5C8D39D3-1330-49EB-B431-1B2B8C8238DC}">
    <filterColumn colId="0" hiddenButton="1"/>
  </autoFilter>
  <tableColumns count="1">
    <tableColumn id="1" xr3:uid="{FB96AA8C-B01A-4D41-B6D9-8A8E94D45B9E}" name="Waste type w" totalsRowDxfId="113" dataCellStyle="Content normal">
      <calculatedColumnFormula>E40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FA4C5505-0232-420E-A3DB-E42E245D6E10}" name="Table_WasteTypes_Anaerobicdigestion" displayName="Table_WasteTypes_Anaerobicdigestion" ref="O16:O21" totalsRowShown="0" headerRowDxfId="112" headerRowCellStyle="Content normal" dataCellStyle="Content normal">
  <autoFilter ref="O16:O21" xr:uid="{331EC43E-DF68-429F-A2A4-58BFE6216EC3}">
    <filterColumn colId="0" hiddenButton="1"/>
  </autoFilter>
  <tableColumns count="1">
    <tableColumn id="1" xr3:uid="{E7434303-29EE-4757-A191-69050B06C0BE}" name="Waste type w" totalsRowDxfId="111" dataCellStyle="Content normal">
      <calculatedColumnFormula>E46</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995D52-72E4-462E-AA04-9D1AA22FE12D}" name="Table_Input_DataQuality_Enterprise" displayName="Table_Input_DataQuality_Enterprise" ref="D7:J15" totalsRowShown="0" headerRowCellStyle="Input table column header">
  <autoFilter ref="D7:J15" xr:uid="{98995D52-72E4-462E-AA04-9D1AA22FE12D}"/>
  <tableColumns count="7">
    <tableColumn id="1" xr3:uid="{766414E3-927F-4281-9C0C-1A9C5011AAEE}" name="Data type" dataCellStyle="Content normal"/>
    <tableColumn id="2" xr3:uid="{7FC986B7-3E05-4518-A4BD-B7EBD33A8B15}" name="When was the data sourced?" dataCellStyle="Input select"/>
    <tableColumn id="3" xr3:uid="{16526B22-D217-46EF-BC4C-E637FCE5EC95}" name="Where is the data sourced from?" dataCellStyle="Input select"/>
    <tableColumn id="4" xr3:uid="{3AAC4A98-CAAD-40B5-A722-73508C5FB166}" name="How much of the data was from direct samples?" dataCellStyle="Input select"/>
    <tableColumn id="5" xr3:uid="{C448A810-BAE3-4F91-9F24-21BAF52A973C}" name="Notes" dataDxfId="110"/>
    <tableColumn id="6" xr3:uid="{862E9D6B-BB43-41BE-8C67-1D64A642D7F3}" name="Evidence files" dataDxfId="109"/>
    <tableColumn id="7" xr3:uid="{A9957D63-1EBA-4D14-BC67-2A0E3AA2B419}"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848B1C5-D7DC-4075-A870-4540ADBE9724}" name="Table_Input_DataQuality_Site" displayName="Table_Input_DataQuality_Site" ref="D20:J26" totalsRowShown="0" headerRowCellStyle="Input table column header">
  <autoFilter ref="D20:J26" xr:uid="{2848B1C5-D7DC-4075-A870-4540ADBE9724}"/>
  <tableColumns count="7">
    <tableColumn id="1" xr3:uid="{5D856B47-8344-434C-B8C5-AE157F966229}" name="Data type" dataCellStyle="Content normal"/>
    <tableColumn id="2" xr3:uid="{D4CB6C67-0558-4F8C-A55A-4C433B91BCE6}" name="When was the data sourced?" dataCellStyle="Input select"/>
    <tableColumn id="3" xr3:uid="{6E2A6B06-3DDD-4A3D-B134-9424CA31C644}" name="Where is the data sourced from?" dataCellStyle="Input select"/>
    <tableColumn id="4" xr3:uid="{FEA1703D-1911-4DEC-82D3-85178A1D42E0}" name="How much of the data was from direct samples?" dataCellStyle="Input select"/>
    <tableColumn id="5" xr3:uid="{3337BFD3-3DF4-4A5A-A926-E755139A6157}" name="Notes" dataDxfId="108"/>
    <tableColumn id="6" xr3:uid="{12BBF343-9185-4858-889C-52CA6187F028}" name="Evidence files" dataDxfId="107"/>
    <tableColumn id="7" xr3:uid="{17DE9946-3E3E-4EC2-B523-EF7923BDEA6F}"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E3F9232-DE67-4592-BB73-E46C0BFB9590}" name="Table_Input_DataQuality_PastureBeef" displayName="Table_Input_DataQuality_PastureBeef" ref="D31:J40" totalsRowShown="0" headerRowCellStyle="Input table column header">
  <autoFilter ref="D31:J40" xr:uid="{AE3F9232-DE67-4592-BB73-E46C0BFB9590}"/>
  <tableColumns count="7">
    <tableColumn id="1" xr3:uid="{D38B7C50-F506-42CE-9FB5-1C0375096DC3}" name="Data type" dataCellStyle="Content normal"/>
    <tableColumn id="2" xr3:uid="{C56260A7-FB13-4B26-8678-AAA427DA7FC6}" name="When was the data sourced?" dataCellStyle="Input select"/>
    <tableColumn id="3" xr3:uid="{2D8817D3-070C-4235-B959-84550EDF61B3}" name="Where is the data sourced from?" dataCellStyle="Input select"/>
    <tableColumn id="4" xr3:uid="{125CD8F4-EF3A-4071-B192-6795409946D8}" name="How much of the data was from direct samples?" dataCellStyle="Input select"/>
    <tableColumn id="5" xr3:uid="{8A74E42F-C35B-4BDD-9245-839C1F3C1520}" name="Notes" dataDxfId="106"/>
    <tableColumn id="6" xr3:uid="{3AB4A9DC-680B-447C-8E99-9AB65396E5A9}" name="Evidence files" dataDxfId="105"/>
    <tableColumn id="7" xr3:uid="{787C62E0-A9BD-475F-BB50-10FFADB8EB15}" name="Score" dataCellStyle="Input number general calculated">
      <calculatedColumnFormula>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B405304-2224-4461-A2AC-5C3337297B9F}" name="Table_Input_DataQuality_PastureManagement" displayName="Table_Input_DataQuality_PastureManagement" ref="D45:J50" totalsRowShown="0" headerRowCellStyle="Input table column header">
  <autoFilter ref="D45:J50" xr:uid="{0B405304-2224-4461-A2AC-5C3337297B9F}"/>
  <tableColumns count="7">
    <tableColumn id="1" xr3:uid="{FA93AB86-7F7C-49DB-BE84-942EBF4E4BF5}" name="Data type" dataCellStyle="Content normal"/>
    <tableColumn id="2" xr3:uid="{2FFB4163-E47F-407D-B4D6-9583863507A0}" name="When was the data sourced?" dataCellStyle="Input select"/>
    <tableColumn id="3" xr3:uid="{C7B0DDB8-1A90-4AB7-90CC-6CB1635601DC}" name="Where is the data sourced from?" dataCellStyle="Input select"/>
    <tableColumn id="4" xr3:uid="{1A709C61-EFE5-4D80-AA71-A79AC4D162FC}" name="How much of the data was from direct samples?" dataCellStyle="Input select"/>
    <tableColumn id="5" xr3:uid="{7212BD6B-35BD-42D8-9F09-AB4A9E21E11E}" name="Notes" dataDxfId="104"/>
    <tableColumn id="6" xr3:uid="{ED8DEFB0-F672-4B94-8A8A-08E95B94F452}" name="Evidence files" dataDxfId="103"/>
    <tableColumn id="7" xr3:uid="{EAC77EB9-8A0A-47A3-953F-56CA1EDD9E53}"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730C67F-E882-4123-B8E3-AE2103E197F7}" name="Table_Input_DataQuality_FertiliserApplications" displayName="Table_Input_DataQuality_FertiliserApplications" ref="D55:J59" totalsRowShown="0" headerRowCellStyle="Input table column header">
  <autoFilter ref="D55:J59" xr:uid="{4730C67F-E882-4123-B8E3-AE2103E197F7}"/>
  <tableColumns count="7">
    <tableColumn id="1" xr3:uid="{48A9368D-67DB-49BE-ADF0-3ED3D6B6886D}" name="Data type" dataCellStyle="Content normal"/>
    <tableColumn id="2" xr3:uid="{95B12875-4F57-460D-AE75-4103EF22C913}" name="When was the data sourced?" dataCellStyle="Input select"/>
    <tableColumn id="3" xr3:uid="{0703985D-E427-4374-B543-83D0FAAE6508}" name="Where is the data sourced from?" dataCellStyle="Input select"/>
    <tableColumn id="4" xr3:uid="{F3E44A87-7F7D-45F0-9B3D-595F89897070}" name="How much of the data was from direct samples?" dataCellStyle="Input select"/>
    <tableColumn id="5" xr3:uid="{BB0AB219-76C5-4C07-8464-6A099FB6C087}" name="Notes" dataDxfId="102"/>
    <tableColumn id="6" xr3:uid="{55811535-8D98-416A-8E25-DF480443738D}" name="Evidence files" dataDxfId="101"/>
    <tableColumn id="7" xr3:uid="{8413E0FF-2043-42EC-A1B4-A58F9779C482}" name="Score" dataCellStyle="Input number general calculated">
      <calculatedColumnFormula>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BE9F5BC-0B36-44D3-B860-B92B81D8BE83}" name="Table_Input_DataQuality_FuelElectricity" displayName="Table_Input_DataQuality_FuelElectricity" ref="D64:J68" totalsRowShown="0" headerRowCellStyle="Input table column header">
  <autoFilter ref="D64:J68" xr:uid="{FBE9F5BC-0B36-44D3-B860-B92B81D8BE83}"/>
  <tableColumns count="7">
    <tableColumn id="1" xr3:uid="{2316B718-5991-48B1-B750-5D2A364EE140}" name="Data type" dataCellStyle="Content normal"/>
    <tableColumn id="2" xr3:uid="{52B081B7-B268-4C29-BBBD-2ABFDFCC78C6}" name="When was the data sourced?" dataCellStyle="Input select"/>
    <tableColumn id="3" xr3:uid="{7C9ED2CA-1AB5-4318-AE1E-18BB67F2312F}" name="Where is the data sourced from?" dataCellStyle="Input select"/>
    <tableColumn id="4" xr3:uid="{85CB9257-FE0E-414E-9925-9D7DF17DA6DB}" name="How much of the data was from direct samples?" dataCellStyle="Input select"/>
    <tableColumn id="5" xr3:uid="{8C5D46E1-460B-4C34-B936-B7340702FC8A}" name="Notes" dataDxfId="100"/>
    <tableColumn id="6" xr3:uid="{6B183878-5EA9-4AA1-88D9-695C68CB6713}" name="Evidence files" dataDxfId="99"/>
    <tableColumn id="7" xr3:uid="{59AFF1C5-72B9-4397-97DE-85D9ECCFD14B}"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2EB8271-BB65-4189-90A6-6F24041663B6}" name="Table_Input_DataQuality_FarmInputsFreightWaste" displayName="Table_Input_DataQuality_FarmInputsFreightWaste" ref="D74:J79" totalsRowShown="0" headerRowCellStyle="Input table column header">
  <autoFilter ref="D74:J79" xr:uid="{E2EB8271-BB65-4189-90A6-6F24041663B6}"/>
  <tableColumns count="7">
    <tableColumn id="1" xr3:uid="{1D368DF0-B2ED-4A41-9D9C-CF6BCABEFFB3}" name="Data type" dataCellStyle="Content normal"/>
    <tableColumn id="2" xr3:uid="{2D4AFB44-5300-46F3-9156-D8EDC1DE265E}" name="When was the data sourced?" dataCellStyle="Input select"/>
    <tableColumn id="3" xr3:uid="{A1D0BD11-9716-43AD-83B6-98340DEC6B6C}" name="Where is the data sourced from?" dataCellStyle="Input select"/>
    <tableColumn id="4" xr3:uid="{810B210E-D3DD-4C2B-B6F7-D7658FAC417A}" name="How much of the data was from direct samples?" dataCellStyle="Input select"/>
    <tableColumn id="5" xr3:uid="{CF709830-6D5F-4365-B6EA-2DD643D1C7D9}" name="Notes" dataDxfId="98"/>
    <tableColumn id="6" xr3:uid="{F475BD73-7F40-4FD8-8570-BB188E6B27D1}" name="Evidence files" dataDxfId="97"/>
    <tableColumn id="7" xr3:uid="{3CC20754-630A-403A-A4B8-AE12D211F244}"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4.bin"/><Relationship Id="rId5" Type="http://schemas.openxmlformats.org/officeDocument/2006/relationships/table" Target="../tables/table7.xml"/><Relationship Id="rId4"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7.bin"/><Relationship Id="rId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6.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7.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8.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9.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0.bin"/></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44.xml.rels><?xml version="1.0" encoding="UTF-8" standalone="yes"?>
<Relationships xmlns="http://schemas.openxmlformats.org/package/2006/relationships"><Relationship Id="rId8" Type="http://schemas.openxmlformats.org/officeDocument/2006/relationships/table" Target="../tables/table27.xml"/><Relationship Id="rId13" Type="http://schemas.openxmlformats.org/officeDocument/2006/relationships/table" Target="../tables/table32.xml"/><Relationship Id="rId3" Type="http://schemas.openxmlformats.org/officeDocument/2006/relationships/table" Target="../tables/table22.xml"/><Relationship Id="rId7" Type="http://schemas.openxmlformats.org/officeDocument/2006/relationships/table" Target="../tables/table26.xml"/><Relationship Id="rId12" Type="http://schemas.openxmlformats.org/officeDocument/2006/relationships/table" Target="../tables/table31.xml"/><Relationship Id="rId2" Type="http://schemas.openxmlformats.org/officeDocument/2006/relationships/table" Target="../tables/table21.xml"/><Relationship Id="rId16" Type="http://schemas.openxmlformats.org/officeDocument/2006/relationships/table" Target="../tables/table35.xml"/><Relationship Id="rId1" Type="http://schemas.openxmlformats.org/officeDocument/2006/relationships/table" Target="../tables/table20.xml"/><Relationship Id="rId6" Type="http://schemas.openxmlformats.org/officeDocument/2006/relationships/table" Target="../tables/table25.xml"/><Relationship Id="rId11" Type="http://schemas.openxmlformats.org/officeDocument/2006/relationships/table" Target="../tables/table30.xml"/><Relationship Id="rId5" Type="http://schemas.openxmlformats.org/officeDocument/2006/relationships/table" Target="../tables/table24.xml"/><Relationship Id="rId15" Type="http://schemas.openxmlformats.org/officeDocument/2006/relationships/table" Target="../tables/table34.xml"/><Relationship Id="rId10" Type="http://schemas.openxmlformats.org/officeDocument/2006/relationships/table" Target="../tables/table29.xml"/><Relationship Id="rId4" Type="http://schemas.openxmlformats.org/officeDocument/2006/relationships/table" Target="../tables/table23.xml"/><Relationship Id="rId9" Type="http://schemas.openxmlformats.org/officeDocument/2006/relationships/table" Target="../tables/table28.xml"/><Relationship Id="rId14" Type="http://schemas.openxmlformats.org/officeDocument/2006/relationships/table" Target="../tables/table33.xml"/></Relationships>
</file>

<file path=xl/worksheets/_rels/sheet45.xml.rels><?xml version="1.0" encoding="UTF-8" standalone="yes"?>
<Relationships xmlns="http://schemas.openxmlformats.org/package/2006/relationships"><Relationship Id="rId8" Type="http://schemas.openxmlformats.org/officeDocument/2006/relationships/table" Target="../tables/table42.xml"/><Relationship Id="rId3" Type="http://schemas.openxmlformats.org/officeDocument/2006/relationships/table" Target="../tables/table37.xml"/><Relationship Id="rId7" Type="http://schemas.openxmlformats.org/officeDocument/2006/relationships/table" Target="../tables/table41.xml"/><Relationship Id="rId2" Type="http://schemas.openxmlformats.org/officeDocument/2006/relationships/table" Target="../tables/table36.xml"/><Relationship Id="rId1" Type="http://schemas.openxmlformats.org/officeDocument/2006/relationships/printerSettings" Target="../printerSettings/printerSettings31.bin"/><Relationship Id="rId6" Type="http://schemas.openxmlformats.org/officeDocument/2006/relationships/table" Target="../tables/table40.xml"/><Relationship Id="rId5" Type="http://schemas.openxmlformats.org/officeDocument/2006/relationships/table" Target="../tables/table39.xml"/><Relationship Id="rId4" Type="http://schemas.openxmlformats.org/officeDocument/2006/relationships/table" Target="../tables/table38.xml"/><Relationship Id="rId9" Type="http://schemas.openxmlformats.org/officeDocument/2006/relationships/table" Target="../tables/table43.xml"/></Relationships>
</file>

<file path=xl/worksheets/_rels/sheet46.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printerSettings" Target="../printerSettings/printerSettings32.bin"/></Relationships>
</file>

<file path=xl/worksheets/_rels/sheet47.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table" Target="../tables/table45.xml"/></Relationships>
</file>

<file path=xl/worksheets/_rels/sheet48.xml.rels><?xml version="1.0" encoding="UTF-8" standalone="yes"?>
<Relationships xmlns="http://schemas.openxmlformats.org/package/2006/relationships"><Relationship Id="rId8" Type="http://schemas.openxmlformats.org/officeDocument/2006/relationships/table" Target="../tables/table53.xml"/><Relationship Id="rId3" Type="http://schemas.openxmlformats.org/officeDocument/2006/relationships/table" Target="../tables/table48.xml"/><Relationship Id="rId7" Type="http://schemas.openxmlformats.org/officeDocument/2006/relationships/table" Target="../tables/table52.xml"/><Relationship Id="rId12" Type="http://schemas.openxmlformats.org/officeDocument/2006/relationships/table" Target="../tables/table57.xml"/><Relationship Id="rId2" Type="http://schemas.openxmlformats.org/officeDocument/2006/relationships/table" Target="../tables/table47.xml"/><Relationship Id="rId1" Type="http://schemas.openxmlformats.org/officeDocument/2006/relationships/printerSettings" Target="../printerSettings/printerSettings33.bin"/><Relationship Id="rId6" Type="http://schemas.openxmlformats.org/officeDocument/2006/relationships/table" Target="../tables/table51.xml"/><Relationship Id="rId11" Type="http://schemas.openxmlformats.org/officeDocument/2006/relationships/table" Target="../tables/table56.xml"/><Relationship Id="rId5" Type="http://schemas.openxmlformats.org/officeDocument/2006/relationships/table" Target="../tables/table50.xml"/><Relationship Id="rId10" Type="http://schemas.openxmlformats.org/officeDocument/2006/relationships/table" Target="../tables/table55.xml"/><Relationship Id="rId4" Type="http://schemas.openxmlformats.org/officeDocument/2006/relationships/table" Target="../tables/table49.xml"/><Relationship Id="rId9" Type="http://schemas.openxmlformats.org/officeDocument/2006/relationships/table" Target="../tables/table54.xml"/></Relationships>
</file>

<file path=xl/worksheets/_rels/sheet49.xml.rels><?xml version="1.0" encoding="UTF-8" standalone="yes"?>
<Relationships xmlns="http://schemas.openxmlformats.org/package/2006/relationships"><Relationship Id="rId3" Type="http://schemas.openxmlformats.org/officeDocument/2006/relationships/table" Target="../tables/table60.xml"/><Relationship Id="rId7" Type="http://schemas.openxmlformats.org/officeDocument/2006/relationships/table" Target="../tables/table64.xml"/><Relationship Id="rId2" Type="http://schemas.openxmlformats.org/officeDocument/2006/relationships/table" Target="../tables/table59.xml"/><Relationship Id="rId1" Type="http://schemas.openxmlformats.org/officeDocument/2006/relationships/table" Target="../tables/table58.xml"/><Relationship Id="rId6" Type="http://schemas.openxmlformats.org/officeDocument/2006/relationships/table" Target="../tables/table63.xml"/><Relationship Id="rId5" Type="http://schemas.openxmlformats.org/officeDocument/2006/relationships/table" Target="../tables/table62.xml"/><Relationship Id="rId4" Type="http://schemas.openxmlformats.org/officeDocument/2006/relationships/table" Target="../tables/table61.xml"/></Relationships>
</file>

<file path=xl/worksheets/_rels/sheet50.xml.rels><?xml version="1.0" encoding="UTF-8" standalone="yes"?>
<Relationships xmlns="http://schemas.openxmlformats.org/package/2006/relationships"><Relationship Id="rId8" Type="http://schemas.openxmlformats.org/officeDocument/2006/relationships/table" Target="../tables/table72.xml"/><Relationship Id="rId13" Type="http://schemas.openxmlformats.org/officeDocument/2006/relationships/table" Target="../tables/table77.xml"/><Relationship Id="rId18" Type="http://schemas.openxmlformats.org/officeDocument/2006/relationships/table" Target="../tables/table82.xml"/><Relationship Id="rId26" Type="http://schemas.openxmlformats.org/officeDocument/2006/relationships/table" Target="../tables/table90.xml"/><Relationship Id="rId3" Type="http://schemas.openxmlformats.org/officeDocument/2006/relationships/table" Target="../tables/table67.xml"/><Relationship Id="rId21" Type="http://schemas.openxmlformats.org/officeDocument/2006/relationships/table" Target="../tables/table85.xml"/><Relationship Id="rId7" Type="http://schemas.openxmlformats.org/officeDocument/2006/relationships/table" Target="../tables/table71.xml"/><Relationship Id="rId12" Type="http://schemas.openxmlformats.org/officeDocument/2006/relationships/table" Target="../tables/table76.xml"/><Relationship Id="rId17" Type="http://schemas.openxmlformats.org/officeDocument/2006/relationships/table" Target="../tables/table81.xml"/><Relationship Id="rId25" Type="http://schemas.openxmlformats.org/officeDocument/2006/relationships/table" Target="../tables/table89.xml"/><Relationship Id="rId2" Type="http://schemas.openxmlformats.org/officeDocument/2006/relationships/table" Target="../tables/table66.xml"/><Relationship Id="rId16" Type="http://schemas.openxmlformats.org/officeDocument/2006/relationships/table" Target="../tables/table80.xml"/><Relationship Id="rId20" Type="http://schemas.openxmlformats.org/officeDocument/2006/relationships/table" Target="../tables/table84.xml"/><Relationship Id="rId29" Type="http://schemas.openxmlformats.org/officeDocument/2006/relationships/table" Target="../tables/table93.xml"/><Relationship Id="rId1" Type="http://schemas.openxmlformats.org/officeDocument/2006/relationships/table" Target="../tables/table65.xml"/><Relationship Id="rId6" Type="http://schemas.openxmlformats.org/officeDocument/2006/relationships/table" Target="../tables/table70.xml"/><Relationship Id="rId11" Type="http://schemas.openxmlformats.org/officeDocument/2006/relationships/table" Target="../tables/table75.xml"/><Relationship Id="rId24" Type="http://schemas.openxmlformats.org/officeDocument/2006/relationships/table" Target="../tables/table88.xml"/><Relationship Id="rId5" Type="http://schemas.openxmlformats.org/officeDocument/2006/relationships/table" Target="../tables/table69.xml"/><Relationship Id="rId15" Type="http://schemas.openxmlformats.org/officeDocument/2006/relationships/table" Target="../tables/table79.xml"/><Relationship Id="rId23" Type="http://schemas.openxmlformats.org/officeDocument/2006/relationships/table" Target="../tables/table87.xml"/><Relationship Id="rId28" Type="http://schemas.openxmlformats.org/officeDocument/2006/relationships/table" Target="../tables/table92.xml"/><Relationship Id="rId10" Type="http://schemas.openxmlformats.org/officeDocument/2006/relationships/table" Target="../tables/table74.xml"/><Relationship Id="rId19" Type="http://schemas.openxmlformats.org/officeDocument/2006/relationships/table" Target="../tables/table83.xml"/><Relationship Id="rId31" Type="http://schemas.openxmlformats.org/officeDocument/2006/relationships/table" Target="../tables/table95.xml"/><Relationship Id="rId4" Type="http://schemas.openxmlformats.org/officeDocument/2006/relationships/table" Target="../tables/table68.xml"/><Relationship Id="rId9" Type="http://schemas.openxmlformats.org/officeDocument/2006/relationships/table" Target="../tables/table73.xml"/><Relationship Id="rId14" Type="http://schemas.openxmlformats.org/officeDocument/2006/relationships/table" Target="../tables/table78.xml"/><Relationship Id="rId22" Type="http://schemas.openxmlformats.org/officeDocument/2006/relationships/table" Target="../tables/table86.xml"/><Relationship Id="rId27" Type="http://schemas.openxmlformats.org/officeDocument/2006/relationships/table" Target="../tables/table91.xml"/><Relationship Id="rId30" Type="http://schemas.openxmlformats.org/officeDocument/2006/relationships/table" Target="../tables/table94.xml"/></Relationships>
</file>

<file path=xl/worksheets/_rels/sheet51.xml.rels><?xml version="1.0" encoding="UTF-8" standalone="yes"?>
<Relationships xmlns="http://schemas.openxmlformats.org/package/2006/relationships"><Relationship Id="rId8" Type="http://schemas.openxmlformats.org/officeDocument/2006/relationships/table" Target="../tables/table102.xml"/><Relationship Id="rId13" Type="http://schemas.openxmlformats.org/officeDocument/2006/relationships/table" Target="../tables/table107.xml"/><Relationship Id="rId18" Type="http://schemas.openxmlformats.org/officeDocument/2006/relationships/table" Target="../tables/table112.xml"/><Relationship Id="rId3" Type="http://schemas.openxmlformats.org/officeDocument/2006/relationships/table" Target="../tables/table97.xml"/><Relationship Id="rId21" Type="http://schemas.openxmlformats.org/officeDocument/2006/relationships/table" Target="../tables/table115.xml"/><Relationship Id="rId7" Type="http://schemas.openxmlformats.org/officeDocument/2006/relationships/table" Target="../tables/table101.xml"/><Relationship Id="rId12" Type="http://schemas.openxmlformats.org/officeDocument/2006/relationships/table" Target="../tables/table106.xml"/><Relationship Id="rId17" Type="http://schemas.openxmlformats.org/officeDocument/2006/relationships/table" Target="../tables/table111.xml"/><Relationship Id="rId2" Type="http://schemas.openxmlformats.org/officeDocument/2006/relationships/table" Target="../tables/table96.xml"/><Relationship Id="rId16" Type="http://schemas.openxmlformats.org/officeDocument/2006/relationships/table" Target="../tables/table110.xml"/><Relationship Id="rId20" Type="http://schemas.openxmlformats.org/officeDocument/2006/relationships/table" Target="../tables/table114.xml"/><Relationship Id="rId1" Type="http://schemas.openxmlformats.org/officeDocument/2006/relationships/printerSettings" Target="../printerSettings/printerSettings34.bin"/><Relationship Id="rId6" Type="http://schemas.openxmlformats.org/officeDocument/2006/relationships/table" Target="../tables/table100.xml"/><Relationship Id="rId11" Type="http://schemas.openxmlformats.org/officeDocument/2006/relationships/table" Target="../tables/table105.xml"/><Relationship Id="rId5" Type="http://schemas.openxmlformats.org/officeDocument/2006/relationships/table" Target="../tables/table99.xml"/><Relationship Id="rId15" Type="http://schemas.openxmlformats.org/officeDocument/2006/relationships/table" Target="../tables/table109.xml"/><Relationship Id="rId10" Type="http://schemas.openxmlformats.org/officeDocument/2006/relationships/table" Target="../tables/table104.xml"/><Relationship Id="rId19" Type="http://schemas.openxmlformats.org/officeDocument/2006/relationships/table" Target="../tables/table113.xml"/><Relationship Id="rId4" Type="http://schemas.openxmlformats.org/officeDocument/2006/relationships/table" Target="../tables/table98.xml"/><Relationship Id="rId9" Type="http://schemas.openxmlformats.org/officeDocument/2006/relationships/table" Target="../tables/table103.xml"/><Relationship Id="rId14" Type="http://schemas.openxmlformats.org/officeDocument/2006/relationships/table" Target="../tables/table108.xml"/><Relationship Id="rId22" Type="http://schemas.openxmlformats.org/officeDocument/2006/relationships/table" Target="../tables/table116.xml"/></Relationships>
</file>

<file path=xl/worksheets/_rels/sheet53.xml.rels><?xml version="1.0" encoding="UTF-8" standalone="yes"?>
<Relationships xmlns="http://schemas.openxmlformats.org/package/2006/relationships"><Relationship Id="rId2" Type="http://schemas.openxmlformats.org/officeDocument/2006/relationships/table" Target="../tables/table117.xml"/><Relationship Id="rId1" Type="http://schemas.openxmlformats.org/officeDocument/2006/relationships/printerSettings" Target="../printerSettings/printerSettings35.bin"/></Relationships>
</file>

<file path=xl/worksheets/_rels/sheet54.xml.rels><?xml version="1.0" encoding="UTF-8" standalone="yes"?>
<Relationships xmlns="http://schemas.openxmlformats.org/package/2006/relationships"><Relationship Id="rId3" Type="http://schemas.openxmlformats.org/officeDocument/2006/relationships/table" Target="../tables/table120.xml"/><Relationship Id="rId2" Type="http://schemas.openxmlformats.org/officeDocument/2006/relationships/table" Target="../tables/table119.xml"/><Relationship Id="rId1" Type="http://schemas.openxmlformats.org/officeDocument/2006/relationships/table" Target="../tables/table118.xml"/><Relationship Id="rId4" Type="http://schemas.openxmlformats.org/officeDocument/2006/relationships/table" Target="../tables/table121.xml"/></Relationships>
</file>

<file path=xl/worksheets/_rels/sheet55.xml.rels><?xml version="1.0" encoding="UTF-8" standalone="yes"?>
<Relationships xmlns="http://schemas.openxmlformats.org/package/2006/relationships"><Relationship Id="rId3" Type="http://schemas.openxmlformats.org/officeDocument/2006/relationships/table" Target="../tables/table123.xml"/><Relationship Id="rId7" Type="http://schemas.openxmlformats.org/officeDocument/2006/relationships/table" Target="../tables/table127.xml"/><Relationship Id="rId2" Type="http://schemas.openxmlformats.org/officeDocument/2006/relationships/table" Target="../tables/table122.xml"/><Relationship Id="rId1" Type="http://schemas.openxmlformats.org/officeDocument/2006/relationships/printerSettings" Target="../printerSettings/printerSettings36.bin"/><Relationship Id="rId6" Type="http://schemas.openxmlformats.org/officeDocument/2006/relationships/table" Target="../tables/table126.xml"/><Relationship Id="rId5" Type="http://schemas.openxmlformats.org/officeDocument/2006/relationships/table" Target="../tables/table125.xml"/><Relationship Id="rId4" Type="http://schemas.openxmlformats.org/officeDocument/2006/relationships/table" Target="../tables/table124.xml"/></Relationships>
</file>

<file path=xl/worksheets/_rels/sheet57.xml.rels><?xml version="1.0" encoding="UTF-8" standalone="yes"?>
<Relationships xmlns="http://schemas.openxmlformats.org/package/2006/relationships"><Relationship Id="rId3" Type="http://schemas.openxmlformats.org/officeDocument/2006/relationships/table" Target="../tables/table130.xml"/><Relationship Id="rId7" Type="http://schemas.openxmlformats.org/officeDocument/2006/relationships/table" Target="../tables/table134.xml"/><Relationship Id="rId2" Type="http://schemas.openxmlformats.org/officeDocument/2006/relationships/table" Target="../tables/table129.xml"/><Relationship Id="rId1" Type="http://schemas.openxmlformats.org/officeDocument/2006/relationships/table" Target="../tables/table128.xml"/><Relationship Id="rId6" Type="http://schemas.openxmlformats.org/officeDocument/2006/relationships/table" Target="../tables/table133.xml"/><Relationship Id="rId5" Type="http://schemas.openxmlformats.org/officeDocument/2006/relationships/table" Target="../tables/table132.xml"/><Relationship Id="rId4" Type="http://schemas.openxmlformats.org/officeDocument/2006/relationships/table" Target="../tables/table1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68"/>
  <sheetViews>
    <sheetView zoomScaleNormal="100" workbookViewId="0">
      <pane xSplit="1" topLeftCell="B1" activePane="topRight" state="frozenSplit"/>
      <selection pane="topRight" activeCell="A67" sqref="A67"/>
    </sheetView>
  </sheetViews>
  <sheetFormatPr defaultRowHeight="15" x14ac:dyDescent="0.25"/>
  <cols>
    <col min="1" max="1" width="36.7109375" customWidth="1"/>
  </cols>
  <sheetData>
    <row r="1" spans="1:1" ht="25.5" x14ac:dyDescent="0.35">
      <c r="A1" s="10" t="e" vm="1">
        <v>#VALUE!</v>
      </c>
    </row>
    <row r="3" spans="1:1" ht="15.75" x14ac:dyDescent="0.25">
      <c r="A3" s="278" t="str">
        <f>HYPERLINK("#'Home'!A1", "Home")</f>
        <v>Home</v>
      </c>
    </row>
    <row r="4" spans="1:1" ht="15.75" x14ac:dyDescent="0.25">
      <c r="A4" s="5" t="str">
        <f>HYPERLINK("#'Results - Activity period'!A1", "Results - Activity period")</f>
        <v>Results - Activity period</v>
      </c>
    </row>
    <row r="5" spans="1:1" ht="15.75" x14ac:dyDescent="0.25">
      <c r="A5" s="5" t="str">
        <f>HYPERLINK("#'Results - Product EI'!A1", "Results - Product Emissions Intensity")</f>
        <v>Results - Product Emissions Intensity</v>
      </c>
    </row>
    <row r="6" spans="1:1" ht="15.75" x14ac:dyDescent="0.25">
      <c r="A6" s="5" t="str">
        <f>HYPERLINK("#'Results'!A1", "Results")</f>
        <v>Results</v>
      </c>
    </row>
    <row r="9" spans="1:1" x14ac:dyDescent="0.25">
      <c r="A9" s="7" t="s">
        <v>0</v>
      </c>
    </row>
    <row r="10" spans="1:1" ht="15.75" x14ac:dyDescent="0.25">
      <c r="A10" s="5" t="str">
        <f>HYPERLINK("#'Input - Enterprise'!A1", "Enterprise")</f>
        <v>Enterprise</v>
      </c>
    </row>
    <row r="11" spans="1:1" ht="15.75" x14ac:dyDescent="0.25">
      <c r="A11" s="5" t="str">
        <f>HYPERLINK("#'Input - Site'!A1", "Site")</f>
        <v>Site</v>
      </c>
    </row>
    <row r="12" spans="1:1" ht="15.75" x14ac:dyDescent="0.25">
      <c r="A12" s="5" t="str">
        <f>HYPERLINK("#'Input - Dairy'!A1", "Dairy")</f>
        <v>Dairy</v>
      </c>
    </row>
    <row r="13" spans="1:1" ht="15.75" x14ac:dyDescent="0.25">
      <c r="A13" s="5" t="str">
        <f>HYPERLINK("#'Input - Livestock sales'!A1", "Livestock sales")</f>
        <v>Livestock sales</v>
      </c>
    </row>
    <row r="14" spans="1:1" ht="15.75" x14ac:dyDescent="0.25">
      <c r="A14" s="5" t="str">
        <f>HYPERLINK("#'Input - Dairy cattle purchases'!A1", "Dairy cattle purchases")</f>
        <v>Dairy cattle purchases</v>
      </c>
    </row>
    <row r="15" spans="1:1" ht="15.75" x14ac:dyDescent="0.25">
      <c r="A15" s="5" t="str">
        <f>HYPERLINK("#'Input - Pasture'!A1", "Pasture")</f>
        <v>Pasture</v>
      </c>
    </row>
    <row r="16" spans="1:1" ht="15.75" x14ac:dyDescent="0.25">
      <c r="A16" s="5" t="str">
        <f>HYPERLINK("#'Input - Fert Prod System'!A1", "Fert Prod System")</f>
        <v>Fert Prod System</v>
      </c>
    </row>
    <row r="17" spans="1:1" ht="15.75" x14ac:dyDescent="0.25">
      <c r="A17" s="5" t="str">
        <f>HYPERLINK("#'Input - Fertiliser'!A1", "Fertiliser")</f>
        <v>Fertiliser</v>
      </c>
    </row>
    <row r="18" spans="1:1" ht="15.75" x14ac:dyDescent="0.25">
      <c r="A18" s="5" t="str">
        <f>HYPERLINK("#'Input - Fuel'!A1", "Fuel")</f>
        <v>Fuel</v>
      </c>
    </row>
    <row r="19" spans="1:1" ht="15.75" x14ac:dyDescent="0.25">
      <c r="A19" s="5" t="str">
        <f>HYPERLINK("#'Input - Electricity'!A1", "Electricity")</f>
        <v>Electricity</v>
      </c>
    </row>
    <row r="20" spans="1:1" ht="15.75" x14ac:dyDescent="0.25">
      <c r="A20" s="5" t="str">
        <f>HYPERLINK("#'Input - Common farm inputs'!A1", "Common farm inputs")</f>
        <v>Common farm inputs</v>
      </c>
    </row>
    <row r="21" spans="1:1" ht="15.75" x14ac:dyDescent="0.25">
      <c r="A21" s="5" t="str">
        <f>HYPERLINK("#'Input - Crop pasture farm input'!A1", "Crop pasture farm input")</f>
        <v>Crop pasture farm input</v>
      </c>
    </row>
    <row r="22" spans="1:1" ht="15.75" x14ac:dyDescent="0.25">
      <c r="A22" s="5" t="str">
        <f>HYPERLINK("#'Input - Livestock farm Inputs'!A1", "Livestock farm Inputs")</f>
        <v>Livestock farm Inputs</v>
      </c>
    </row>
    <row r="23" spans="1:1" ht="15.75" x14ac:dyDescent="0.25">
      <c r="A23" s="5" t="str">
        <f>HYPERLINK("#'Input - Freight'!A1", "Freight")</f>
        <v>Freight</v>
      </c>
    </row>
    <row r="24" spans="1:1" ht="15.75" x14ac:dyDescent="0.25">
      <c r="A24" s="5" t="str">
        <f>HYPERLINK("#'Input - Solid waste'!A1", "Solid waste")</f>
        <v>Solid waste</v>
      </c>
    </row>
    <row r="25" spans="1:1" ht="15.75" x14ac:dyDescent="0.25">
      <c r="A25" s="5" t="str">
        <f>HYPERLINK("#'Input - Manure sent off-site'!A1", "Manure sent off-site")</f>
        <v>Manure sent off-site</v>
      </c>
    </row>
    <row r="26" spans="1:1" ht="15.75" x14ac:dyDescent="0.25">
      <c r="A26" s="5" t="str">
        <f>HYPERLINK("#'Input - Refrigerants'!A1", "Refrigerants")</f>
        <v>Refrigerants</v>
      </c>
    </row>
    <row r="27" spans="1:1" ht="15.75" x14ac:dyDescent="0.25">
      <c r="A27" s="5" t="str">
        <f>HYPERLINK("#'Input - Data quality'!A1", "Data quality")</f>
        <v>Data quality</v>
      </c>
    </row>
    <row r="30" spans="1:1" x14ac:dyDescent="0.25">
      <c r="A30" s="6" t="s">
        <v>2</v>
      </c>
    </row>
    <row r="31" spans="1:1" ht="15.75" x14ac:dyDescent="0.25">
      <c r="A31" s="5" t="str">
        <f>HYPERLINK("#'3.3.1.1-2 Enteric Methane'!A1", "3.3.1.1-2 Enteric methane")</f>
        <v>3.3.1.1-2 Enteric methane</v>
      </c>
    </row>
    <row r="32" spans="1:1" ht="15.75" x14ac:dyDescent="0.25">
      <c r="A32" s="5" t="str">
        <f>HYPERLINK("#'4.3.1.1-2 Methane'!A1", "4.3.1.1-2 Manure methane")</f>
        <v>4.3.1.1-2 Manure methane</v>
      </c>
    </row>
    <row r="33" spans="1:1" ht="15.75" x14ac:dyDescent="0.25">
      <c r="A33" s="5" t="str">
        <f>HYPERLINK("#'4.3.1.3-4 Direct N20'!A1", "4.3.1.3-4 Direct N20")</f>
        <v>4.3.1.3-4 Direct N20</v>
      </c>
    </row>
    <row r="34" spans="1:1" ht="15.75" x14ac:dyDescent="0.25">
      <c r="A34" s="5" t="str">
        <f>HYPERLINK("#'4.3.1.5 Atmos deposition'!A1", "4.3.1.5 Atmos deposition")</f>
        <v>4.3.1.5 Atmos deposition</v>
      </c>
    </row>
    <row r="35" spans="1:1" ht="15.75" x14ac:dyDescent="0.25">
      <c r="A35" s="5" t="str">
        <f>HYPERLINK("#'4.3.1.6-7 Leaching and runoff'!A1", "4.3.1.6-7 Leaching &amp; runoff")</f>
        <v>4.3.1.6-7 Leaching &amp; runoff</v>
      </c>
    </row>
    <row r="36" spans="1:1" ht="15.75" x14ac:dyDescent="0.25">
      <c r="A36" s="5" t="str">
        <f>HYPERLINK("#'4.3.1.8 Manure applied to soils'!A1", "4.3.1.8 Manure applied to soils")</f>
        <v>4.3.1.8 Manure applied to soils</v>
      </c>
    </row>
    <row r="37" spans="1:1" ht="15.75" x14ac:dyDescent="0.25">
      <c r="A37" s="5" t="str">
        <f>HYPERLINK("#'4.3.1.9 Soil direct N2O'!A1", "4.3.1.9 Soil direct N2O")</f>
        <v>4.3.1.9 Soil direct N2O</v>
      </c>
    </row>
    <row r="38" spans="1:1" ht="15.75" x14ac:dyDescent="0.25">
      <c r="A38" s="5" t="str">
        <f>HYPERLINK("#'4.3.1.10-11 Soil Atmos Dep'!A1", "4.3.1.10-11 Soil Atmos Deposition")</f>
        <v>4.3.1.10-11 Soil Atmos Deposition</v>
      </c>
    </row>
    <row r="39" spans="1:1" ht="15.75" x14ac:dyDescent="0.25">
      <c r="A39" s="5" t="str">
        <f>HYPERLINK("#'4.3.1.12-13 Soil leach runoff'!A1", "4.3.1.12-13 Soil leach &amp; runoff")</f>
        <v>4.3.1.12-13 Soil leach &amp; runoff</v>
      </c>
    </row>
    <row r="40" spans="1:1" ht="15.75" x14ac:dyDescent="0.25">
      <c r="A40" s="5" t="str">
        <f>HYPERLINK("#'5.1.1.1-2 Inorganic fert N2O'!A1", "5.1.1.1-2 Inorganic fert N2O")</f>
        <v>5.1.1.1-2 Inorganic fert N2O</v>
      </c>
    </row>
    <row r="41" spans="1:1" ht="15.75" x14ac:dyDescent="0.25">
      <c r="A41" s="5" t="str">
        <f>HYPERLINK("#'5.1.1.3-4 Inorganic fert CO2'!A1", "5.1.1.3-4 Inorganic fert CO2")</f>
        <v>5.1.1.3-4 Inorganic fert CO2</v>
      </c>
    </row>
    <row r="42" spans="1:1" ht="15.75" x14ac:dyDescent="0.25">
      <c r="A42" s="5" t="str">
        <f>HYPERLINK("#'5.2.1.1-2 Organic Fert N2O'!A1", "5.2.1.1-2 Organic fert N2O")</f>
        <v>5.2.1.1-2 Organic fert N2O</v>
      </c>
    </row>
    <row r="43" spans="1:1" ht="15.75" x14ac:dyDescent="0.25">
      <c r="A43" s="5" t="str">
        <f>HYPERLINK("#'5.3.1.1-2 Lime CO2'!A1", "5.3.1.1-2 Lime CO2")</f>
        <v>5.3.1.1-2 Lime CO2</v>
      </c>
    </row>
    <row r="44" spans="1:1" ht="15.75" x14ac:dyDescent="0.25">
      <c r="A44" s="5" t="str">
        <f>HYPERLINK("#'5.4.1.1-4 Atmos deposition'!A1", "5.4.1.1-4 Atmos. deposition")</f>
        <v>5.4.1.1-4 Atmos. deposition</v>
      </c>
    </row>
    <row r="45" spans="1:1" ht="15.75" x14ac:dyDescent="0.25">
      <c r="A45" s="5" t="str">
        <f>HYPERLINK("#'5.5.1.1-2 Leaching and runoff'!A1", "5.5.1.1-2 Leaching &amp; runoff")</f>
        <v>5.5.1.1-2 Leaching &amp; runoff</v>
      </c>
    </row>
    <row r="46" spans="1:1" ht="15.75" x14ac:dyDescent="0.25">
      <c r="A46" s="5" t="str">
        <f>HYPERLINK("#'6.2.1.1-2 Pasture residue N2O'!A1", "6.2.1.1-2 Pasture residue N2O")</f>
        <v>6.2.1.1-2 Pasture residue N2O</v>
      </c>
    </row>
    <row r="47" spans="1:1" ht="15.75" x14ac:dyDescent="0.25">
      <c r="A47" s="5" t="str">
        <f>HYPERLINK("#'6.3.1.1-2 Leach runoff pasture'!A1", "6.3.1.1-2 Leach &amp; runoff (pasture)")</f>
        <v>6.3.1.1-2 Leach &amp; runoff (pasture)</v>
      </c>
    </row>
    <row r="48" spans="1:1" ht="15.75" x14ac:dyDescent="0.25">
      <c r="A48" s="5" t="str">
        <f>HYPERLINK("#'8.1.1.1-2 Transport fuel'!A1", "8.1.1.1-2 Transport fuel")</f>
        <v>8.1.1.1-2 Transport fuel</v>
      </c>
    </row>
    <row r="49" spans="1:1" ht="15.75" x14ac:dyDescent="0.25">
      <c r="A49" s="5" t="str">
        <f>HYPERLINK("#'8.2.1.1-2 Stationary fuel'!A1", "8.2.1.1-2 Stationary fuel")</f>
        <v>8.2.1.1-2 Stationary fuel</v>
      </c>
    </row>
    <row r="50" spans="1:1" ht="15.75" x14ac:dyDescent="0.25">
      <c r="A50" s="5" t="str">
        <f>HYPERLINK("#'9.1.1.1-2 Refrigerant use'!A1", "9.1.1.1-2 Refrigerant use")</f>
        <v>9.1.1.1-2 Refrigerant use</v>
      </c>
    </row>
    <row r="51" spans="1:1" ht="15.75" x14ac:dyDescent="0.25">
      <c r="A51" s="5" t="str">
        <f>HYPERLINK("#'10.1.1-2 Solid waste treatment'!A1", "10.1.1.1-2 Solid waste")</f>
        <v>10.1.1.1-2 Solid waste</v>
      </c>
    </row>
    <row r="52" spans="1:1" ht="15.75" x14ac:dyDescent="0.25">
      <c r="A52" s="5" t="str">
        <f>HYPERLINK("#'14.1.1-2 Purchased electricity'!A1", "14.1.1-2 Purchased electricity")</f>
        <v>14.1.1-2 Purchased electricity</v>
      </c>
    </row>
    <row r="53" spans="1:1" ht="15.75" x14ac:dyDescent="0.25">
      <c r="A53" s="5" t="str">
        <f>HYPERLINK("#'15 Scope 3'!A1", "15 Scope 3")</f>
        <v>15 Scope 3</v>
      </c>
    </row>
    <row r="54" spans="1:1" ht="15.75" x14ac:dyDescent="0.25">
      <c r="A54" s="5" t="str">
        <f>HYPERLINK("#'Calcs - Manure sent off-site'!A1", "Calcs - Manure sent off-site")</f>
        <v>Calcs - Manure sent off-site</v>
      </c>
    </row>
    <row r="57" spans="1:1" x14ac:dyDescent="0.25">
      <c r="A57" s="82" t="s">
        <v>1</v>
      </c>
    </row>
    <row r="58" spans="1:1" ht="15.75" x14ac:dyDescent="0.25">
      <c r="A58" s="5" t="str">
        <f>HYPERLINK("#'Constants - Dairy'!A1", "Constants - Dairy")</f>
        <v>Constants - Dairy</v>
      </c>
    </row>
    <row r="59" spans="1:1" ht="15.75" x14ac:dyDescent="0.25">
      <c r="A59" s="5" t="str">
        <f>HYPERLINK("#'Constants - Ag Residue'!A1", "Constants - Ag residue")</f>
        <v>Constants - Ag residue</v>
      </c>
    </row>
    <row r="60" spans="1:1" ht="15.75" x14ac:dyDescent="0.25">
      <c r="A60" s="5" t="str">
        <f>HYPERLINK("#'Constants - Common Livestock'!A1", "Constants - Common Livestock")</f>
        <v>Constants - Common Livestock</v>
      </c>
    </row>
    <row r="61" spans="1:1" ht="15.75" x14ac:dyDescent="0.25">
      <c r="A61" s="5" t="str">
        <f>HYPERLINK("#'Constants - Electricity'!A1", "Constants - Electricity")</f>
        <v>Constants - Electricity</v>
      </c>
    </row>
    <row r="62" spans="1:1" ht="15.75" x14ac:dyDescent="0.25">
      <c r="A62" s="5" t="str">
        <f>HYPERLINK("#'Constants - Fertiliser'!A1", "Constants - Fertiliser")</f>
        <v>Constants - Fertiliser</v>
      </c>
    </row>
    <row r="63" spans="1:1" ht="15.75" x14ac:dyDescent="0.25">
      <c r="A63" s="5" t="str">
        <f>HYPERLINK("#'Constants - Fuel'!A1", "Constants - Fuel")</f>
        <v>Constants - Fuel</v>
      </c>
    </row>
    <row r="64" spans="1:1" ht="15.75" x14ac:dyDescent="0.25">
      <c r="A64" s="5" t="str">
        <f>HYPERLINK("#'Constants - Scope 3'!A1", "Constants - Scope 3")</f>
        <v>Constants - Scope 3</v>
      </c>
    </row>
    <row r="65" spans="1:1" ht="15.75" x14ac:dyDescent="0.25">
      <c r="A65" s="5" t="str">
        <f>HYPERLINK("#'Constants - Common'!A1", "Constants - Common")</f>
        <v>Constants - Common</v>
      </c>
    </row>
    <row r="66" spans="1:1" ht="15.75" x14ac:dyDescent="0.25">
      <c r="A66" s="5" t="str">
        <f>HYPERLINK("#'Constants - Refrigerants'!A1", "Constants - Refrigerants")</f>
        <v>Constants - Refrigerants</v>
      </c>
    </row>
    <row r="67" spans="1:1" ht="15.75" x14ac:dyDescent="0.25">
      <c r="A67" s="5" t="str">
        <f>HYPERLINK("#'Constants - Solid Waste'!A1", "Constants - Solid Waste")</f>
        <v>Constants - Solid Waste</v>
      </c>
    </row>
    <row r="68" spans="1:1" ht="15.75" x14ac:dyDescent="0.25">
      <c r="A68"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3"/>
  <sheetViews>
    <sheetView showGridLines="0" zoomScaleNormal="100" workbookViewId="0">
      <pane xSplit="1" topLeftCell="B1" activePane="topRight" state="frozenSplit"/>
      <selection pane="topRight" activeCell="A18" sqref="A18"/>
    </sheetView>
  </sheetViews>
  <sheetFormatPr defaultRowHeight="15.75" x14ac:dyDescent="0.25"/>
  <cols>
    <col min="1" max="1" width="36.7109375" customWidth="1"/>
    <col min="2" max="2" width="2.7109375" customWidth="1"/>
    <col min="3" max="3" width="2.7109375" style="1" customWidth="1"/>
    <col min="4" max="4" width="78.42578125" style="1" customWidth="1"/>
    <col min="5" max="10" width="30.7109375" style="1" customWidth="1"/>
    <col min="11" max="11" width="7.42578125" style="1" customWidth="1"/>
    <col min="12" max="26" width="28.7109375" customWidth="1"/>
  </cols>
  <sheetData>
    <row r="1" spans="1:11" ht="30" customHeight="1" x14ac:dyDescent="0.35">
      <c r="A1" s="10" t="e" vm="1">
        <v>#VALUE!</v>
      </c>
      <c r="C1" s="84" t="s">
        <v>238</v>
      </c>
      <c r="D1" s="84"/>
      <c r="E1" s="84"/>
      <c r="F1" s="84"/>
      <c r="G1" s="84"/>
      <c r="H1" s="84"/>
      <c r="I1" s="84"/>
      <c r="J1" s="84"/>
      <c r="K1" s="84"/>
    </row>
    <row r="2" spans="1:11" s="3" customFormat="1" ht="20.100000000000001" customHeight="1" x14ac:dyDescent="0.25">
      <c r="A2"/>
    </row>
    <row r="3" spans="1:11" ht="20.100000000000001" customHeight="1" x14ac:dyDescent="0.25">
      <c r="A3" s="5" t="str">
        <f>HYPERLINK("#'Home'!A1", "Home")</f>
        <v>Home</v>
      </c>
      <c r="C3" s="11"/>
      <c r="D3" s="11"/>
      <c r="E3" s="11"/>
      <c r="F3" s="11"/>
      <c r="G3" s="11"/>
      <c r="H3" s="11"/>
      <c r="I3" s="11"/>
      <c r="J3" s="11"/>
      <c r="K3" s="11"/>
    </row>
    <row r="4" spans="1:11" ht="20.100000000000001" customHeight="1" x14ac:dyDescent="0.25">
      <c r="A4" s="278" t="str">
        <f>HYPERLINK("#'Results - Activity period'!A1", "Results - Activity period")</f>
        <v>Results - Activity period</v>
      </c>
    </row>
    <row r="5" spans="1:11" ht="20.100000000000001" customHeight="1" x14ac:dyDescent="0.25">
      <c r="A5" s="5" t="str">
        <f>HYPERLINK("#'Results - Product EI'!A1", "Results - Product Emissions Intensity")</f>
        <v>Results - Product Emissions Intensity</v>
      </c>
      <c r="D5" s="2" t="str">
        <f>"Emissions breakdown for activities running between " &amp; TEXT(X_Cell_Site_StartDate, "dd mmmm yyyy") &amp; " and " &amp; TEXT('Input - Enterprise'!E13, "dd mmmm yyyy")</f>
        <v>Emissions breakdown for activities running between 01 January 2024 and 31 December 2024</v>
      </c>
    </row>
    <row r="6" spans="1:11" ht="20.100000000000001" customHeight="1" x14ac:dyDescent="0.25">
      <c r="A6" s="5" t="str">
        <f>HYPERLINK("#'Results'!A1", "Results")</f>
        <v>Results</v>
      </c>
    </row>
    <row r="7" spans="1:11" ht="20.100000000000001" customHeight="1" x14ac:dyDescent="0.25">
      <c r="D7" s="78" t="s">
        <v>239</v>
      </c>
    </row>
    <row r="8" spans="1:11" ht="20.100000000000001" customHeight="1" x14ac:dyDescent="0.25"/>
    <row r="9" spans="1:11" ht="20.100000000000001" customHeight="1" x14ac:dyDescent="0.25">
      <c r="A9" s="7" t="s">
        <v>0</v>
      </c>
      <c r="D9" s="11" t="s">
        <v>3</v>
      </c>
      <c r="E9" s="11" t="s">
        <v>7</v>
      </c>
      <c r="F9" s="11" t="s">
        <v>8</v>
      </c>
      <c r="G9" s="11" t="s">
        <v>4</v>
      </c>
      <c r="H9" s="11" t="s">
        <v>9</v>
      </c>
      <c r="I9" s="11" t="s">
        <v>10</v>
      </c>
      <c r="J9" s="11"/>
    </row>
    <row r="10" spans="1:11" ht="20.100000000000001" customHeight="1" x14ac:dyDescent="0.25">
      <c r="A10" s="5" t="str">
        <f>HYPERLINK("#'Input - Enterprise'!A1", "Enterprise")</f>
        <v>Enterprise</v>
      </c>
      <c r="D10" s="1" t="s">
        <v>164</v>
      </c>
      <c r="E10" s="1" cm="1">
        <f t="array" ref="E10">VEERG_3_3_1_1__1_TotalAnnualMethaneFromEntericFermentationVariation_Result_Method1</f>
        <v>32.464682683989999</v>
      </c>
      <c r="F10" s="1" cm="1">
        <f t="array" ref="F10">VEERG_3_3_1_1__1_TotalAnnualMethaneFromEntericFermentationVariation_Result_Method2</f>
        <v>32.464682683989999</v>
      </c>
      <c r="G10" s="9" t="s">
        <v>5</v>
      </c>
      <c r="H10" s="1" cm="1">
        <f t="array" ref="H10">Common_Equations.Common_ConvertCH4ToCO2e(E10,_xlfn.XLOOKUP("CH4", Table_GWPData[Gas],Table_GWPData[CO2-e factor]))</f>
        <v>909.01111515171999</v>
      </c>
      <c r="I10" s="1" cm="1">
        <f t="array" ref="I10">Common_Equations.Common_ConvertCH4ToCO2e(F10,_xlfn.XLOOKUP("CH4", Table_GWPData[Gas],Table_GWPData[CO2-e factor]))</f>
        <v>909.01111515171999</v>
      </c>
      <c r="J10" s="9" t="s">
        <v>6</v>
      </c>
    </row>
    <row r="11" spans="1:11" ht="20.100000000000001" customHeight="1" x14ac:dyDescent="0.25">
      <c r="A11" s="5" t="str">
        <f>HYPERLINK("#'Input - Site'!A1", "Site")</f>
        <v>Site</v>
      </c>
      <c r="D11" s="1" t="s">
        <v>165</v>
      </c>
      <c r="E11" s="1" cm="1">
        <f t="array" aca="1" ref="E11" ca="1">VEERG_4_3_1_1__1_TotalAnnualMethaneFromManureManagement_Result_Method1</f>
        <v>10.314345551795777</v>
      </c>
      <c r="F11" s="1" cm="1">
        <f t="array" aca="1" ref="F11" ca="1">VEERG_4_3_1_1__1_TotalAnnualMethaneFromManureManagement_Result_Method2</f>
        <v>10.64070664267806</v>
      </c>
      <c r="G11" s="9" t="s">
        <v>5</v>
      </c>
      <c r="H11" s="1" cm="1">
        <f t="array" aca="1" ref="H11" ca="1">Common_Equations.Common_ConvertCH4ToCO2e(E11,_xlfn.XLOOKUP("CH4", Table_GWPData[Gas],Table_GWPData[CO2-e factor]))</f>
        <v>288.80167545028172</v>
      </c>
      <c r="I11" s="1" cm="1">
        <f t="array" aca="1" ref="I11" ca="1">Common_Equations.Common_ConvertCH4ToCO2e(F11,_xlfn.XLOOKUP("CH4", Table_GWPData[Gas],Table_GWPData[CO2-e factor]))</f>
        <v>297.9397859949857</v>
      </c>
      <c r="J11" s="9" t="s">
        <v>6</v>
      </c>
    </row>
    <row r="12" spans="1:11" ht="20.100000000000001" customHeight="1" x14ac:dyDescent="0.25">
      <c r="A12" s="5" t="str">
        <f>HYPERLINK("#'Input - Dairy'!A1", "Dairy")</f>
        <v>Dairy</v>
      </c>
      <c r="D12" s="1" t="s">
        <v>166</v>
      </c>
      <c r="E12" s="1" cm="1">
        <f t="array" ref="E12">VEERG_4_3_1_3__1_TotalAnnualDirectNitrousOxideEmissionsFromMMS_Result_Method1</f>
        <v>5.8975625860183567E-2</v>
      </c>
      <c r="F12" s="1" cm="1">
        <f t="array" ref="F12">VEERG_4_3_1_3__1_TotalAnnualDirectNitrousOxideEmissionsFromMMS_Result_Method2</f>
        <v>5.8975625860183567E-2</v>
      </c>
      <c r="G12" s="9" t="s">
        <v>11</v>
      </c>
      <c r="H12" s="1" cm="1">
        <f t="array" ref="H12">Common_Equations.Common_ConvertN2OToCO2e(E12,_xlfn.XLOOKUP("N2O", Table_GWPData[Gas],Table_GWPData[CO2-e factor]))</f>
        <v>15.628540852948646</v>
      </c>
      <c r="I12" s="1" cm="1">
        <f t="array" ref="I12">Common_Equations.Common_ConvertN2OToCO2e(F12,_xlfn.XLOOKUP("N2O", Table_GWPData[Gas],Table_GWPData[CO2-e factor]))</f>
        <v>15.628540852948646</v>
      </c>
      <c r="J12" s="9" t="s">
        <v>6</v>
      </c>
    </row>
    <row r="13" spans="1:11" ht="20.100000000000001" customHeight="1" x14ac:dyDescent="0.25">
      <c r="A13" s="5" t="str">
        <f>HYPERLINK("#'Input - Livestock sales'!A1", "Livestock sales")</f>
        <v>Livestock sales</v>
      </c>
      <c r="D13" s="1" t="s">
        <v>167</v>
      </c>
      <c r="E13" s="1" cm="1">
        <f t="array" ref="E13">VEERG_4_3_1_5__1_AnnualAtmosphericDepositionEmissionsFromMMS_Result_Method1</f>
        <v>4.7299753181434263E-2</v>
      </c>
      <c r="F13" s="1" cm="1">
        <f t="array" ref="F13">VEERG_4_3_1_5__1_AnnualAtmosphericDepositionEmissionsFromMMS_Result_Method2</f>
        <v>4.7299753181434263E-2</v>
      </c>
      <c r="G13" s="9" t="s">
        <v>11</v>
      </c>
      <c r="H13" s="1" cm="1">
        <f t="array" ref="H13">Common_Equations.Common_ConvertN2OToCO2e(E13,_xlfn.XLOOKUP("N2O", Table_GWPData[Gas],Table_GWPData[CO2-e factor]))</f>
        <v>12.53443459308008</v>
      </c>
      <c r="I13" s="1" cm="1">
        <f t="array" ref="I13">Common_Equations.Common_ConvertN2OToCO2e(F13,_xlfn.XLOOKUP("N2O", Table_GWPData[Gas],Table_GWPData[CO2-e factor]))</f>
        <v>12.53443459308008</v>
      </c>
      <c r="J13" s="9" t="s">
        <v>6</v>
      </c>
    </row>
    <row r="14" spans="1:11" ht="20.100000000000001" customHeight="1" x14ac:dyDescent="0.25">
      <c r="A14" s="5" t="str">
        <f>HYPERLINK("#'Input - Dairy cattle purchases'!A1", "Dairy cattle purchases")</f>
        <v>Dairy cattle purchases</v>
      </c>
      <c r="D14" s="1" t="s">
        <v>168</v>
      </c>
      <c r="E14" s="1" cm="1">
        <f t="array" ref="E14">VEERG_4_3_1_6__1_AnnualEmissionsFromLeachingAndRunoffFromMMS_Result_Method1</f>
        <v>2.5949275378480772E-3</v>
      </c>
      <c r="F14" s="1" cm="1">
        <f t="array" ref="F14">VEERG_4_3_1_6__1_AnnualEmissionsFromLeachingAndRunoffFromMMS_Result_Method2</f>
        <v>2.5949275378480772E-3</v>
      </c>
      <c r="G14" s="9" t="s">
        <v>11</v>
      </c>
      <c r="H14" s="1" cm="1">
        <f t="array" ref="H14">Common_Equations.Common_ConvertN2OToCO2e(E14,_xlfn.XLOOKUP("N2O", Table_GWPData[Gas],Table_GWPData[CO2-e factor]))</f>
        <v>0.68765579752974049</v>
      </c>
      <c r="I14" s="1" cm="1">
        <f t="array" ref="I14">Common_Equations.Common_ConvertN2OToCO2e(F14,_xlfn.XLOOKUP("N2O", Table_GWPData[Gas],Table_GWPData[CO2-e factor]))</f>
        <v>0.68765579752974049</v>
      </c>
      <c r="J14" s="9" t="s">
        <v>6</v>
      </c>
    </row>
    <row r="15" spans="1:11" ht="20.100000000000001" customHeight="1" x14ac:dyDescent="0.25">
      <c r="A15" s="5" t="str">
        <f>HYPERLINK("#'Input - Pasture'!A1", "Pasture")</f>
        <v>Pasture</v>
      </c>
      <c r="D15" s="1" t="s">
        <v>169</v>
      </c>
      <c r="E15" s="1" cm="1">
        <f t="array" ref="E15">VEERG_4_3_1_9__1_DirectNitrousOxideEmissionsOnPasture_Result_Method1</f>
        <v>7.4716451267705888E-2</v>
      </c>
      <c r="F15" s="1" cm="1">
        <f t="array" ref="F15">VEERG_4_3_1_9__1_DirectNitrousOxideEmissionsOnPasture_Result_Method2</f>
        <v>7.4716451267705888E-2</v>
      </c>
      <c r="G15" s="9" t="s">
        <v>11</v>
      </c>
      <c r="H15" s="1" cm="1">
        <f t="array" ref="H15">Common_Equations.Common_ConvertN2OToCO2e(E15,_xlfn.XLOOKUP("N2O", Table_GWPData[Gas],Table_GWPData[CO2-e factor]))</f>
        <v>19.799859585942059</v>
      </c>
      <c r="I15" s="1" cm="1">
        <f t="array" ref="I15">Common_Equations.Common_ConvertN2OToCO2e(F15,_xlfn.XLOOKUP("N2O", Table_GWPData[Gas],Table_GWPData[CO2-e factor]))</f>
        <v>19.799859585942059</v>
      </c>
      <c r="J15" s="9" t="s">
        <v>6</v>
      </c>
    </row>
    <row r="16" spans="1:11" ht="20.100000000000001" customHeight="1" x14ac:dyDescent="0.25">
      <c r="A16" s="5" t="str">
        <f>HYPERLINK("#'Input - Fert Prod System'!A1", "Fert Prod System")</f>
        <v>Fert Prod System</v>
      </c>
      <c r="D16" s="1" t="s">
        <v>170</v>
      </c>
      <c r="E16" s="1" cm="1">
        <f t="array" ref="E16">VEERG_4_3_1_10__1_AtmosphericDepositionEmissionsFromUrineAndDungOnPasture_Result_Method1</f>
        <v>4.6286841560343794E-2</v>
      </c>
      <c r="F16" s="1" cm="1">
        <f t="array" ref="F16">VEERG_4_3_1_10__1_AtmosphericDepositionEmissionsFromUrineAndDungOnPasture_Result_Method2</f>
        <v>4.6286841560343794E-2</v>
      </c>
      <c r="G16" s="9" t="s">
        <v>11</v>
      </c>
      <c r="H16" s="1" cm="1">
        <f t="array" ref="H16">Common_Equations.Common_ConvertN2OToCO2e(E16,_xlfn.XLOOKUP("N2O", Table_GWPData[Gas],Table_GWPData[CO2-e factor]))</f>
        <v>12.266013013491106</v>
      </c>
      <c r="I16" s="1" cm="1">
        <f t="array" ref="I16">Common_Equations.Common_ConvertN2OToCO2e(F16,_xlfn.XLOOKUP("N2O", Table_GWPData[Gas],Table_GWPData[CO2-e factor]))</f>
        <v>12.266013013491106</v>
      </c>
      <c r="J16" s="9" t="s">
        <v>6</v>
      </c>
    </row>
    <row r="17" spans="1:10" ht="20.100000000000001" customHeight="1" x14ac:dyDescent="0.25">
      <c r="A17" s="5" t="str">
        <f>HYPERLINK("#'Input - Fertiliser'!A1", "Fertiliser")</f>
        <v>Fertiliser</v>
      </c>
      <c r="D17" s="1" t="s">
        <v>171</v>
      </c>
      <c r="E17" s="1" cm="1">
        <f t="array" ref="E17">VEERG_4_3_1_12__1_LeachingAndRunoffEmissionsFromUrineAndDungOnPasture_Result_Method1</f>
        <v>9.8625715673371778E-2</v>
      </c>
      <c r="F17" s="1" cm="1">
        <f t="array" ref="F17">VEERG_4_3_1_12__1_LeachingAndRunoffEmissionsFromUrineAndDungOnPasture_Result_Method2</f>
        <v>9.8625715673371778E-2</v>
      </c>
      <c r="G17" s="9" t="s">
        <v>11</v>
      </c>
      <c r="H17" s="1" cm="1">
        <f t="array" ref="H17">Common_Equations.Common_ConvertN2OToCO2e(E17,_xlfn.XLOOKUP("N2O", Table_GWPData[Gas],Table_GWPData[CO2-e factor]))</f>
        <v>26.135814653443521</v>
      </c>
      <c r="I17" s="1" cm="1">
        <f t="array" ref="I17">Common_Equations.Common_ConvertN2OToCO2e(F17,_xlfn.XLOOKUP("N2O", Table_GWPData[Gas],Table_GWPData[CO2-e factor]))</f>
        <v>26.135814653443521</v>
      </c>
      <c r="J17" s="9" t="s">
        <v>6</v>
      </c>
    </row>
    <row r="18" spans="1:10" ht="20.100000000000001" customHeight="1" x14ac:dyDescent="0.25">
      <c r="A18" s="5" t="str">
        <f>HYPERLINK("#'Input - Fuel'!A1", "Fuel")</f>
        <v>Fuel</v>
      </c>
      <c r="D18" s="1" t="s">
        <v>132</v>
      </c>
      <c r="E18" s="1" cm="1">
        <f t="array" ref="E18">VEERG_5_1_1_1__1_InorganicFertiliserApplicationN2OEmissions_Result_Method1</f>
        <v>1.6950488729428572</v>
      </c>
      <c r="F18" s="1" cm="1">
        <f t="array" ref="F18">VEERG_5_1_1_1__1_InorganicFertiliserApplicationN2OEmissions_Result_Method2</f>
        <v>1.6950489285714287</v>
      </c>
      <c r="G18" s="9" t="s">
        <v>11</v>
      </c>
      <c r="H18" s="1" cm="1">
        <f t="array" ref="H18">Common_Equations.Common_ConvertN2OToCO2e(E18,_xlfn.XLOOKUP("N2O", Table_GWPData[Gas],Table_GWPData[CO2-e factor]))</f>
        <v>449.18795132985719</v>
      </c>
      <c r="I18" s="1" cm="1">
        <f t="array" ref="I18">Common_Equations.Common_ConvertN2OToCO2e(F18,_xlfn.XLOOKUP("N2O", Table_GWPData[Gas],Table_GWPData[CO2-e factor]))</f>
        <v>449.1879660714286</v>
      </c>
      <c r="J18" s="9" t="s">
        <v>6</v>
      </c>
    </row>
    <row r="19" spans="1:10" ht="20.100000000000001" customHeight="1" x14ac:dyDescent="0.25">
      <c r="A19" s="5" t="str">
        <f>HYPERLINK("#'Input - Electricity'!A1", "Electricity")</f>
        <v>Electricity</v>
      </c>
      <c r="D19" s="1" t="s">
        <v>133</v>
      </c>
      <c r="E19" s="1" cm="1">
        <f t="array" ref="E19">VEERG_5_1_1_3__1_InorganicFertiliserApplicationCO2Emissions_Result_Method1</f>
        <v>184.92752666666664</v>
      </c>
      <c r="F19" s="1">
        <f>E19</f>
        <v>184.92752666666664</v>
      </c>
      <c r="G19" s="9" t="s">
        <v>126</v>
      </c>
      <c r="H19" s="1">
        <f>E19</f>
        <v>184.92752666666664</v>
      </c>
      <c r="I19" s="1">
        <f>F19</f>
        <v>184.92752666666664</v>
      </c>
      <c r="J19" s="9" t="s">
        <v>6</v>
      </c>
    </row>
    <row r="20" spans="1:10" ht="20.100000000000001" customHeight="1" x14ac:dyDescent="0.25">
      <c r="A20" s="5" t="str">
        <f>HYPERLINK("#'Input - Common farm inputs'!A1", "Common farm inputs")</f>
        <v>Common farm inputs</v>
      </c>
      <c r="D20" s="1" t="s">
        <v>134</v>
      </c>
      <c r="E20" s="1" cm="1">
        <f t="array" ref="E20">VEERG_5_2_1_1__2_MassOfNitrogenInOrganicFertiliser_Result_Method1</f>
        <v>5.5785714285714286E-2</v>
      </c>
      <c r="F20" s="1">
        <f>E20</f>
        <v>5.5785714285714286E-2</v>
      </c>
      <c r="G20" s="9" t="s">
        <v>11</v>
      </c>
      <c r="H20" s="1" cm="1">
        <f t="array" ref="H20">Common_Equations.Common_ConvertN2OToCO2e(E20,_xlfn.XLOOKUP("N2O", Table_GWPData[Gas],Table_GWPData[CO2-e factor]))</f>
        <v>14.783214285714285</v>
      </c>
      <c r="I20" s="1" cm="1">
        <f t="array" ref="I20">Common_Equations.Common_ConvertN2OToCO2e(F20,_xlfn.XLOOKUP("N2O", Table_GWPData[Gas],Table_GWPData[CO2-e factor]))</f>
        <v>14.783214285714285</v>
      </c>
      <c r="J20" s="9" t="s">
        <v>6</v>
      </c>
    </row>
    <row r="21" spans="1:10" ht="20.100000000000001" customHeight="1" x14ac:dyDescent="0.25">
      <c r="A21" s="5" t="str">
        <f>HYPERLINK("#'Input - Crop pasture farm input'!A1", "Crop pasture farm input")</f>
        <v>Crop pasture farm input</v>
      </c>
      <c r="D21" s="1" t="s">
        <v>135</v>
      </c>
      <c r="E21" s="1" cm="1">
        <f t="array" ref="E21">VEERG_5_3_1_1__1_LimeApplicationCO2Emissions_Result_Method1</f>
        <v>758.08333333333326</v>
      </c>
      <c r="F21" s="1">
        <f>E21</f>
        <v>758.08333333333326</v>
      </c>
      <c r="G21" s="9" t="s">
        <v>126</v>
      </c>
      <c r="H21" s="1">
        <f>E21</f>
        <v>758.08333333333326</v>
      </c>
      <c r="I21" s="1">
        <f>F21</f>
        <v>758.08333333333326</v>
      </c>
      <c r="J21" s="9" t="s">
        <v>6</v>
      </c>
    </row>
    <row r="22" spans="1:10" ht="20.100000000000001" customHeight="1" x14ac:dyDescent="0.25">
      <c r="A22" s="5" t="str">
        <f>HYPERLINK("#'Input - Livestock farm Inputs'!A1", "Livestock farm Inputs")</f>
        <v>Livestock farm Inputs</v>
      </c>
      <c r="D22" s="1" t="s">
        <v>136</v>
      </c>
      <c r="E22" s="1" cm="1">
        <f t="array" ref="E22">VEERG_5_4_1_3__1_OrganicFertiliserAtmosphericDepositionN2OEmissions_Result_Method1</f>
        <v>1.38237E-2</v>
      </c>
      <c r="F22" s="1">
        <f>E22</f>
        <v>1.38237E-2</v>
      </c>
      <c r="G22" s="9" t="s">
        <v>11</v>
      </c>
      <c r="H22" s="1" cm="1">
        <f t="array" ref="H22">Common_Equations.Common_ConvertN2OToCO2e(E22,_xlfn.XLOOKUP("N2O", Table_GWPData[Gas],Table_GWPData[CO2-e factor]))</f>
        <v>3.6632804999999999</v>
      </c>
      <c r="I22" s="1" cm="1">
        <f t="array" ref="I22">Common_Equations.Common_ConvertN2OToCO2e(F22,_xlfn.XLOOKUP("N2O", Table_GWPData[Gas],Table_GWPData[CO2-e factor]))</f>
        <v>3.6632804999999999</v>
      </c>
      <c r="J22" s="9" t="s">
        <v>6</v>
      </c>
    </row>
    <row r="23" spans="1:10" ht="20.100000000000001" customHeight="1" x14ac:dyDescent="0.25">
      <c r="A23" s="5" t="str">
        <f>HYPERLINK("#'Input - Freight'!A1", "Freight")</f>
        <v>Freight</v>
      </c>
      <c r="D23" s="1" t="s">
        <v>137</v>
      </c>
      <c r="E23" s="1" cm="1">
        <f t="array" ref="E23">VEERG_5_5_1_1__1_FertiliserLeachingAndRunoffN2OEmissions_result_Method1</f>
        <v>0.78791740368000007</v>
      </c>
      <c r="F23" s="1">
        <f>E23</f>
        <v>0.78791740368000007</v>
      </c>
      <c r="G23" s="9" t="s">
        <v>11</v>
      </c>
      <c r="H23" s="1" cm="1">
        <f t="array" ref="H23">Common_Equations.Common_ConvertN2OToCO2e(E23,_xlfn.XLOOKUP("N2O", Table_GWPData[Gas],Table_GWPData[CO2-e factor]))</f>
        <v>208.79811197520002</v>
      </c>
      <c r="I23" s="1" cm="1">
        <f t="array" ref="I23">Common_Equations.Common_ConvertN2OToCO2e(F23,_xlfn.XLOOKUP("N2O", Table_GWPData[Gas],Table_GWPData[CO2-e factor]))</f>
        <v>208.79811197520002</v>
      </c>
      <c r="J23" s="9" t="s">
        <v>6</v>
      </c>
    </row>
    <row r="24" spans="1:10" ht="20.100000000000001" customHeight="1" x14ac:dyDescent="0.25">
      <c r="A24" s="5" t="str">
        <f>HYPERLINK("#'Input - Solid waste'!A1", "Solid waste")</f>
        <v>Solid waste</v>
      </c>
      <c r="D24" s="1" t="s">
        <v>138</v>
      </c>
      <c r="E24" s="1" cm="1">
        <f t="array" ref="E24">VEERG_6_2_1_1__1__NitrousOxideEmissionsFromPastureResidues_Result_Method1</f>
        <v>5.8320428571428569E-7</v>
      </c>
      <c r="F24" s="1" cm="1">
        <f t="array" ref="F24">VEERG_6_2_1_1__1__NitrousOxideEmissionsFromPastureResidues_Result_Method2</f>
        <v>5.8320428571428569E-7</v>
      </c>
      <c r="G24" s="9" t="s">
        <v>11</v>
      </c>
      <c r="H24" s="1" cm="1">
        <f t="array" ref="H24">Common_Equations.Common_ConvertN2OToCO2e(E24,_xlfn.XLOOKUP("N2O", Table_GWPData[Gas],Table_GWPData[CO2-e factor]))</f>
        <v>1.545491357142857E-4</v>
      </c>
      <c r="I24" s="1" cm="1">
        <f t="array" ref="I24">Common_Equations.Common_ConvertN2OToCO2e(F24,_xlfn.XLOOKUP("N2O", Table_GWPData[Gas],Table_GWPData[CO2-e factor]))</f>
        <v>1.545491357142857E-4</v>
      </c>
      <c r="J24" s="9" t="s">
        <v>6</v>
      </c>
    </row>
    <row r="25" spans="1:10" ht="20.100000000000001" customHeight="1" x14ac:dyDescent="0.25">
      <c r="A25" s="5" t="str">
        <f>HYPERLINK("#'Input - Manure sent off-site'!A1", "Manure sent off-site")</f>
        <v>Manure sent off-site</v>
      </c>
      <c r="D25" s="1" t="s">
        <v>139</v>
      </c>
      <c r="E25" s="1" cm="1">
        <f t="array" ref="E25">VEERG_6_3_1_1__1__LeachingAndRunoffEmissionsCropAndPastureResidue_PastureOnly_Result_Method1</f>
        <v>3.0793186285714277E-7</v>
      </c>
      <c r="F25" s="1" cm="1">
        <f t="array" ref="F25">VEERG_6_3_1_1__1__LeachingAndRunoffEmissionsCropAndPastureResidue_PastureOnly_Result_Method2</f>
        <v>3.0793186285714277E-7</v>
      </c>
      <c r="G25" s="9" t="s">
        <v>11</v>
      </c>
      <c r="H25" s="1" cm="1">
        <f t="array" ref="H25">Common_Equations.Common_ConvertN2OToCO2e(E25,_xlfn.XLOOKUP("N2O", Table_GWPData[Gas],Table_GWPData[CO2-e factor]))</f>
        <v>8.1601943657142831E-5</v>
      </c>
      <c r="I25" s="1" cm="1">
        <f t="array" ref="I25">Common_Equations.Common_ConvertN2OToCO2e(F25,_xlfn.XLOOKUP("N2O", Table_GWPData[Gas],Table_GWPData[CO2-e factor]))</f>
        <v>8.1601943657142831E-5</v>
      </c>
      <c r="J25" s="9" t="s">
        <v>6</v>
      </c>
    </row>
    <row r="26" spans="1:10" ht="20.100000000000001" customHeight="1" x14ac:dyDescent="0.25">
      <c r="A26" s="5" t="str">
        <f>HYPERLINK("#'Input - Refrigerants'!A1", "Refrigerants")</f>
        <v>Refrigerants</v>
      </c>
      <c r="D26" s="1" t="s">
        <v>140</v>
      </c>
      <c r="E26" s="1" cm="1">
        <f t="array" ref="E26">VEERG_8_1_1_1__1_FuelCombustionTransport_Result_CO2</f>
        <v>83.182000000000002</v>
      </c>
      <c r="F26" s="1">
        <f>E26</f>
        <v>83.182000000000002</v>
      </c>
      <c r="G26" s="9" t="s">
        <v>126</v>
      </c>
      <c r="H26" s="1">
        <f>E26</f>
        <v>83.182000000000002</v>
      </c>
      <c r="I26" s="1">
        <f>F26</f>
        <v>83.182000000000002</v>
      </c>
      <c r="J26" s="9" t="s">
        <v>6</v>
      </c>
    </row>
    <row r="27" spans="1:10" ht="20.100000000000001" customHeight="1" x14ac:dyDescent="0.25">
      <c r="A27" s="5" t="str">
        <f>HYPERLINK("#'Input - Data quality'!A1", "Data quality")</f>
        <v>Data quality</v>
      </c>
      <c r="D27" s="1" t="s">
        <v>142</v>
      </c>
      <c r="E27" s="1" cm="1">
        <f t="array" ref="E27">VEERG_8_1_1_1__1_FuelCombustionTransport_Result_CH4</f>
        <v>0.19906000000000001</v>
      </c>
      <c r="F27" s="1">
        <f>E27</f>
        <v>0.19906000000000001</v>
      </c>
      <c r="G27" s="9" t="s">
        <v>5</v>
      </c>
      <c r="H27" s="1" cm="1">
        <f t="array" ref="H27">Common_Equations.Common_ConvertCH4ToCO2e(E27,_xlfn.XLOOKUP("CH4", Table_GWPData[Gas],Table_GWPData[CO2-e factor]))</f>
        <v>5.5736800000000004</v>
      </c>
      <c r="I27" s="1" cm="1">
        <f t="array" ref="I27">Common_Equations.Common_ConvertCH4ToCO2e(F27,_xlfn.XLOOKUP("CH4", Table_GWPData[Gas],Table_GWPData[CO2-e factor]))</f>
        <v>5.5736800000000004</v>
      </c>
      <c r="J27" s="9" t="s">
        <v>6</v>
      </c>
    </row>
    <row r="28" spans="1:10" ht="20.100000000000001" customHeight="1" x14ac:dyDescent="0.25">
      <c r="D28" s="1" t="s">
        <v>141</v>
      </c>
      <c r="E28" s="1" cm="1">
        <f t="array" ref="E28">VEERG_8_1_1_1__1_FuelCombustionTransport_Result_N2O</f>
        <v>0.58450000000000002</v>
      </c>
      <c r="F28" s="1">
        <f>E28</f>
        <v>0.58450000000000002</v>
      </c>
      <c r="G28" s="9" t="s">
        <v>11</v>
      </c>
      <c r="H28" s="1" cm="1">
        <f t="array" ref="H28">Common_Equations.Common_ConvertN2OToCO2e(E28,_xlfn.XLOOKUP("N2O", Table_GWPData[Gas],Table_GWPData[CO2-e factor]))</f>
        <v>154.89250000000001</v>
      </c>
      <c r="I28" s="1" cm="1">
        <f t="array" ref="I28">Common_Equations.Common_ConvertN2OToCO2e(F28,_xlfn.XLOOKUP("N2O", Table_GWPData[Gas],Table_GWPData[CO2-e factor]))</f>
        <v>154.89250000000001</v>
      </c>
      <c r="J28" s="9" t="s">
        <v>6</v>
      </c>
    </row>
    <row r="29" spans="1:10" ht="20.100000000000001" customHeight="1" x14ac:dyDescent="0.25">
      <c r="D29" s="1" t="s">
        <v>143</v>
      </c>
      <c r="E29" s="1" cm="1">
        <f t="array" ref="E29">VEERG_8_2_1_1__1_FuelCombustionStationary_Result_CO2</f>
        <v>29.070800000000002</v>
      </c>
      <c r="F29" s="1">
        <f>E29</f>
        <v>29.070800000000002</v>
      </c>
      <c r="G29" s="9" t="s">
        <v>126</v>
      </c>
      <c r="H29" s="1">
        <f>E29</f>
        <v>29.070800000000002</v>
      </c>
      <c r="I29" s="1">
        <f>F29</f>
        <v>29.070800000000002</v>
      </c>
      <c r="J29" s="9" t="s">
        <v>6</v>
      </c>
    </row>
    <row r="30" spans="1:10" ht="20.100000000000001" customHeight="1" x14ac:dyDescent="0.25">
      <c r="A30" s="6" t="s">
        <v>2</v>
      </c>
      <c r="D30" s="1" t="s">
        <v>144</v>
      </c>
      <c r="E30" s="1" cm="1">
        <f t="array" ref="E30">VEERG_8_2_1_1__1_FuelCombustionStationary_Result_CH4</f>
        <v>7.2400000000000006E-2</v>
      </c>
      <c r="F30" s="1">
        <f t="shared" ref="F30:F31" si="0">E30</f>
        <v>7.2400000000000006E-2</v>
      </c>
      <c r="G30" s="9" t="s">
        <v>5</v>
      </c>
      <c r="H30" s="1" cm="1">
        <f t="array" ref="H30">Common_Equations.Common_ConvertCH4ToCO2e(E30,_xlfn.XLOOKUP("CH4", Table_GWPData[Gas],Table_GWPData[CO2-e factor]))</f>
        <v>2.0272000000000001</v>
      </c>
      <c r="I30" s="1" cm="1">
        <f t="array" ref="I30">Common_Equations.Common_ConvertCH4ToCO2e(F30,_xlfn.XLOOKUP("CH4", Table_GWPData[Gas],Table_GWPData[CO2-e factor]))</f>
        <v>2.0272000000000001</v>
      </c>
      <c r="J30" s="9" t="s">
        <v>6</v>
      </c>
    </row>
    <row r="31" spans="1:10" ht="20.100000000000001" customHeight="1" x14ac:dyDescent="0.25">
      <c r="A31" s="5" t="str">
        <f>HYPERLINK("#'3.3.1.1-2 Enteric Methane'!A1", "3.3.1.1-2 Enteric methane")</f>
        <v>3.3.1.1-2 Enteric methane</v>
      </c>
      <c r="D31" s="1" t="s">
        <v>145</v>
      </c>
      <c r="E31" s="1" cm="1">
        <f t="array" ref="E31">VEERG_8_2_1_1__1_FuelCombustionStationary_Result_N2O</f>
        <v>7.1400000000000005E-2</v>
      </c>
      <c r="F31" s="1">
        <f t="shared" si="0"/>
        <v>7.1400000000000005E-2</v>
      </c>
      <c r="G31" s="9" t="s">
        <v>11</v>
      </c>
      <c r="H31" s="1" cm="1">
        <f t="array" ref="H31">Common_Equations.Common_ConvertN2OToCO2e(E31,_xlfn.XLOOKUP("N2O", Table_GWPData[Gas],Table_GWPData[CO2-e factor]))</f>
        <v>18.921000000000003</v>
      </c>
      <c r="I31" s="1" cm="1">
        <f t="array" ref="I31">Common_Equations.Common_ConvertN2OToCO2e(F31,_xlfn.XLOOKUP("N2O", Table_GWPData[Gas],Table_GWPData[CO2-e factor]))</f>
        <v>18.921000000000003</v>
      </c>
      <c r="J31" s="9" t="s">
        <v>6</v>
      </c>
    </row>
    <row r="32" spans="1:10" ht="20.100000000000001" customHeight="1" x14ac:dyDescent="0.25">
      <c r="A32" s="5" t="str">
        <f>HYPERLINK("#'4.3.1.1-2 Methane'!A1", "4.3.1.1-2 Manure methane")</f>
        <v>4.3.1.1-2 Manure methane</v>
      </c>
      <c r="D32" s="1" t="s">
        <v>320</v>
      </c>
      <c r="E32" s="1" cm="1">
        <f t="array" ref="E32">VEERG_9_1_1__1_RefrigerantLeaking_Result_Blend1_Value_Method1</f>
        <v>8.5000000000000006E-4</v>
      </c>
      <c r="F32" s="1">
        <f>E32</f>
        <v>8.5000000000000006E-4</v>
      </c>
      <c r="G32" s="9" t="str" cm="1">
        <f t="array" ref="G32">IF(ISBLANK(VEERG_9_1_1__1_RefrigerantLeaking_Result_Blend1_Name_Method1), "", "t " &amp; VEERG_9_1_1__1_RefrigerantLeaking_Result_Blend1_Name_Method1)</f>
        <v>t R-402A</v>
      </c>
      <c r="H32" s="1">
        <f>INDEX(Table_E_CO2e,2,4)</f>
        <v>1.1860424000000003</v>
      </c>
      <c r="I32" s="1">
        <f>H32</f>
        <v>1.1860424000000003</v>
      </c>
      <c r="J32" s="9" t="s">
        <v>6</v>
      </c>
    </row>
    <row r="33" spans="1:10" ht="20.100000000000001" customHeight="1" x14ac:dyDescent="0.25">
      <c r="A33" s="5" t="str">
        <f>HYPERLINK("#'4.3.1.3-4 Direct N20'!A1", "4.3.1.3-4 Direct N20")</f>
        <v>4.3.1.3-4 Direct N20</v>
      </c>
      <c r="D33" s="1" t="s">
        <v>321</v>
      </c>
      <c r="E33" s="1" cm="1">
        <f t="array" ref="E33">VEERG_9_1_1__1_RefrigerantLeaking_Result_Blend2_Value_Method1</f>
        <v>1.7500000000000003E-3</v>
      </c>
      <c r="F33" s="1">
        <f t="shared" ref="F33:F41" si="1">E33</f>
        <v>1.7500000000000003E-3</v>
      </c>
      <c r="G33" s="9" t="str" cm="1">
        <f t="array" ref="G33">IF(ISBLANK(VEERG_9_1_1__1_RefrigerantLeaking_Result_Blend2_Name_Method1), "", "t " &amp; VEERG_9_1_1__1_RefrigerantLeaking_Result_Blend2_Name_Method1)</f>
        <v>t R-422B</v>
      </c>
      <c r="H33" s="1">
        <f>INDEX(Table_E_CO2e,3,4)</f>
        <v>2.0794287500000004</v>
      </c>
      <c r="I33" s="1">
        <f t="shared" ref="I33:I41" si="2">H33</f>
        <v>2.0794287500000004</v>
      </c>
      <c r="J33" s="9" t="s">
        <v>6</v>
      </c>
    </row>
    <row r="34" spans="1:10" ht="20.100000000000001" customHeight="1" x14ac:dyDescent="0.25">
      <c r="A34" s="5" t="str">
        <f>HYPERLINK("#'4.3.1.5 Atmos deposition'!A1", "4.3.1.5 Atmos deposition")</f>
        <v>4.3.1.5 Atmos deposition</v>
      </c>
      <c r="D34" s="1" t="s">
        <v>322</v>
      </c>
      <c r="E34" s="1" cm="1">
        <f t="array" ref="E34">VEERG_9_1_1__1_RefrigerantLeaking_Result_Blend3_Value_Method1</f>
        <v>1.2210000000000002E-2</v>
      </c>
      <c r="F34" s="1">
        <f t="shared" si="1"/>
        <v>1.2210000000000002E-2</v>
      </c>
      <c r="G34" s="9" t="str" cm="1">
        <f t="array" ref="G34">IF(ISBLANK(VEERG_9_1_1__1_RefrigerantLeaking_Result_Blend3_Name_Method1), "", "t " &amp; VEERG_9_1_1__1_RefrigerantLeaking_Result_Blend3_Name_Method1)</f>
        <v>t R-400 60/40</v>
      </c>
      <c r="H34" s="1">
        <f>INDEX(Table_E_CO2e,4,4)</f>
        <v>70.007256000000027</v>
      </c>
      <c r="I34" s="1">
        <f t="shared" si="2"/>
        <v>70.007256000000027</v>
      </c>
      <c r="J34" s="9" t="s">
        <v>6</v>
      </c>
    </row>
    <row r="35" spans="1:10" ht="20.100000000000001" customHeight="1" x14ac:dyDescent="0.25">
      <c r="A35" s="5" t="str">
        <f>HYPERLINK("#'4.3.1.6-7 Leaching and runoff'!A1", "4.3.1.6-7 Leaching &amp; runoff")</f>
        <v>4.3.1.6-7 Leaching &amp; runoff</v>
      </c>
      <c r="D35" s="1" t="s">
        <v>323</v>
      </c>
      <c r="E35" s="1" cm="1">
        <f t="array" ref="E35">VEERG_9_1_1__1_RefrigerantLeaking_Result_Blend4_Value_Method1</f>
        <v>1.5699999999999999E-2</v>
      </c>
      <c r="F35" s="1">
        <f t="shared" si="1"/>
        <v>1.5699999999999999E-2</v>
      </c>
      <c r="G35" s="9" t="str" cm="1">
        <f t="array" ref="G35">IF(ISBLANK(VEERG_9_1_1__1_RefrigerantLeaking_Result_Blend4_Name_Method1), "", "t " &amp; VEERG_9_1_1__1_RefrigerantLeaking_Result_Blend4_Name_Method1)</f>
        <v>t R-504</v>
      </c>
      <c r="H35" s="1">
        <f>INDEX(Table_E_CO2e,5,4)</f>
        <v>34.780656319599998</v>
      </c>
      <c r="I35" s="1">
        <f t="shared" si="2"/>
        <v>34.780656319599998</v>
      </c>
      <c r="J35" s="9" t="s">
        <v>6</v>
      </c>
    </row>
    <row r="36" spans="1:10" ht="20.100000000000001" customHeight="1" x14ac:dyDescent="0.25">
      <c r="A36" s="5" t="str">
        <f>HYPERLINK("#'4.3.1.8 Manure applied to soils'!A1", "4.3.1.8 Manure applied to soils")</f>
        <v>4.3.1.8 Manure applied to soils</v>
      </c>
      <c r="D36" s="1" t="s">
        <v>324</v>
      </c>
      <c r="E36" s="1" cm="1">
        <f t="array" ref="E36">VEERG_9_1_1__1_RefrigerantLeaking_Result_Blend5_Value_Method1</f>
        <v>0</v>
      </c>
      <c r="F36" s="1">
        <f t="shared" si="1"/>
        <v>0</v>
      </c>
      <c r="G36" s="9" t="str" cm="1">
        <f t="array" ref="G36">IF(ISBLANK(VEERG_9_1_1__1_RefrigerantLeaking_Result_Blend5_Name_Method1), "", "t " &amp; VEERG_9_1_1__1_RefrigerantLeaking_Result_Blend5_Name_Method1)</f>
        <v/>
      </c>
      <c r="H36" s="1">
        <f>INDEX(Table_E_CO2e,6,4)</f>
        <v>0</v>
      </c>
      <c r="I36" s="1">
        <f t="shared" si="2"/>
        <v>0</v>
      </c>
      <c r="J36" s="9" t="s">
        <v>6</v>
      </c>
    </row>
    <row r="37" spans="1:10" ht="20.100000000000001" customHeight="1" x14ac:dyDescent="0.25">
      <c r="A37" s="5" t="str">
        <f>HYPERLINK("#'4.3.1.9 Soil direct N2O'!A1", "4.3.1.9 Soil direct N2O")</f>
        <v>4.3.1.9 Soil direct N2O</v>
      </c>
      <c r="D37" s="1" t="s">
        <v>325</v>
      </c>
      <c r="E37" s="1" cm="1">
        <f t="array" ref="E37">VEERG_9_1_1__1_RefrigerantLeaking_Result_Blend6_Value_Method1</f>
        <v>0</v>
      </c>
      <c r="F37" s="1">
        <f t="shared" si="1"/>
        <v>0</v>
      </c>
      <c r="G37" s="9" t="str" cm="1">
        <f t="array" ref="G37">IF(ISBLANK(VEERG_9_1_1__1_RefrigerantLeaking_Result_Blend6_Name_Method1), "", "t " &amp; VEERG_9_1_1__1_RefrigerantLeaking_Result_Blend6_Name_Method1)</f>
        <v/>
      </c>
      <c r="H37" s="1">
        <f>INDEX(Table_E_CO2e,7,4)</f>
        <v>0</v>
      </c>
      <c r="I37" s="1">
        <f t="shared" si="2"/>
        <v>0</v>
      </c>
      <c r="J37" s="9" t="s">
        <v>6</v>
      </c>
    </row>
    <row r="38" spans="1:10" ht="20.100000000000001" customHeight="1" x14ac:dyDescent="0.25">
      <c r="A38" s="5" t="str">
        <f>HYPERLINK("#'4.3.1.10-11 Soil Atmos Dep'!A1", "4.3.1.10-11 Soil Atmos Deposition")</f>
        <v>4.3.1.10-11 Soil Atmos Deposition</v>
      </c>
      <c r="D38" s="1" t="s">
        <v>326</v>
      </c>
      <c r="E38" s="1" cm="1">
        <f t="array" ref="E38">VEERG_9_1_1__1_RefrigerantLeaking_Result_Blend7_Value_Method1</f>
        <v>0</v>
      </c>
      <c r="F38" s="1">
        <f t="shared" si="1"/>
        <v>0</v>
      </c>
      <c r="G38" s="9" t="str" cm="1">
        <f t="array" ref="G38">IF(ISBLANK(VEERG_9_1_1__1_RefrigerantLeaking_Result_Blend7_Name_Method1), "", "t " &amp; VEERG_9_1_1__1_RefrigerantLeaking_Result_Blend7_Name_Method1)</f>
        <v/>
      </c>
      <c r="H38" s="1">
        <f>INDEX(Table_E_CO2e,8,4)</f>
        <v>0</v>
      </c>
      <c r="I38" s="1">
        <f t="shared" si="2"/>
        <v>0</v>
      </c>
      <c r="J38" s="9" t="s">
        <v>6</v>
      </c>
    </row>
    <row r="39" spans="1:10" ht="20.100000000000001" customHeight="1" x14ac:dyDescent="0.25">
      <c r="A39" s="5" t="str">
        <f>HYPERLINK("#'4.3.1.12-13 Soil leach runoff'!A1", "4.3.1.12-13 Soil leach &amp; runoff")</f>
        <v>4.3.1.12-13 Soil leach &amp; runoff</v>
      </c>
      <c r="D39" s="1" t="s">
        <v>327</v>
      </c>
      <c r="E39" s="1" cm="1">
        <f t="array" ref="E39">VEERG_9_1_1__1_RefrigerantLeaking_Result_Blend8_Value_Method1</f>
        <v>0</v>
      </c>
      <c r="F39" s="1">
        <f t="shared" si="1"/>
        <v>0</v>
      </c>
      <c r="G39" s="9" t="str" cm="1">
        <f t="array" ref="G39">IF(ISBLANK(VEERG_9_1_1__1_RefrigerantLeaking_Result_Blend8_Name_Method1), "", "t " &amp; VEERG_9_1_1__1_RefrigerantLeaking_Result_Blend8_Name_Method1)</f>
        <v/>
      </c>
      <c r="H39" s="1">
        <f>INDEX(Table_E_CO2e,9,4)</f>
        <v>0</v>
      </c>
      <c r="I39" s="1">
        <f t="shared" si="2"/>
        <v>0</v>
      </c>
      <c r="J39" s="9" t="s">
        <v>6</v>
      </c>
    </row>
    <row r="40" spans="1:10" ht="20.100000000000001" customHeight="1" x14ac:dyDescent="0.25">
      <c r="A40" s="5" t="str">
        <f>HYPERLINK("#'5.1.1.1-2 Inorganic fert N2O'!A1", "5.1.1.1-2 Inorganic fert N2O")</f>
        <v>5.1.1.1-2 Inorganic fert N2O</v>
      </c>
      <c r="D40" s="1" t="s">
        <v>328</v>
      </c>
      <c r="E40" s="1" cm="1">
        <f t="array" ref="E40">VEERG_9_1_1__1_RefrigerantLeaking_Result_Blend9_Value_Method1</f>
        <v>0</v>
      </c>
      <c r="F40" s="1">
        <f t="shared" si="1"/>
        <v>0</v>
      </c>
      <c r="G40" s="9" t="str" cm="1">
        <f t="array" ref="G40">IF(ISBLANK(VEERG_9_1_1__1_RefrigerantLeaking_Result_Blend9_Name_Method1), "", "t " &amp; VEERG_9_1_1__1_RefrigerantLeaking_Result_Blend9_Name_Method1)</f>
        <v/>
      </c>
      <c r="H40" s="1">
        <f>INDEX(Table_E_CO2e,10,4)</f>
        <v>0</v>
      </c>
      <c r="I40" s="1">
        <f t="shared" si="2"/>
        <v>0</v>
      </c>
      <c r="J40" s="9" t="s">
        <v>6</v>
      </c>
    </row>
    <row r="41" spans="1:10" ht="20.100000000000001" customHeight="1" x14ac:dyDescent="0.25">
      <c r="A41" s="5" t="str">
        <f>HYPERLINK("#'5.1.1.3-4 Inorganic fert CO2'!A1", "5.1.1.3-4 Inorganic fert CO2")</f>
        <v>5.1.1.3-4 Inorganic fert CO2</v>
      </c>
      <c r="D41" s="1" t="s">
        <v>329</v>
      </c>
      <c r="E41" s="1" cm="1">
        <f t="array" ref="E41">VEERG_9_1_1__1_RefrigerantLeaking_Result_Blend10_Value_Method1</f>
        <v>0</v>
      </c>
      <c r="F41" s="1">
        <f t="shared" si="1"/>
        <v>0</v>
      </c>
      <c r="G41" s="9" t="str" cm="1">
        <f t="array" ref="G41">IF(ISBLANK(VEERG_9_1_1__1_RefrigerantLeaking_Result_Blend10_Name_Method1), "", "t " &amp; VEERG_9_1_1__1_RefrigerantLeaking_Result_Blend10_Name_Method1)</f>
        <v/>
      </c>
      <c r="H41" s="1">
        <f>INDEX(Table_E_CO2e,11,4)</f>
        <v>0</v>
      </c>
      <c r="I41" s="1">
        <f t="shared" si="2"/>
        <v>0</v>
      </c>
      <c r="J41" s="9" t="s">
        <v>6</v>
      </c>
    </row>
    <row r="42" spans="1:10" ht="20.100000000000001" customHeight="1" x14ac:dyDescent="0.25">
      <c r="A42" s="5" t="str">
        <f>HYPERLINK("#'5.2.1.1-2 Organic Fert N2O'!A1", "5.2.1.1-2 Organic fert N2O")</f>
        <v>5.2.1.1-2 Organic fert N2O</v>
      </c>
      <c r="D42" s="1" t="s">
        <v>319</v>
      </c>
      <c r="E42" s="1" cm="1">
        <f t="array" ref="E42">VEERG_10_1_1_1__1_EmissionsFromWasteManagement_Scope1_Result_Method1</f>
        <v>438.82805000000002</v>
      </c>
      <c r="F42" s="1">
        <f>E42</f>
        <v>438.82805000000002</v>
      </c>
      <c r="G42" s="9" t="s">
        <v>264</v>
      </c>
      <c r="H42" s="1">
        <f>E42</f>
        <v>438.82805000000002</v>
      </c>
      <c r="I42" s="1">
        <f>F42</f>
        <v>438.82805000000002</v>
      </c>
      <c r="J42" s="9" t="s">
        <v>6</v>
      </c>
    </row>
    <row r="43" spans="1:10" ht="20.100000000000001" customHeight="1" x14ac:dyDescent="0.25">
      <c r="A43" s="5" t="str">
        <f>HYPERLINK("#'5.3.1.1-2 Lime CO2'!A1", "5.3.1.1-2 Lime CO2")</f>
        <v>5.3.1.1-2 Lime CO2</v>
      </c>
      <c r="D43" s="87" t="s">
        <v>240</v>
      </c>
      <c r="E43" s="88"/>
      <c r="F43" s="88"/>
      <c r="G43" s="88"/>
      <c r="H43" s="87">
        <f ca="1">SUM(H10:H42)</f>
        <v>3744.8573768098872</v>
      </c>
      <c r="I43" s="87">
        <f ca="1">SUM(I10:I42)</f>
        <v>3753.9955020961629</v>
      </c>
      <c r="J43" s="89" t="s">
        <v>6</v>
      </c>
    </row>
    <row r="44" spans="1:10" ht="20.100000000000001" customHeight="1" x14ac:dyDescent="0.25">
      <c r="A44" s="5" t="str">
        <f>HYPERLINK("#'5.4.1.1-4 Atmos deposition'!A1", "5.4.1.1-4 Atmos. deposition")</f>
        <v>5.4.1.1-4 Atmos. deposition</v>
      </c>
    </row>
    <row r="45" spans="1:10" ht="20.100000000000001" customHeight="1" x14ac:dyDescent="0.25">
      <c r="A45" s="5" t="str">
        <f>HYPERLINK("#'5.5.1.1-2 Leaching and runoff'!A1", "5.5.1.1-2 Leaching &amp; runoff")</f>
        <v>5.5.1.1-2 Leaching &amp; runoff</v>
      </c>
    </row>
    <row r="46" spans="1:10" ht="20.100000000000001" customHeight="1" x14ac:dyDescent="0.25">
      <c r="A46" s="5" t="str">
        <f>HYPERLINK("#'6.2.1.1-2 Pasture residue N2O'!A1", "6.2.1.1-2 Pasture residue N2O")</f>
        <v>6.2.1.1-2 Pasture residue N2O</v>
      </c>
      <c r="D46" s="78" t="s">
        <v>241</v>
      </c>
    </row>
    <row r="47" spans="1:10" ht="20.100000000000001" customHeight="1" x14ac:dyDescent="0.25">
      <c r="A47" s="5" t="str">
        <f>HYPERLINK("#'6.3.1.1-2 Leach runoff pasture'!A1", "6.3.1.1-2 Leach &amp; runoff (pasture)")</f>
        <v>6.3.1.1-2 Leach &amp; runoff (pasture)</v>
      </c>
    </row>
    <row r="48" spans="1:10" ht="20.100000000000001" customHeight="1" x14ac:dyDescent="0.25">
      <c r="A48" s="5" t="str">
        <f>HYPERLINK("#'8.1.1.1-2 Transport fuel'!A1", "8.1.1.1-2 Transport fuel")</f>
        <v>8.1.1.1-2 Transport fuel</v>
      </c>
      <c r="D48" s="11" t="s">
        <v>242</v>
      </c>
      <c r="E48" s="11" t="s">
        <v>7</v>
      </c>
      <c r="F48" s="11" t="s">
        <v>8</v>
      </c>
      <c r="G48" s="11" t="s">
        <v>4</v>
      </c>
      <c r="H48" s="11" t="s">
        <v>9</v>
      </c>
      <c r="I48" s="11" t="s">
        <v>10</v>
      </c>
      <c r="J48" s="11"/>
    </row>
    <row r="49" spans="1:10" ht="20.100000000000001" customHeight="1" x14ac:dyDescent="0.25">
      <c r="A49" s="5" t="str">
        <f>HYPERLINK("#'8.2.1.1-2 Stationary fuel'!A1", "8.2.1.1-2 Stationary fuel")</f>
        <v>8.2.1.1-2 Stationary fuel</v>
      </c>
      <c r="D49" s="1" t="str" cm="1">
        <f t="array" ref="D49">"14.1.1-2 Purchased electricity " &amp; IF(X_Cell_Electricity_CalculationMethod="Location-based (simpler)", "(Location-based)", "(Market-based)")</f>
        <v>14.1.1-2 Purchased electricity (Location-based)</v>
      </c>
      <c r="E49" s="1" cm="1">
        <f t="array" ref="E49">IF(X_Cell_Electricity_CalculationMethod="Location-based (simpler)", VEERG_14_1_1__1_LocationBasedScopeElectricityEmissions_Result_Method1, VEERG_14_1_2__1_MarketBasedScopeElectricityEmissionsVariation_Result_Method1)</f>
        <v>16.8</v>
      </c>
      <c r="F49" s="1">
        <f>E43</f>
        <v>0</v>
      </c>
      <c r="G49" s="9" t="s">
        <v>6</v>
      </c>
      <c r="H49" s="1">
        <f>E43</f>
        <v>0</v>
      </c>
      <c r="I49" s="1">
        <f>F43</f>
        <v>0</v>
      </c>
      <c r="J49" s="9" t="s">
        <v>6</v>
      </c>
    </row>
    <row r="50" spans="1:10" ht="20.100000000000001" customHeight="1" x14ac:dyDescent="0.25">
      <c r="A50" s="5" t="str">
        <f>HYPERLINK("#'9.1.1.1-2 Refrigerant use'!A1", "9.1.1.1-2 Refrigerant use")</f>
        <v>9.1.1.1-2 Refrigerant use</v>
      </c>
      <c r="D50" s="87" t="s">
        <v>243</v>
      </c>
      <c r="E50" s="90"/>
      <c r="F50" s="90"/>
      <c r="G50" s="90"/>
      <c r="H50" s="87">
        <f>SUM(H49)</f>
        <v>0</v>
      </c>
      <c r="I50" s="87">
        <f>SUM(I49)</f>
        <v>0</v>
      </c>
      <c r="J50" s="89" t="s">
        <v>6</v>
      </c>
    </row>
    <row r="51" spans="1:10" ht="20.100000000000001" customHeight="1" x14ac:dyDescent="0.25">
      <c r="A51" s="5" t="str">
        <f>HYPERLINK("#'10.1.1-2 Solid waste treatment'!A1", "10.1.1.1-2 Solid waste")</f>
        <v>10.1.1.1-2 Solid waste</v>
      </c>
    </row>
    <row r="52" spans="1:10" ht="20.100000000000001" customHeight="1" x14ac:dyDescent="0.25">
      <c r="A52" s="5" t="str">
        <f>HYPERLINK("#'14.1.1-2 Purchased electricity'!A1", "14.1.1-2 Purchased electricity")</f>
        <v>14.1.1-2 Purchased electricity</v>
      </c>
    </row>
    <row r="53" spans="1:10" ht="20.100000000000001" customHeight="1" x14ac:dyDescent="0.25">
      <c r="A53" s="5" t="str">
        <f>HYPERLINK("#'15 Scope 3'!A1", "15 Scope 3")</f>
        <v>15 Scope 3</v>
      </c>
      <c r="D53" s="78" t="s">
        <v>244</v>
      </c>
    </row>
    <row r="54" spans="1:10" ht="20.100000000000001" customHeight="1" x14ac:dyDescent="0.25">
      <c r="A54" s="5" t="str">
        <f>HYPERLINK("#'Calcs - Manure sent off-site'!A1", "Calcs - Manure sent off-site")</f>
        <v>Calcs - Manure sent off-site</v>
      </c>
      <c r="D54" s="11" t="s">
        <v>245</v>
      </c>
      <c r="E54" s="11" t="s">
        <v>7</v>
      </c>
      <c r="F54" s="11" t="s">
        <v>8</v>
      </c>
      <c r="G54" s="11" t="s">
        <v>4</v>
      </c>
      <c r="H54" s="11" t="s">
        <v>9</v>
      </c>
      <c r="I54" s="11" t="s">
        <v>10</v>
      </c>
      <c r="J54" s="11"/>
    </row>
    <row r="55" spans="1:10" ht="20.100000000000001" customHeight="1" x14ac:dyDescent="0.25">
      <c r="D55" s="1" t="s">
        <v>246</v>
      </c>
      <c r="E55" s="1" cm="1">
        <f t="array" ref="E55">VEERG_15_1_1_1__1_EmissionsFromPurchasedLivestock_Result_Method1</f>
        <v>295.47000000000003</v>
      </c>
      <c r="F55" s="1" cm="1">
        <f t="array" ref="F55">VEERG_15_1_1_1__1_EmissionsFromPurchasedLivestock_Result_Method2</f>
        <v>415.625</v>
      </c>
      <c r="G55" s="9" t="s">
        <v>6</v>
      </c>
      <c r="H55" s="1">
        <f>E55</f>
        <v>295.47000000000003</v>
      </c>
      <c r="I55" s="1">
        <f>F55</f>
        <v>415.625</v>
      </c>
      <c r="J55" s="9" t="s">
        <v>6</v>
      </c>
    </row>
    <row r="56" spans="1:10" ht="20.100000000000001" customHeight="1" x14ac:dyDescent="0.25">
      <c r="D56" s="1" t="s">
        <v>247</v>
      </c>
      <c r="E56" s="1" cm="1">
        <f t="array" ref="E56">VEERG_15_2_1_1__1_EmissionsFromPurchasedFeed_Result_Method1</f>
        <v>0.78505200000000008</v>
      </c>
      <c r="F56" s="1" cm="1">
        <f t="array" ref="F56">VEERG_15_2_1_1__1_EmissionsFromPurchasedFeed_Result_Method2</f>
        <v>0.52978000000000003</v>
      </c>
      <c r="G56" s="9" t="s">
        <v>6</v>
      </c>
      <c r="H56" s="1">
        <f t="shared" ref="H56:I67" si="3">E56</f>
        <v>0.78505200000000008</v>
      </c>
      <c r="I56" s="1">
        <f t="shared" si="3"/>
        <v>0.52978000000000003</v>
      </c>
      <c r="J56" s="9" t="s">
        <v>6</v>
      </c>
    </row>
    <row r="57" spans="1:10" ht="20.100000000000001" customHeight="1" x14ac:dyDescent="0.25">
      <c r="A57" s="82" t="s">
        <v>1</v>
      </c>
      <c r="D57" s="1" t="s">
        <v>248</v>
      </c>
      <c r="E57" s="1" cm="1">
        <f t="array" ref="E57">VEERG_15_3_1_1__1_EmissionsFromPurchasedMineralSupplements_Result_Method1</f>
        <v>0.1789</v>
      </c>
      <c r="F57" s="1" cm="1">
        <f t="array" ref="F57">VEERG_15_3_1_1__1_EmissionsFromPurchasedMineralSupplements_Result_Method2</f>
        <v>0.16</v>
      </c>
      <c r="G57" s="9" t="s">
        <v>6</v>
      </c>
      <c r="H57" s="1">
        <f t="shared" si="3"/>
        <v>0.1789</v>
      </c>
      <c r="I57" s="1">
        <f t="shared" si="3"/>
        <v>0.16</v>
      </c>
      <c r="J57" s="9" t="s">
        <v>6</v>
      </c>
    </row>
    <row r="58" spans="1:10" ht="20.100000000000001" customHeight="1" x14ac:dyDescent="0.25">
      <c r="A58" s="5" t="str">
        <f>HYPERLINK("#'Constants - Dairy'!A1", "Constants - Dairy")</f>
        <v>Constants - Dairy</v>
      </c>
      <c r="D58" s="1" t="s">
        <v>249</v>
      </c>
      <c r="E58" s="1" cm="1">
        <f t="array" ref="E58">VEERG_15_4_1_1__2_EmissionsFromPurchasedFertiliserComponentsVariation_Result_Method1</f>
        <v>666.11033520000001</v>
      </c>
      <c r="F58" s="1" cm="1">
        <f t="array" ref="F58">VEERG_15_4_1_1__2_EmissionsFromPurchasedFertiliserComponentsVariation_Result_Method2</f>
        <v>650.23033520000001</v>
      </c>
      <c r="G58" s="9" t="s">
        <v>6</v>
      </c>
      <c r="H58" s="1">
        <f t="shared" si="3"/>
        <v>666.11033520000001</v>
      </c>
      <c r="I58" s="1">
        <f t="shared" si="3"/>
        <v>650.23033520000001</v>
      </c>
      <c r="J58" s="9" t="s">
        <v>6</v>
      </c>
    </row>
    <row r="59" spans="1:10" ht="20.100000000000001" customHeight="1" x14ac:dyDescent="0.25">
      <c r="A59" s="5" t="str">
        <f>HYPERLINK("#'Constants - Ag Residue'!A1", "Constants - Ag residue")</f>
        <v>Constants - Ag residue</v>
      </c>
      <c r="D59" s="1" t="s">
        <v>250</v>
      </c>
      <c r="E59" s="1" cm="1">
        <f t="array" ref="E59">VEERG_15_5_1_1__1_EmissionsFromPurchasedAgrichemicals_Result_Method1</f>
        <v>7.5159999999999991</v>
      </c>
      <c r="F59" s="1" cm="1">
        <f t="array" ref="F59">VEERG_15_5_1_1__1_EmissionsFromPurchasedAgrichemicals_Result_Method2</f>
        <v>7.4959999999999996</v>
      </c>
      <c r="G59" s="9" t="s">
        <v>6</v>
      </c>
      <c r="H59" s="1">
        <f t="shared" si="3"/>
        <v>7.5159999999999991</v>
      </c>
      <c r="I59" s="1">
        <f t="shared" si="3"/>
        <v>7.4959999999999996</v>
      </c>
      <c r="J59" s="9" t="s">
        <v>6</v>
      </c>
    </row>
    <row r="60" spans="1:10" ht="20.100000000000001" customHeight="1" x14ac:dyDescent="0.25">
      <c r="A60" s="5" t="str">
        <f>HYPERLINK("#'Constants - Common Livestock'!A1", "Constants - Common Livestock")</f>
        <v>Constants - Common Livestock</v>
      </c>
      <c r="D60" s="1" t="s">
        <v>251</v>
      </c>
      <c r="E60" s="1" cm="1">
        <f t="array" ref="E60">VEERG_15_6_1_1__1_EmissionsFromPurchasedLime_Result_Method1</f>
        <v>0.16553999999999999</v>
      </c>
      <c r="F60" s="1" cm="1">
        <f t="array" ref="F60">VEERG_15_6_1_1__1_EmissionsFromPurchasedLime_Result_Method2</f>
        <v>0.14399999999999999</v>
      </c>
      <c r="G60" s="9" t="s">
        <v>6</v>
      </c>
      <c r="H60" s="1">
        <f t="shared" si="3"/>
        <v>0.16553999999999999</v>
      </c>
      <c r="I60" s="1">
        <f t="shared" si="3"/>
        <v>0.14399999999999999</v>
      </c>
      <c r="J60" s="9" t="s">
        <v>6</v>
      </c>
    </row>
    <row r="61" spans="1:10" ht="20.100000000000001" customHeight="1" x14ac:dyDescent="0.25">
      <c r="A61" s="5" t="str">
        <f>HYPERLINK("#'Constants - Electricity'!A1", "Constants - Electricity")</f>
        <v>Constants - Electricity</v>
      </c>
      <c r="D61" s="1" t="s">
        <v>252</v>
      </c>
      <c r="E61" s="1" t="str" cm="1">
        <f t="array" ref="E61">VEERG_15_7_1_1__1_EmissionsFromPurchasedServices_Result_Method1</f>
        <v>No data</v>
      </c>
      <c r="F61" s="1" cm="1">
        <f t="array" ref="F61">VEERG_15_7_1_1__1_EmissionsFromPurchasedServices_Result_Method2</f>
        <v>42</v>
      </c>
      <c r="G61" s="9" t="s">
        <v>6</v>
      </c>
      <c r="H61" s="1" t="str">
        <f t="shared" si="3"/>
        <v>No data</v>
      </c>
      <c r="I61" s="1">
        <f t="shared" si="3"/>
        <v>42</v>
      </c>
      <c r="J61" s="9" t="s">
        <v>6</v>
      </c>
    </row>
    <row r="62" spans="1:10" ht="20.100000000000001" customHeight="1" x14ac:dyDescent="0.25">
      <c r="A62" s="5" t="str">
        <f>HYPERLINK("#'Constants - Fertiliser'!A1", "Constants - Fertiliser")</f>
        <v>Constants - Fertiliser</v>
      </c>
      <c r="D62" s="1" t="s">
        <v>253</v>
      </c>
      <c r="E62" s="1" cm="1">
        <f t="array" ref="E62">VEERG_15_10_1_1__1_OtherPurchasedGoodsAndServices_CleaningChemicals_Result_Method1</f>
        <v>0.50509999999999999</v>
      </c>
      <c r="F62" s="1" cm="1">
        <f t="array" ref="F62">VEERG_15_10_1_1__1_OtherPurchasedGoodsAndServices_CleaningChemicals_Result_Method2</f>
        <v>2.73</v>
      </c>
      <c r="G62" s="9" t="s">
        <v>6</v>
      </c>
      <c r="H62" s="1">
        <f t="shared" si="3"/>
        <v>0.50509999999999999</v>
      </c>
      <c r="I62" s="1">
        <f t="shared" si="3"/>
        <v>2.73</v>
      </c>
      <c r="J62" s="9" t="s">
        <v>6</v>
      </c>
    </row>
    <row r="63" spans="1:10" ht="20.100000000000001" customHeight="1" x14ac:dyDescent="0.25">
      <c r="A63" s="5" t="str">
        <f>HYPERLINK("#'Constants - Fuel'!A1", "Constants - Fuel")</f>
        <v>Constants - Fuel</v>
      </c>
      <c r="D63" s="1" t="s">
        <v>254</v>
      </c>
      <c r="E63" s="1" cm="1">
        <f t="array" ref="E63">VEERG_15_10_1_1__1_OtherPurchasedGoodsAndServices_PharmacyChemicals_Result_Method1</f>
        <v>1.5636000000000001E-2</v>
      </c>
      <c r="F63" s="1" cm="1">
        <f t="array" ref="F63">VEERG_15_10_1_1__1_OtherPurchasedGoodsAndServices_PharmacyChemicals_Result_Method2</f>
        <v>1.3400000000000002E-2</v>
      </c>
      <c r="G63" s="9" t="s">
        <v>6</v>
      </c>
      <c r="H63" s="1">
        <f t="shared" si="3"/>
        <v>1.5636000000000001E-2</v>
      </c>
      <c r="I63" s="1">
        <f t="shared" si="3"/>
        <v>1.3400000000000002E-2</v>
      </c>
      <c r="J63" s="9" t="s">
        <v>6</v>
      </c>
    </row>
    <row r="64" spans="1:10" ht="20.100000000000001" customHeight="1" x14ac:dyDescent="0.25">
      <c r="A64" s="5" t="str">
        <f>HYPERLINK("#'Constants - Scope 3'!A1", "Constants - Scope 3")</f>
        <v>Constants - Scope 3</v>
      </c>
      <c r="D64" s="1" t="s">
        <v>255</v>
      </c>
      <c r="E64" s="1" cm="1">
        <f t="array" ref="E64">VEERG_15_10_1_1__1_OtherPurchasedGoodsAndServices_Misc_Result_Method1</f>
        <v>1.01E-2</v>
      </c>
      <c r="F64" s="1" cm="1">
        <f t="array" ref="F64">VEERG_15_10_1_1__1_OtherPurchasedGoodsAndServices_Misc_Result_Method2</f>
        <v>2.5860000000000001E-2</v>
      </c>
      <c r="G64" s="9" t="s">
        <v>6</v>
      </c>
      <c r="H64" s="1">
        <f t="shared" si="3"/>
        <v>1.01E-2</v>
      </c>
      <c r="I64" s="1">
        <f t="shared" si="3"/>
        <v>2.5860000000000001E-2</v>
      </c>
      <c r="J64" s="9" t="s">
        <v>6</v>
      </c>
    </row>
    <row r="65" spans="1:10" ht="20.100000000000001" customHeight="1" x14ac:dyDescent="0.25">
      <c r="A65" s="5" t="str">
        <f>HYPERLINK("#'Constants - Common'!A1", "Constants - Common")</f>
        <v>Constants - Common</v>
      </c>
      <c r="D65" s="1" t="s">
        <v>256</v>
      </c>
      <c r="E65" s="1" t="str" cm="1">
        <f t="array" ref="E65">VEERG_15_10_1_1__1_OtherPurchasedGoodsAndServices_Uncategorised_Result_Method1</f>
        <v>No data</v>
      </c>
      <c r="F65" s="1" cm="1">
        <f t="array" ref="F65">VEERG_15_10_1_1__1_OtherPurchasedGoodsAndServices_Uncategorised_Result_Method2</f>
        <v>4000</v>
      </c>
      <c r="G65" s="9" t="s">
        <v>6</v>
      </c>
      <c r="H65" s="1" t="str">
        <f t="shared" si="3"/>
        <v>No data</v>
      </c>
      <c r="I65" s="1">
        <f t="shared" si="3"/>
        <v>4000</v>
      </c>
      <c r="J65" s="9" t="s">
        <v>6</v>
      </c>
    </row>
    <row r="66" spans="1:10" ht="20.100000000000001" customHeight="1" x14ac:dyDescent="0.25">
      <c r="A66" s="5" t="str">
        <f>HYPERLINK("#'Constants - Refrigerants'!A1", "Constants - Refrigerants")</f>
        <v>Constants - Refrigerants</v>
      </c>
      <c r="D66" s="1" t="s">
        <v>257</v>
      </c>
      <c r="E66" s="1" cm="1">
        <f t="array" ref="E66">VEERG_15_11_1_1__1_TotalUpstreamEmissionsFromFuel_Result</f>
        <v>26.794</v>
      </c>
      <c r="F66" s="1">
        <f>E66</f>
        <v>26.794</v>
      </c>
      <c r="G66" s="9" t="s">
        <v>6</v>
      </c>
      <c r="H66" s="1">
        <f t="shared" si="3"/>
        <v>26.794</v>
      </c>
      <c r="I66" s="1">
        <f t="shared" si="3"/>
        <v>26.794</v>
      </c>
      <c r="J66" s="9" t="s">
        <v>6</v>
      </c>
    </row>
    <row r="67" spans="1:10" ht="20.100000000000001" customHeight="1" x14ac:dyDescent="0.25">
      <c r="A67" s="5" t="str">
        <f>HYPERLINK("#'Constants - Solid Waste'!A1", "Constants - Solid Waste")</f>
        <v>Constants - Solid Waste</v>
      </c>
      <c r="D67" s="1" t="str" cm="1">
        <f t="array" ref="D67">"15.12.1.1 Purchased electricity " &amp; IF(X_Cell_Electricity_CalculationMethod="Location-based (simpler)", "(Location-based)", "(Market-based)")</f>
        <v>15.12.1.1 Purchased electricity (Location-based)</v>
      </c>
      <c r="E67" s="1" cm="1">
        <f t="array" ref="E67">IF(X_Cell_Electricity_CalculationMethod="Location-based (simpler)", VEERG_15_12_1_1__1_UpstreamPurchasedElectricityLocationBased_Result, VEERG_15_12_1_1__1_UpstreamPurchasedElectricityMarketBased_Result)</f>
        <v>2.7</v>
      </c>
      <c r="F67" s="1">
        <f>E67</f>
        <v>2.7</v>
      </c>
      <c r="G67" s="9" t="s">
        <v>6</v>
      </c>
      <c r="H67" s="1">
        <f t="shared" si="3"/>
        <v>2.7</v>
      </c>
      <c r="I67" s="1">
        <f t="shared" si="3"/>
        <v>2.7</v>
      </c>
      <c r="J67" s="9" t="s">
        <v>6</v>
      </c>
    </row>
    <row r="68" spans="1:10" ht="20.100000000000001" customHeight="1" x14ac:dyDescent="0.25">
      <c r="A68" s="5" t="str">
        <f>HYPERLINK("#'Acknowledgements'!A1", "Acknowledgements")</f>
        <v>Acknowledgements</v>
      </c>
      <c r="D68" s="1" t="s">
        <v>258</v>
      </c>
      <c r="E68" s="1" t="str" cm="1">
        <f t="array" ref="E68">VEERG_15_14_1_1__1_EmbeddedEmissionsFromUpstreamFreight_Incoming_Result_Method1</f>
        <v>No data</v>
      </c>
      <c r="F68" s="1" cm="1">
        <f t="array" ref="F68">VEERG_15_14_1_1__1_EmbeddedEmissionsFromUpstreamFreight_Incoming_Result_Method2</f>
        <v>5146700</v>
      </c>
      <c r="G68" s="9" t="s">
        <v>6</v>
      </c>
      <c r="H68" s="1" t="str">
        <f>E68</f>
        <v>No data</v>
      </c>
      <c r="I68" s="1">
        <f>F68</f>
        <v>5146700</v>
      </c>
      <c r="J68" s="9" t="s">
        <v>6</v>
      </c>
    </row>
    <row r="69" spans="1:10" ht="20.100000000000001" customHeight="1" x14ac:dyDescent="0.25">
      <c r="D69" s="1" t="s">
        <v>259</v>
      </c>
      <c r="E69" s="1" cm="1">
        <f t="array" ref="E69">VEERG_10_1_1_1__1_EmissionsFromWasteManagement_Scope3_Result_Method1</f>
        <v>441.15000000000003</v>
      </c>
      <c r="F69" s="1">
        <f>E69</f>
        <v>441.15000000000003</v>
      </c>
      <c r="G69" s="9" t="s">
        <v>6</v>
      </c>
      <c r="H69" s="1">
        <f t="shared" ref="H69:I70" si="4">E69</f>
        <v>441.15000000000003</v>
      </c>
      <c r="I69" s="1">
        <f t="shared" si="4"/>
        <v>441.15000000000003</v>
      </c>
      <c r="J69" s="9" t="s">
        <v>6</v>
      </c>
    </row>
    <row r="70" spans="1:10" ht="20.100000000000001" customHeight="1" x14ac:dyDescent="0.25">
      <c r="D70" s="1" t="s">
        <v>260</v>
      </c>
      <c r="E70" s="1" t="str" cm="1">
        <f t="array" ref="E70">VEERG_15_14_1_1__1_EmbeddedEmissionsFromUpstreamFreight_Outgoing_Result_Method1</f>
        <v>No data</v>
      </c>
      <c r="F70" s="1" cm="1">
        <f t="array" ref="F70">VEERG_15_14_1_1__1_EmbeddedEmissionsFromUpstreamFreight_Outgoing_Result_Method2</f>
        <v>432640</v>
      </c>
      <c r="G70" s="9" t="s">
        <v>6</v>
      </c>
      <c r="H70" s="1" t="str">
        <f t="shared" si="4"/>
        <v>No data</v>
      </c>
      <c r="I70" s="1">
        <f t="shared" si="4"/>
        <v>432640</v>
      </c>
      <c r="J70" s="9" t="s">
        <v>6</v>
      </c>
    </row>
    <row r="71" spans="1:10" ht="20.100000000000001" customHeight="1" x14ac:dyDescent="0.25">
      <c r="D71" s="87" t="s">
        <v>261</v>
      </c>
      <c r="E71" s="90"/>
      <c r="F71" s="90"/>
      <c r="G71" s="90"/>
      <c r="H71" s="87">
        <f>SUM(H55:H70)</f>
        <v>1441.4006632000001</v>
      </c>
      <c r="I71" s="87">
        <f>SUM(I55:I70)</f>
        <v>5584929.5983752003</v>
      </c>
      <c r="J71" s="89" t="s">
        <v>6</v>
      </c>
    </row>
    <row r="72" spans="1:10" ht="20.100000000000001" customHeight="1" x14ac:dyDescent="0.25"/>
    <row r="73" spans="1:10" ht="20.100000000000001" customHeight="1" x14ac:dyDescent="0.25"/>
    <row r="74" spans="1:10" ht="20.100000000000001" customHeight="1" x14ac:dyDescent="0.25">
      <c r="D74" s="78" t="str">
        <f>"Carbon removals from plantings for the activity period " &amp; TEXT(X_Cell_Site_StartDate, "d mmmm yyyy") &amp; " and " &amp; TEXT(X_Cell_Site_EndDate, "d mmmm yyyy")</f>
        <v>Carbon removals from plantings for the activity period 1 January 2024 and 31 December 2024</v>
      </c>
    </row>
    <row r="75" spans="1:10" ht="20.100000000000001" customHeight="1" x14ac:dyDescent="0.25"/>
    <row r="76" spans="1:10" ht="20.25" x14ac:dyDescent="0.25">
      <c r="D76" s="87" t="s">
        <v>262</v>
      </c>
      <c r="E76" s="90">
        <f>SUM(Table_Input_Enterprise_PlantingRemovals[Removal allocated to this enterprise])</f>
        <v>0</v>
      </c>
      <c r="F76" s="89" t="s">
        <v>126</v>
      </c>
    </row>
    <row r="79" spans="1:10" ht="18.75" x14ac:dyDescent="0.25">
      <c r="D79" s="78" t="str">
        <f>"Net emissions for the activity period " &amp; TEXT(X_Cell_Site_StartDate, "d mmmm yyyy") &amp; " and " &amp; TEXT(X_Cell_Site_EndDate, "d mmmm yyyy")</f>
        <v>Net emissions for the activity period 1 January 2024 and 31 December 2024</v>
      </c>
    </row>
    <row r="81" spans="4:7" x14ac:dyDescent="0.25">
      <c r="D81" s="11"/>
      <c r="E81" s="11" t="s">
        <v>129</v>
      </c>
      <c r="F81" s="11" t="s">
        <v>130</v>
      </c>
    </row>
    <row r="82" spans="4:7" ht="20.25" x14ac:dyDescent="0.25">
      <c r="D82" s="85" t="s">
        <v>263</v>
      </c>
      <c r="E82" s="91">
        <f ca="1">Result_Enterprise_Scope1_Method1+Result_Enterprise_Scope2_Method1+Result_Enterprise_Scope3_Method1</f>
        <v>5186.2580400098868</v>
      </c>
      <c r="F82" s="91">
        <f ca="1">Result_Enterprise_Scope1_Method2+Result_Enterprise_Scope2_Method2+Result_Enterprise_Scope3_Method2</f>
        <v>7753.9955020961625</v>
      </c>
      <c r="G82" s="86" t="s">
        <v>264</v>
      </c>
    </row>
    <row r="83" spans="4:7" ht="20.25" x14ac:dyDescent="0.25">
      <c r="D83" s="85" t="s">
        <v>265</v>
      </c>
      <c r="E83" s="91">
        <f ca="1">Result_Enterprise_Gross_Method1-Result_Enterprise_Removals</f>
        <v>5186.2580400098868</v>
      </c>
      <c r="F83" s="91">
        <f ca="1">Result_Enterprise_Gross_Method2-Result_Enterprise_Removals</f>
        <v>7753.9955020961625</v>
      </c>
      <c r="G83" s="86" t="s">
        <v>264</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8DCBC-EA61-418F-9ACB-B83379D3C733}">
  <sheetPr>
    <tabColor rgb="FF0C769E"/>
  </sheetPr>
  <dimension ref="A1:N72"/>
  <sheetViews>
    <sheetView showGridLines="0" tabSelected="1" topLeftCell="A30" zoomScaleNormal="100" workbookViewId="0">
      <pane xSplit="1" topLeftCell="B1" activePane="topRight" state="frozenSplit"/>
      <selection pane="topRight" activeCell="I64" sqref="I64"/>
    </sheetView>
  </sheetViews>
  <sheetFormatPr defaultRowHeight="15" x14ac:dyDescent="0.25"/>
  <cols>
    <col min="1" max="1" width="36.7109375" customWidth="1"/>
    <col min="2" max="3" width="4.7109375" customWidth="1"/>
    <col min="4" max="4" width="53.7109375" customWidth="1"/>
    <col min="5" max="14" width="30.7109375" customWidth="1"/>
  </cols>
  <sheetData>
    <row r="1" spans="1:14" ht="30" customHeight="1" x14ac:dyDescent="0.35">
      <c r="A1" s="10" t="e" vm="1">
        <v>#VALUE!</v>
      </c>
      <c r="C1" s="84" t="s">
        <v>273</v>
      </c>
      <c r="D1" s="84"/>
      <c r="E1" s="84"/>
      <c r="F1" s="84"/>
      <c r="G1" s="84"/>
      <c r="H1" s="84"/>
      <c r="I1" s="84"/>
      <c r="J1" s="84"/>
      <c r="K1" s="84"/>
      <c r="L1" s="84"/>
      <c r="M1" s="84"/>
      <c r="N1" s="84"/>
    </row>
    <row r="2" spans="1:14" ht="20.100000000000001" customHeight="1" x14ac:dyDescent="0.25">
      <c r="C2" s="3"/>
      <c r="D2" s="3"/>
      <c r="E2" s="3"/>
      <c r="F2" s="3"/>
      <c r="G2" s="3"/>
      <c r="H2" s="3"/>
      <c r="I2" s="3"/>
      <c r="J2" s="3"/>
      <c r="K2" s="3"/>
      <c r="L2" s="3"/>
      <c r="M2" s="3"/>
      <c r="N2" s="3"/>
    </row>
    <row r="3" spans="1:14" ht="20.100000000000001" customHeight="1" x14ac:dyDescent="0.25">
      <c r="A3" s="5" t="str">
        <f>HYPERLINK("#'Home'!A1", "Home")</f>
        <v>Home</v>
      </c>
      <c r="C3" s="94"/>
      <c r="D3" s="94"/>
      <c r="E3" s="94"/>
      <c r="F3" s="94"/>
      <c r="G3" s="94"/>
      <c r="H3" s="94"/>
      <c r="I3" s="94"/>
      <c r="J3" s="94"/>
      <c r="K3" s="94"/>
      <c r="L3" s="94"/>
      <c r="M3" s="94"/>
      <c r="N3" s="94"/>
    </row>
    <row r="4" spans="1:14" ht="20.100000000000001" customHeight="1" x14ac:dyDescent="0.25">
      <c r="A4" s="5" t="str">
        <f>HYPERLINK("#'Results - Activity period'!A1", "Results - Activity period")</f>
        <v>Results - Activity period</v>
      </c>
      <c r="C4" s="1"/>
      <c r="D4" s="1"/>
      <c r="E4" s="1"/>
      <c r="F4" s="1"/>
      <c r="G4" s="1"/>
      <c r="H4" s="1"/>
      <c r="I4" s="1"/>
      <c r="J4" s="1"/>
      <c r="K4" s="1"/>
      <c r="L4" s="1"/>
      <c r="M4" s="1"/>
      <c r="N4" s="1"/>
    </row>
    <row r="5" spans="1:14" ht="20.100000000000001" customHeight="1" x14ac:dyDescent="0.25">
      <c r="A5" s="278" t="str">
        <f>HYPERLINK("#'Results - Product EI'!A1", "Results - Product Emissions Intensity")</f>
        <v>Results - Product Emissions Intensity</v>
      </c>
      <c r="C5" s="1"/>
      <c r="D5" s="1"/>
      <c r="E5" s="1"/>
      <c r="F5" s="1"/>
      <c r="G5" s="1"/>
      <c r="H5" s="1"/>
      <c r="I5" s="1"/>
      <c r="J5" s="1"/>
      <c r="K5" s="1"/>
      <c r="L5" s="1"/>
      <c r="M5" s="1"/>
      <c r="N5" s="1"/>
    </row>
    <row r="6" spans="1:14" ht="20.100000000000001" customHeight="1" x14ac:dyDescent="0.25">
      <c r="A6" s="5" t="str">
        <f>HYPERLINK("#'Results'!A1", "Results")</f>
        <v>Results</v>
      </c>
      <c r="C6" s="1"/>
      <c r="D6" s="1"/>
      <c r="E6" s="1"/>
      <c r="F6" s="1"/>
      <c r="G6" s="1"/>
      <c r="H6" s="1"/>
      <c r="I6" s="1"/>
      <c r="J6" s="1"/>
      <c r="K6" s="1"/>
      <c r="L6" s="1"/>
      <c r="M6" s="1"/>
      <c r="N6" s="1"/>
    </row>
    <row r="7" spans="1:14" ht="20.100000000000001" customHeight="1" x14ac:dyDescent="0.25">
      <c r="C7" s="1"/>
      <c r="D7" s="1"/>
      <c r="E7" s="1"/>
      <c r="F7" s="1"/>
      <c r="G7" s="1"/>
      <c r="H7" s="1"/>
      <c r="I7" s="1"/>
      <c r="J7" s="1"/>
      <c r="K7" s="1"/>
      <c r="L7" s="1"/>
      <c r="M7" s="1"/>
      <c r="N7" s="1"/>
    </row>
    <row r="8" spans="1:14" ht="20.100000000000001" customHeight="1" x14ac:dyDescent="0.25">
      <c r="C8" s="1"/>
      <c r="D8" s="1"/>
      <c r="E8" s="1"/>
      <c r="F8" s="1"/>
      <c r="G8" s="1"/>
      <c r="H8" s="1"/>
      <c r="I8" s="1"/>
      <c r="J8" s="1"/>
      <c r="K8" s="1"/>
      <c r="L8" s="1"/>
      <c r="M8" s="1"/>
      <c r="N8" s="1"/>
    </row>
    <row r="9" spans="1:14" ht="20.100000000000001" customHeight="1" x14ac:dyDescent="0.25">
      <c r="A9" s="7" t="s">
        <v>0</v>
      </c>
      <c r="C9" s="1"/>
      <c r="D9" s="1"/>
      <c r="E9" s="1"/>
      <c r="F9" s="1"/>
      <c r="G9" s="1"/>
      <c r="H9" s="1"/>
      <c r="I9" s="1"/>
      <c r="J9" s="1"/>
      <c r="K9" s="1"/>
      <c r="L9" s="1"/>
      <c r="M9" s="1"/>
      <c r="N9" s="1"/>
    </row>
    <row r="10" spans="1:14" ht="20.100000000000001" customHeight="1" x14ac:dyDescent="0.25">
      <c r="A10" s="5" t="str">
        <f>HYPERLINK("#'Input - Enterprise'!A1", "Enterprise")</f>
        <v>Enterprise</v>
      </c>
      <c r="C10" s="1"/>
      <c r="D10" s="1"/>
      <c r="E10" s="1"/>
      <c r="F10" s="1"/>
      <c r="G10" s="1"/>
      <c r="H10" s="1"/>
      <c r="I10" s="1"/>
      <c r="J10" s="1"/>
      <c r="K10" s="1"/>
      <c r="L10" s="1"/>
      <c r="M10" s="1"/>
      <c r="N10" s="1"/>
    </row>
    <row r="11" spans="1:14" ht="20.100000000000001" customHeight="1" x14ac:dyDescent="0.25">
      <c r="A11" s="5" t="str">
        <f>HYPERLINK("#'Input - Site'!A1", "Site")</f>
        <v>Site</v>
      </c>
      <c r="C11" s="1"/>
      <c r="D11" s="1"/>
      <c r="E11" s="1"/>
      <c r="F11" s="1"/>
      <c r="G11" s="1"/>
      <c r="H11" s="1"/>
      <c r="I11" s="1"/>
      <c r="J11" s="1"/>
      <c r="K11" s="1"/>
      <c r="L11" s="1"/>
      <c r="M11" s="1"/>
      <c r="N11" s="1"/>
    </row>
    <row r="12" spans="1:14" ht="20.100000000000001" customHeight="1" x14ac:dyDescent="0.25">
      <c r="A12" s="5" t="str">
        <f>HYPERLINK("#'Input - Dairy'!A1", "Dairy")</f>
        <v>Dairy</v>
      </c>
      <c r="C12" s="1"/>
      <c r="D12" s="1"/>
      <c r="E12" s="1"/>
      <c r="F12" s="1"/>
      <c r="G12" s="1"/>
      <c r="H12" s="1"/>
      <c r="I12" s="1"/>
      <c r="J12" s="1"/>
      <c r="K12" s="1"/>
      <c r="L12" s="1"/>
      <c r="M12" s="1"/>
      <c r="N12" s="1"/>
    </row>
    <row r="13" spans="1:14" ht="20.100000000000001" customHeight="1" x14ac:dyDescent="0.25">
      <c r="A13" s="5" t="str">
        <f>HYPERLINK("#'Input - Livestock sales'!A1", "Livestock sales")</f>
        <v>Livestock sales</v>
      </c>
      <c r="C13" s="1"/>
      <c r="D13" s="1"/>
      <c r="E13" s="1"/>
      <c r="F13" s="1"/>
      <c r="G13" s="1"/>
      <c r="H13" s="1"/>
      <c r="I13" s="1"/>
      <c r="J13" s="1"/>
      <c r="K13" s="1"/>
      <c r="L13" s="1"/>
      <c r="M13" s="1"/>
      <c r="N13" s="1"/>
    </row>
    <row r="14" spans="1:14" ht="20.100000000000001" customHeight="1" x14ac:dyDescent="0.25">
      <c r="A14" s="5" t="str">
        <f>HYPERLINK("#'Input - Dairy cattle purchases'!A1", "Dairy cattle purchases")</f>
        <v>Dairy cattle purchases</v>
      </c>
      <c r="C14" s="1"/>
      <c r="D14" s="1"/>
      <c r="E14" s="1"/>
      <c r="F14" s="1"/>
      <c r="G14" s="1"/>
      <c r="H14" s="1"/>
      <c r="I14" s="1"/>
      <c r="J14" s="1"/>
      <c r="K14" s="1"/>
      <c r="L14" s="1"/>
      <c r="M14" s="1"/>
      <c r="N14" s="1"/>
    </row>
    <row r="15" spans="1:14" ht="20.100000000000001" customHeight="1" x14ac:dyDescent="0.25">
      <c r="A15" s="5" t="str">
        <f>HYPERLINK("#'Input - Pasture'!A1", "Pasture")</f>
        <v>Pasture</v>
      </c>
      <c r="C15" s="1"/>
      <c r="D15" s="1"/>
      <c r="E15" s="1"/>
      <c r="F15" s="1"/>
      <c r="G15" s="1"/>
      <c r="H15" s="1"/>
      <c r="I15" s="1"/>
      <c r="J15" s="1"/>
      <c r="K15" s="1"/>
      <c r="L15" s="1"/>
      <c r="M15" s="1"/>
      <c r="N15" s="1"/>
    </row>
    <row r="16" spans="1:14" ht="20.100000000000001" customHeight="1" x14ac:dyDescent="0.25">
      <c r="A16" s="5" t="str">
        <f>HYPERLINK("#'Input - Fert Prod System'!A1", "Fert Prod System")</f>
        <v>Fert Prod System</v>
      </c>
      <c r="C16" s="1"/>
      <c r="D16" s="1"/>
      <c r="E16" s="1"/>
      <c r="F16" s="1"/>
      <c r="G16" s="1"/>
      <c r="H16" s="1"/>
      <c r="I16" s="1"/>
      <c r="J16" s="1"/>
      <c r="K16" s="1"/>
      <c r="L16" s="1"/>
      <c r="M16" s="1"/>
      <c r="N16" s="1"/>
    </row>
    <row r="17" spans="1:14" ht="20.100000000000001" customHeight="1" x14ac:dyDescent="0.25">
      <c r="A17" s="5" t="str">
        <f>HYPERLINK("#'Input - Fertiliser'!A1", "Fertiliser")</f>
        <v>Fertiliser</v>
      </c>
      <c r="C17" s="1"/>
      <c r="D17" s="1"/>
      <c r="E17" s="1"/>
      <c r="F17" s="1"/>
      <c r="G17" s="1"/>
      <c r="H17" s="1"/>
      <c r="I17" s="1"/>
      <c r="J17" s="1"/>
      <c r="K17" s="1"/>
      <c r="L17" s="1"/>
      <c r="M17" s="1"/>
      <c r="N17" s="1"/>
    </row>
    <row r="18" spans="1:14" ht="20.100000000000001" customHeight="1" x14ac:dyDescent="0.25">
      <c r="A18" s="5" t="str">
        <f>HYPERLINK("#'Input - Fuel'!A1", "Fuel")</f>
        <v>Fuel</v>
      </c>
      <c r="C18" s="1"/>
      <c r="D18" s="1"/>
      <c r="E18" s="1"/>
      <c r="F18" s="1"/>
      <c r="G18" s="1"/>
      <c r="H18" s="1"/>
      <c r="I18" s="1"/>
      <c r="J18" s="1"/>
      <c r="K18" s="1"/>
      <c r="L18" s="1"/>
      <c r="M18" s="1"/>
      <c r="N18" s="1"/>
    </row>
    <row r="19" spans="1:14" ht="20.100000000000001" customHeight="1" x14ac:dyDescent="0.25">
      <c r="A19" s="5" t="str">
        <f>HYPERLINK("#'Input - Electricity'!A1", "Electricity")</f>
        <v>Electricity</v>
      </c>
      <c r="C19" s="1"/>
      <c r="D19" s="1"/>
      <c r="E19" s="1"/>
      <c r="F19" s="1"/>
      <c r="G19" s="1"/>
      <c r="H19" s="1"/>
      <c r="I19" s="1"/>
      <c r="J19" s="1"/>
      <c r="K19" s="1"/>
      <c r="L19" s="1"/>
      <c r="M19" s="1"/>
      <c r="N19" s="1"/>
    </row>
    <row r="20" spans="1:14" ht="20.100000000000001" customHeight="1" x14ac:dyDescent="0.25">
      <c r="A20" s="5" t="str">
        <f>HYPERLINK("#'Input - Common farm inputs'!A1", "Common farm inputs")</f>
        <v>Common farm inputs</v>
      </c>
      <c r="C20" s="1"/>
      <c r="D20" s="1"/>
      <c r="E20" s="1"/>
      <c r="F20" s="1"/>
      <c r="G20" s="1"/>
      <c r="H20" s="1"/>
      <c r="I20" s="1"/>
      <c r="J20" s="1"/>
      <c r="K20" s="1"/>
      <c r="L20" s="1"/>
      <c r="M20" s="1"/>
      <c r="N20" s="1"/>
    </row>
    <row r="21" spans="1:14" ht="20.100000000000001" customHeight="1" x14ac:dyDescent="0.25">
      <c r="A21" s="5" t="str">
        <f>HYPERLINK("#'Input - Crop pasture farm input'!A1", "Crop pasture farm input")</f>
        <v>Crop pasture farm input</v>
      </c>
      <c r="C21" s="1"/>
      <c r="D21" s="1"/>
      <c r="E21" s="1"/>
      <c r="F21" s="1"/>
      <c r="G21" s="1"/>
      <c r="H21" s="1"/>
      <c r="I21" s="1"/>
      <c r="J21" s="1"/>
      <c r="K21" s="1"/>
      <c r="L21" s="1"/>
      <c r="M21" s="1"/>
      <c r="N21" s="1"/>
    </row>
    <row r="22" spans="1:14" ht="20.100000000000001" customHeight="1" x14ac:dyDescent="0.25">
      <c r="A22" s="5" t="str">
        <f>HYPERLINK("#'Input - Livestock farm Inputs'!A1", "Livestock farm Inputs")</f>
        <v>Livestock farm Inputs</v>
      </c>
      <c r="C22" s="1"/>
      <c r="D22" s="1"/>
      <c r="E22" s="1"/>
      <c r="F22" s="1"/>
      <c r="G22" s="1"/>
      <c r="H22" s="1"/>
      <c r="I22" s="1"/>
      <c r="J22" s="1"/>
      <c r="K22" s="1"/>
      <c r="L22" s="1"/>
      <c r="M22" s="1"/>
      <c r="N22" s="1"/>
    </row>
    <row r="23" spans="1:14" ht="20.100000000000001" customHeight="1" x14ac:dyDescent="0.25">
      <c r="A23" s="5" t="str">
        <f>HYPERLINK("#'Input - Freight'!A1", "Freight")</f>
        <v>Freight</v>
      </c>
      <c r="C23" s="1"/>
      <c r="D23" s="1"/>
      <c r="E23" s="1"/>
      <c r="F23" s="1"/>
      <c r="G23" s="1"/>
      <c r="H23" s="1"/>
      <c r="I23" s="1"/>
      <c r="J23" s="1"/>
      <c r="K23" s="1"/>
      <c r="L23" s="1"/>
      <c r="M23" s="1"/>
      <c r="N23" s="1"/>
    </row>
    <row r="24" spans="1:14" ht="20.100000000000001" customHeight="1" x14ac:dyDescent="0.25">
      <c r="A24" s="5" t="str">
        <f>HYPERLINK("#'Input - Solid waste'!A1", "Solid waste")</f>
        <v>Solid waste</v>
      </c>
      <c r="C24" s="1"/>
      <c r="D24" s="1"/>
      <c r="E24" s="1"/>
      <c r="F24" s="1"/>
      <c r="G24" s="1"/>
      <c r="H24" s="1"/>
      <c r="I24" s="1"/>
      <c r="J24" s="1"/>
      <c r="K24" s="1"/>
      <c r="L24" s="1"/>
      <c r="M24" s="1"/>
      <c r="N24" s="1"/>
    </row>
    <row r="25" spans="1:14" ht="20.100000000000001" customHeight="1" x14ac:dyDescent="0.25">
      <c r="A25" s="5" t="str">
        <f>HYPERLINK("#'Input - Manure sent off-site'!A1", "Manure sent off-site")</f>
        <v>Manure sent off-site</v>
      </c>
      <c r="C25" s="1"/>
      <c r="D25" s="1"/>
      <c r="E25" s="1"/>
      <c r="F25" s="1"/>
      <c r="G25" s="1"/>
      <c r="H25" s="1"/>
      <c r="I25" s="1"/>
      <c r="J25" s="1"/>
      <c r="K25" s="1"/>
      <c r="L25" s="1"/>
      <c r="M25" s="1"/>
      <c r="N25" s="1"/>
    </row>
    <row r="26" spans="1:14" ht="20.100000000000001" customHeight="1" x14ac:dyDescent="0.25">
      <c r="A26" s="5" t="str">
        <f>HYPERLINK("#'Input - Refrigerants'!A1", "Refrigerants")</f>
        <v>Refrigerants</v>
      </c>
      <c r="C26" s="1"/>
      <c r="D26" s="1"/>
      <c r="E26" s="1"/>
      <c r="F26" s="1"/>
      <c r="G26" s="1"/>
      <c r="H26" s="1"/>
      <c r="I26" s="1"/>
      <c r="J26" s="1"/>
      <c r="K26" s="1"/>
      <c r="L26" s="1"/>
      <c r="M26" s="1"/>
      <c r="N26" s="1"/>
    </row>
    <row r="27" spans="1:14" ht="20.100000000000001" customHeight="1" x14ac:dyDescent="0.25">
      <c r="A27" s="5" t="str">
        <f>HYPERLINK("#'Input - Data quality'!A1", "Data quality")</f>
        <v>Data quality</v>
      </c>
      <c r="C27" s="1"/>
      <c r="D27" s="1"/>
      <c r="E27" s="1"/>
      <c r="F27" s="1"/>
      <c r="G27" s="1"/>
      <c r="H27" s="1"/>
      <c r="I27" s="1"/>
      <c r="J27" s="1"/>
      <c r="K27" s="1"/>
      <c r="L27" s="1"/>
      <c r="M27" s="1"/>
      <c r="N27" s="1"/>
    </row>
    <row r="28" spans="1:14" ht="20.100000000000001" customHeight="1" x14ac:dyDescent="0.25">
      <c r="C28" s="1"/>
      <c r="D28" s="1"/>
      <c r="E28" s="1"/>
      <c r="F28" s="1"/>
      <c r="G28" s="1"/>
      <c r="H28" s="1"/>
      <c r="I28" s="1"/>
      <c r="J28" s="1"/>
      <c r="K28" s="1"/>
      <c r="L28" s="1"/>
      <c r="M28" s="1"/>
      <c r="N28" s="1"/>
    </row>
    <row r="29" spans="1:14" ht="20.100000000000001" customHeight="1" x14ac:dyDescent="0.25">
      <c r="C29" s="1"/>
      <c r="D29" s="1"/>
      <c r="E29" s="1"/>
      <c r="F29" s="1"/>
      <c r="G29" s="1"/>
      <c r="H29" s="1"/>
      <c r="I29" s="1"/>
      <c r="J29" s="1"/>
      <c r="K29" s="1"/>
      <c r="L29" s="1"/>
      <c r="M29" s="1"/>
      <c r="N29" s="1"/>
    </row>
    <row r="30" spans="1:14" ht="20.100000000000001" customHeight="1" x14ac:dyDescent="0.25">
      <c r="A30" s="6" t="s">
        <v>2</v>
      </c>
      <c r="C30" s="1"/>
      <c r="D30" s="1"/>
      <c r="E30" s="1"/>
      <c r="F30" s="1"/>
      <c r="G30" s="1"/>
      <c r="H30" s="1"/>
      <c r="I30" s="1"/>
      <c r="J30" s="1"/>
      <c r="K30" s="1"/>
      <c r="L30" s="1"/>
      <c r="M30" s="1"/>
      <c r="N30" s="1"/>
    </row>
    <row r="31" spans="1:14" ht="20.100000000000001" customHeight="1" x14ac:dyDescent="0.25">
      <c r="A31" s="5" t="str">
        <f>HYPERLINK("#'3.3.1.1-2 Enteric Methane'!A1", "3.3.1.1-2 Enteric methane")</f>
        <v>3.3.1.1-2 Enteric methane</v>
      </c>
      <c r="C31" s="1"/>
      <c r="D31" s="1"/>
      <c r="E31" s="1"/>
      <c r="F31" s="1"/>
      <c r="G31" s="1"/>
      <c r="H31" s="1"/>
      <c r="I31" s="1"/>
      <c r="J31" s="1"/>
      <c r="K31" s="1"/>
      <c r="L31" s="1"/>
      <c r="M31" s="1"/>
      <c r="N31" s="1"/>
    </row>
    <row r="32" spans="1:14" ht="20.100000000000001" customHeight="1" x14ac:dyDescent="0.25">
      <c r="A32" s="5" t="str">
        <f>HYPERLINK("#'4.3.1.1-2 Methane'!A1", "4.3.1.1-2 Manure methane")</f>
        <v>4.3.1.1-2 Manure methane</v>
      </c>
      <c r="C32" s="1"/>
      <c r="D32" s="2" t="str">
        <f>"Emissions for whole production cycle running between " &amp; TEXT(X_Cell_Enterprise_ProductionTimeframeStart, "d mmmm yyyy") &amp; " and " &amp; TEXT(X_Cell_Enterprise_ProductionTimeframeEnd, "d mmmm yyyy")</f>
        <v>Emissions for whole production cycle running between 1 November 2023 and 31 March 2025</v>
      </c>
      <c r="E32" s="1"/>
      <c r="F32" s="1"/>
      <c r="G32" s="1"/>
      <c r="H32" s="1"/>
      <c r="I32" s="1"/>
      <c r="J32" s="1"/>
      <c r="K32" s="1"/>
      <c r="L32" s="1"/>
      <c r="M32" s="1"/>
      <c r="N32" s="1"/>
    </row>
    <row r="33" spans="1:14" ht="20.100000000000001" customHeight="1" x14ac:dyDescent="0.25">
      <c r="A33" s="5" t="str">
        <f>HYPERLINK("#'4.3.1.3-4 Direct N20'!A1", "4.3.1.3-4 Direct N20")</f>
        <v>4.3.1.3-4 Direct N20</v>
      </c>
      <c r="C33" s="1"/>
      <c r="D33" s="1"/>
      <c r="E33" s="1"/>
      <c r="F33" s="1"/>
      <c r="G33" s="1"/>
      <c r="H33" s="1"/>
      <c r="I33" s="1"/>
      <c r="J33" s="1"/>
      <c r="K33" s="1"/>
      <c r="L33" s="1"/>
      <c r="M33" s="1"/>
      <c r="N33" s="1"/>
    </row>
    <row r="34" spans="1:14" ht="20.100000000000001" customHeight="1" x14ac:dyDescent="0.25">
      <c r="A34" s="5" t="str">
        <f>HYPERLINK("#'4.3.1.5 Atmos deposition'!A1", "4.3.1.5 Atmos deposition")</f>
        <v>4.3.1.5 Atmos deposition</v>
      </c>
      <c r="C34" s="1"/>
      <c r="D34" s="1"/>
      <c r="E34" s="1"/>
      <c r="F34" s="1"/>
      <c r="G34" s="1"/>
      <c r="H34" s="1"/>
      <c r="I34" s="1"/>
      <c r="J34" s="1"/>
      <c r="K34" s="1"/>
      <c r="L34" s="1"/>
      <c r="M34" s="1"/>
      <c r="N34" s="1"/>
    </row>
    <row r="35" spans="1:14" ht="20.100000000000001" customHeight="1" x14ac:dyDescent="0.25">
      <c r="A35" s="5" t="str">
        <f>HYPERLINK("#'4.3.1.6-7 Leaching and runoff'!A1", "4.3.1.6-7 Leaching &amp; runoff")</f>
        <v>4.3.1.6-7 Leaching &amp; runoff</v>
      </c>
      <c r="C35" s="1"/>
      <c r="D35" s="11"/>
      <c r="E35" s="11" t="s">
        <v>129</v>
      </c>
      <c r="F35" s="11" t="s">
        <v>130</v>
      </c>
      <c r="G35" s="11"/>
      <c r="H35" s="1"/>
      <c r="I35" s="1"/>
      <c r="J35" s="1"/>
      <c r="K35" s="1"/>
      <c r="L35" s="1"/>
      <c r="M35" s="1"/>
      <c r="N35" s="1"/>
    </row>
    <row r="36" spans="1:14" ht="20.100000000000001" customHeight="1" x14ac:dyDescent="0.25">
      <c r="A36" s="5" t="str">
        <f>HYPERLINK("#'4.3.1.8 Manure applied to soils'!A1", "4.3.1.8 Manure applied to soils")</f>
        <v>4.3.1.8 Manure applied to soils</v>
      </c>
      <c r="C36" s="1"/>
      <c r="D36" s="76" t="s">
        <v>274</v>
      </c>
      <c r="E36" s="1">
        <f ca="1">Result_EmissionsForWholeProductionCycle_Gross_Method1</f>
        <v>5186.2580400098868</v>
      </c>
      <c r="F36" s="1">
        <f ca="1">Result_EmissionsForWholeProductionCycle_Gross_Method2</f>
        <v>7753.9955020961625</v>
      </c>
      <c r="G36" s="9" t="s">
        <v>6</v>
      </c>
      <c r="H36" s="1"/>
      <c r="I36" s="1"/>
      <c r="J36" s="1"/>
      <c r="K36" s="1"/>
      <c r="L36" s="1"/>
      <c r="M36" s="1"/>
      <c r="N36" s="1"/>
    </row>
    <row r="37" spans="1:14" ht="20.100000000000001" customHeight="1" x14ac:dyDescent="0.25">
      <c r="A37" s="5" t="str">
        <f>HYPERLINK("#'4.3.1.9 Soil direct N2O'!A1", "4.3.1.9 Soil direct N2O")</f>
        <v>4.3.1.9 Soil direct N2O</v>
      </c>
      <c r="C37" s="1"/>
      <c r="D37" s="76" t="s">
        <v>275</v>
      </c>
      <c r="E37" s="1">
        <f ca="1">Result_EmissionsForWholeProductionCycle_Net_Method1</f>
        <v>5186.2580400098868</v>
      </c>
      <c r="F37" s="1">
        <f ca="1">Result_EmissionsForWholeProductionCycle_Net_Method2</f>
        <v>7753.9955020961625</v>
      </c>
      <c r="G37" s="9" t="s">
        <v>6</v>
      </c>
      <c r="H37" s="1"/>
      <c r="I37" s="1"/>
      <c r="J37" s="1"/>
      <c r="K37" s="1"/>
      <c r="L37" s="1"/>
      <c r="M37" s="1"/>
      <c r="N37" s="1"/>
    </row>
    <row r="38" spans="1:14" ht="20.100000000000001" customHeight="1" x14ac:dyDescent="0.25">
      <c r="A38" s="5" t="str">
        <f>HYPERLINK("#'4.3.1.10-11 Soil Atmos Dep'!A1", "4.3.1.10-11 Soil Atmos Deposition")</f>
        <v>4.3.1.10-11 Soil Atmos Deposition</v>
      </c>
      <c r="C38" s="1"/>
      <c r="D38" s="1"/>
      <c r="E38" s="1"/>
      <c r="F38" s="1"/>
      <c r="G38" s="1"/>
      <c r="H38" s="1"/>
      <c r="I38" s="1"/>
      <c r="J38" s="1"/>
      <c r="K38" s="1"/>
      <c r="L38" s="1"/>
      <c r="M38" s="1"/>
      <c r="N38" s="1"/>
    </row>
    <row r="39" spans="1:14" ht="20.100000000000001" customHeight="1" x14ac:dyDescent="0.25">
      <c r="A39" s="5" t="str">
        <f>HYPERLINK("#'4.3.1.12-13 Soil leach runoff'!A1", "4.3.1.12-13 Soil leach &amp; runoff")</f>
        <v>4.3.1.12-13 Soil leach &amp; runoff</v>
      </c>
      <c r="C39" s="1"/>
      <c r="D39"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2023 and 31 March 2025</v>
      </c>
      <c r="E39" s="1"/>
      <c r="F39" s="1"/>
      <c r="G39" s="1"/>
      <c r="H39" s="1"/>
      <c r="I39" s="1"/>
      <c r="J39" s="1"/>
      <c r="K39" s="1"/>
      <c r="L39" s="1"/>
      <c r="M39" s="1"/>
      <c r="N39" s="1"/>
    </row>
    <row r="40" spans="1:14" ht="20.100000000000001" customHeight="1" x14ac:dyDescent="0.25">
      <c r="A40" s="5" t="str">
        <f>HYPERLINK("#'5.1.1.1-2 Inorganic fert N2O'!A1", "5.1.1.1-2 Inorganic fert N2O")</f>
        <v>5.1.1.1-2 Inorganic fert N2O</v>
      </c>
      <c r="C40" s="1"/>
      <c r="D40" s="1"/>
      <c r="E40" s="1"/>
      <c r="F40" s="1"/>
      <c r="G40" s="1"/>
      <c r="H40" s="1"/>
      <c r="I40" s="1"/>
      <c r="J40" s="1"/>
      <c r="K40" s="1"/>
      <c r="L40" s="1"/>
      <c r="M40" s="1"/>
      <c r="N40" s="1"/>
    </row>
    <row r="41" spans="1:14" ht="20.100000000000001" customHeight="1" x14ac:dyDescent="0.25">
      <c r="A41" s="5" t="str">
        <f>HYPERLINK("#'5.1.1.3-4 Inorganic fert CO2'!A1", "5.1.1.3-4 Inorganic fert CO2")</f>
        <v>5.1.1.3-4 Inorganic fert CO2</v>
      </c>
      <c r="C41" s="1"/>
      <c r="D41" s="1"/>
      <c r="E41" s="1"/>
      <c r="F41" s="1"/>
      <c r="G41" s="1"/>
      <c r="H41" s="1"/>
      <c r="I41" s="1"/>
      <c r="J41" s="1"/>
      <c r="K41" s="1"/>
      <c r="L41" s="1"/>
      <c r="M41" s="1"/>
      <c r="N41" s="1"/>
    </row>
    <row r="42" spans="1:14" ht="20.100000000000001" customHeight="1" x14ac:dyDescent="0.25">
      <c r="A42" s="5" t="str">
        <f>HYPERLINK("#'5.2.1.1-2 Organic Fert N2O'!A1", "5.2.1.1-2 Organic fert N2O")</f>
        <v>5.2.1.1-2 Organic fert N2O</v>
      </c>
      <c r="C42" s="1"/>
      <c r="D42" s="78" t="s">
        <v>150</v>
      </c>
      <c r="E42" s="1"/>
      <c r="F42" s="1"/>
      <c r="G42" s="1"/>
      <c r="H42" s="1"/>
      <c r="I42" s="1"/>
      <c r="J42" s="1"/>
      <c r="K42" s="1"/>
      <c r="L42" s="1"/>
      <c r="M42" s="1"/>
      <c r="N42" s="1"/>
    </row>
    <row r="43" spans="1:14" ht="20.100000000000001" customHeight="1" x14ac:dyDescent="0.25">
      <c r="A43" s="5" t="str">
        <f>HYPERLINK("#'5.3.1.1-2 Lime CO2'!A1", "5.3.1.1-2 Lime CO2")</f>
        <v>5.3.1.1-2 Lime CO2</v>
      </c>
      <c r="C43" s="1"/>
      <c r="D43" s="11" t="s">
        <v>131</v>
      </c>
      <c r="E43" s="11" t="s">
        <v>122</v>
      </c>
      <c r="F43" s="11" t="s">
        <v>117</v>
      </c>
      <c r="G43" s="11" t="s">
        <v>152</v>
      </c>
      <c r="H43" s="11" t="s">
        <v>120</v>
      </c>
      <c r="I43" s="11" t="s">
        <v>121</v>
      </c>
      <c r="J43" s="11" t="s">
        <v>118</v>
      </c>
      <c r="K43" s="1"/>
      <c r="L43" s="1"/>
      <c r="M43" s="1"/>
      <c r="N43" s="1"/>
    </row>
    <row r="44" spans="1:14" ht="20.100000000000001" customHeight="1" x14ac:dyDescent="0.25">
      <c r="A44" s="5" t="str">
        <f>HYPERLINK("#'5.4.1.1-4 Atmos deposition'!A1", "5.4.1.1-4 Atmos. deposition")</f>
        <v>5.4.1.1-4 Atmos. deposition</v>
      </c>
      <c r="C44" s="1"/>
      <c r="D44" s="1" t="s">
        <v>184</v>
      </c>
      <c r="E44" s="1" t="s">
        <v>123</v>
      </c>
      <c r="F44" s="1">
        <f>X_Cell_Enterprise_MilkProduced*(IF(X_Cell_Enterprise_MilkProducedUnit="Litres of milk", 1.03, 1))*10^-3</f>
        <v>7.7445700000000004</v>
      </c>
      <c r="G44" s="1">
        <f>F44/(F44+F46+F48)</f>
        <v>0.56346397159023531</v>
      </c>
      <c r="H44" s="1">
        <f ca="1">(E36/F44)*G44</f>
        <v>377.33141451568775</v>
      </c>
      <c r="I44" s="1">
        <f ca="1">(F36/F44)*G44</f>
        <v>564.14973346537306</v>
      </c>
      <c r="J44" s="9" t="s">
        <v>280</v>
      </c>
      <c r="K44" s="1"/>
      <c r="L44" s="1"/>
      <c r="M44" s="1"/>
      <c r="N44" s="1"/>
    </row>
    <row r="45" spans="1:14" ht="20.100000000000001" customHeight="1" x14ac:dyDescent="0.25">
      <c r="A45" s="5" t="str">
        <f>HYPERLINK("#'5.5.1.1-2 Leaching and runoff'!A1", "5.5.1.1-2 Leaching &amp; runoff")</f>
        <v>5.5.1.1-2 Leaching &amp; runoff</v>
      </c>
      <c r="C45" s="1"/>
      <c r="D45" s="190" t="s">
        <v>185</v>
      </c>
      <c r="E45" s="190" t="s">
        <v>123</v>
      </c>
      <c r="F45" s="190">
        <f>F44</f>
        <v>7.7445700000000004</v>
      </c>
      <c r="G45" s="190">
        <f>G44</f>
        <v>0.56346397159023531</v>
      </c>
      <c r="H45" s="190">
        <f ca="1">(E37/F45)*G45</f>
        <v>377.33141451568775</v>
      </c>
      <c r="I45" s="190">
        <f ca="1">(F37/F45)*G45</f>
        <v>564.14973346537306</v>
      </c>
      <c r="J45" s="280" t="s">
        <v>280</v>
      </c>
      <c r="K45" s="1"/>
      <c r="L45" s="1"/>
      <c r="M45" s="1"/>
      <c r="N45" s="1"/>
    </row>
    <row r="46" spans="1:14" ht="20.100000000000001" customHeight="1" x14ac:dyDescent="0.25">
      <c r="A46" s="5" t="str">
        <f>HYPERLINK("#'6.2.1.1-2 Pasture residue N2O'!A1", "6.2.1.1-2 Pasture residue N2O")</f>
        <v>6.2.1.1-2 Pasture residue N2O</v>
      </c>
      <c r="C46" s="1"/>
      <c r="D46" s="1" t="s">
        <v>154</v>
      </c>
      <c r="E46" s="1" t="s">
        <v>124</v>
      </c>
      <c r="F46" s="1">
        <f>X_Cell_Enterprise_LiveweightSold</f>
        <v>5</v>
      </c>
      <c r="G46" s="1">
        <f>F46/(F44+F46+F48)</f>
        <v>0.36378002367480394</v>
      </c>
      <c r="H46" s="1">
        <f ca="1">(E36/F46)*G46</f>
        <v>377.33141451568775</v>
      </c>
      <c r="I46" s="1">
        <f ca="1">(F36/F46)*G46</f>
        <v>564.14973346537306</v>
      </c>
      <c r="J46" s="9" t="s">
        <v>119</v>
      </c>
      <c r="K46" s="1"/>
      <c r="L46" s="1"/>
      <c r="M46" s="1"/>
      <c r="N46" s="1"/>
    </row>
    <row r="47" spans="1:14" ht="20.100000000000001" customHeight="1" x14ac:dyDescent="0.25">
      <c r="A47" s="5" t="str">
        <f>HYPERLINK("#'6.3.1.1-2 Leach runoff pasture'!A1", "6.3.1.1-2 Leach &amp; runoff (pasture)")</f>
        <v>6.3.1.1-2 Leach &amp; runoff (pasture)</v>
      </c>
      <c r="C47" s="1"/>
      <c r="D47" s="190" t="s">
        <v>155</v>
      </c>
      <c r="E47" s="190" t="s">
        <v>124</v>
      </c>
      <c r="F47" s="190">
        <f>F46</f>
        <v>5</v>
      </c>
      <c r="G47" s="190">
        <f>G46</f>
        <v>0.36378002367480394</v>
      </c>
      <c r="H47" s="279">
        <f ca="1">(E37/F47)*G47</f>
        <v>377.33141451568775</v>
      </c>
      <c r="I47" s="279">
        <f ca="1">(F37/F47)*G47</f>
        <v>564.14973346537306</v>
      </c>
      <c r="J47" s="280" t="s">
        <v>119</v>
      </c>
      <c r="K47" s="1"/>
      <c r="L47" s="1"/>
      <c r="M47" s="1"/>
      <c r="N47" s="1"/>
    </row>
    <row r="48" spans="1:14" ht="20.100000000000001" customHeight="1" x14ac:dyDescent="0.25">
      <c r="A48" s="5" t="str">
        <f>HYPERLINK("#'8.1.1.1-2 Transport fuel'!A1", "8.1.1.1-2 Transport fuel")</f>
        <v>8.1.1.1-2 Transport fuel</v>
      </c>
      <c r="C48" s="1"/>
      <c r="D48" s="1" t="s">
        <v>156</v>
      </c>
      <c r="E48" s="1" t="s">
        <v>124</v>
      </c>
      <c r="F48" s="1">
        <f>X_Cell_Enterprise_ManureSoldTonnes</f>
        <v>1</v>
      </c>
      <c r="G48" s="1">
        <f>F48/(F44+F46+F48)</f>
        <v>7.2756004734960786E-2</v>
      </c>
      <c r="H48" s="1">
        <f ca="1">(E36/F48)*G48</f>
        <v>377.33141451568775</v>
      </c>
      <c r="I48" s="1">
        <f ca="1">(F36/F48)*G48</f>
        <v>564.14973346537306</v>
      </c>
      <c r="J48" s="9" t="s">
        <v>281</v>
      </c>
      <c r="K48" s="1"/>
      <c r="L48" s="1"/>
      <c r="M48" s="1"/>
      <c r="N48" s="1"/>
    </row>
    <row r="49" spans="1:14" ht="20.100000000000001" customHeight="1" x14ac:dyDescent="0.25">
      <c r="A49" s="5" t="str">
        <f>HYPERLINK("#'8.2.1.1-2 Stationary fuel'!A1", "8.2.1.1-2 Stationary fuel")</f>
        <v>8.2.1.1-2 Stationary fuel</v>
      </c>
      <c r="C49" s="1"/>
      <c r="D49" s="190" t="s">
        <v>157</v>
      </c>
      <c r="E49" s="190" t="s">
        <v>124</v>
      </c>
      <c r="F49" s="190">
        <f>F48</f>
        <v>1</v>
      </c>
      <c r="G49" s="190">
        <f>G48</f>
        <v>7.2756004734960786E-2</v>
      </c>
      <c r="H49" s="190">
        <f ca="1">(E37/F49)*G49</f>
        <v>377.33141451568775</v>
      </c>
      <c r="I49" s="190">
        <f ca="1">(F37/F49)*G49</f>
        <v>564.14973346537306</v>
      </c>
      <c r="J49" s="280" t="s">
        <v>281</v>
      </c>
      <c r="K49" s="1"/>
      <c r="L49" s="1"/>
      <c r="M49" s="1"/>
      <c r="N49" s="1"/>
    </row>
    <row r="50" spans="1:14" ht="20.100000000000001" customHeight="1" x14ac:dyDescent="0.25">
      <c r="A50" s="5" t="str">
        <f>HYPERLINK("#'9.1.1.1-2 Refrigerant use'!A1", "9.1.1.1-2 Refrigerant use")</f>
        <v>9.1.1.1-2 Refrigerant use</v>
      </c>
      <c r="C50" s="1"/>
      <c r="D50" s="1" t="s">
        <v>237</v>
      </c>
      <c r="E50" s="1" t="s">
        <v>276</v>
      </c>
      <c r="F50" s="1">
        <f>X_Cell_Enterprise_ManureUsedAsFertiliserTonnes</f>
        <v>1</v>
      </c>
      <c r="G50" s="1" t="s">
        <v>277</v>
      </c>
      <c r="H50" s="1" t="s">
        <v>277</v>
      </c>
      <c r="I50" s="1" t="s">
        <v>277</v>
      </c>
      <c r="J50" s="9"/>
      <c r="K50" s="1"/>
      <c r="L50" s="1"/>
      <c r="M50" s="1"/>
      <c r="N50" s="1"/>
    </row>
    <row r="51" spans="1:14" ht="20.100000000000001" customHeight="1" x14ac:dyDescent="0.25">
      <c r="A51" s="5" t="str">
        <f>HYPERLINK("#'10.1.1-2 Solid waste treatment'!A1", "10.1.1.1-2 Solid waste")</f>
        <v>10.1.1.1-2 Solid waste</v>
      </c>
      <c r="C51" s="1"/>
      <c r="D51" s="1"/>
      <c r="E51" s="1"/>
      <c r="F51" s="1"/>
      <c r="G51" s="1"/>
      <c r="H51" s="1"/>
      <c r="I51" s="1"/>
      <c r="J51" s="1"/>
      <c r="K51" s="1"/>
      <c r="L51" s="1"/>
      <c r="M51" s="1"/>
      <c r="N51" s="1"/>
    </row>
    <row r="52" spans="1:14" ht="20.100000000000001" customHeight="1" x14ac:dyDescent="0.25">
      <c r="A52" s="5" t="str">
        <f>HYPERLINK("#'14.1.1-2 Purchased electricity'!A1", "14.1.1-2 Purchased electricity")</f>
        <v>14.1.1-2 Purchased electricity</v>
      </c>
      <c r="C52" s="1"/>
      <c r="D52" s="78" t="s">
        <v>151</v>
      </c>
      <c r="E52" s="1"/>
      <c r="F52" s="1"/>
      <c r="G52" s="1"/>
      <c r="H52" s="1"/>
      <c r="I52" s="1"/>
      <c r="J52" s="1"/>
      <c r="K52" s="1"/>
      <c r="L52" s="1"/>
      <c r="M52" s="1"/>
      <c r="N52" s="1"/>
    </row>
    <row r="53" spans="1:14" ht="20.100000000000001" customHeight="1" x14ac:dyDescent="0.25">
      <c r="A53" s="5" t="str">
        <f>HYPERLINK("#'15 Scope 3'!A1", "15 Scope 3")</f>
        <v>15 Scope 3</v>
      </c>
      <c r="C53" s="1"/>
      <c r="D53" s="11" t="s">
        <v>131</v>
      </c>
      <c r="E53" s="11" t="s">
        <v>122</v>
      </c>
      <c r="F53" s="11" t="s">
        <v>117</v>
      </c>
      <c r="G53" s="11" t="s">
        <v>153</v>
      </c>
      <c r="H53" s="11" t="s">
        <v>278</v>
      </c>
      <c r="I53" s="11" t="s">
        <v>279</v>
      </c>
      <c r="J53" s="11" t="s">
        <v>118</v>
      </c>
      <c r="K53" s="1"/>
      <c r="L53" s="1"/>
      <c r="M53" s="1"/>
      <c r="N53" s="1"/>
    </row>
    <row r="54" spans="1:14" ht="20.100000000000001" customHeight="1" x14ac:dyDescent="0.25">
      <c r="A54" s="5" t="str">
        <f>HYPERLINK("#'Calcs - Manure sent off-site'!A1", "Calcs - Manure sent off-site")</f>
        <v>Calcs - Manure sent off-site</v>
      </c>
      <c r="C54" s="1"/>
      <c r="D54" s="281" t="s">
        <v>184</v>
      </c>
      <c r="E54" s="281" t="s">
        <v>123</v>
      </c>
      <c r="F54" s="281">
        <f>X_Cell_Enterprise_MilkProduced*(IF(X_Cell_Enterprise_MilkProducedUnit="Litres", 1.03, 1))*10^-3</f>
        <v>7.5190000000000001</v>
      </c>
      <c r="G54" s="281">
        <f>X_Cell_Enterprise_PercentIncomeFromMilk</f>
        <v>0.8</v>
      </c>
      <c r="H54" s="281">
        <f ca="1">E36*G54/F54</f>
        <v>551.80295677721904</v>
      </c>
      <c r="I54" s="281">
        <f ca="1">F36*G54/F54</f>
        <v>825.00284634618038</v>
      </c>
      <c r="J54" s="9" t="s">
        <v>280</v>
      </c>
      <c r="K54" s="1"/>
      <c r="L54" s="1"/>
      <c r="M54" s="1"/>
      <c r="N54" s="1"/>
    </row>
    <row r="55" spans="1:14" ht="20.100000000000001" customHeight="1" x14ac:dyDescent="0.25">
      <c r="C55" s="1"/>
      <c r="D55" s="190" t="s">
        <v>185</v>
      </c>
      <c r="E55" s="190" t="s">
        <v>123</v>
      </c>
      <c r="F55" s="190">
        <f>F54</f>
        <v>7.5190000000000001</v>
      </c>
      <c r="G55" s="190">
        <f>G54</f>
        <v>0.8</v>
      </c>
      <c r="H55" s="190">
        <f ca="1">E37*G55/F55</f>
        <v>551.80295677721904</v>
      </c>
      <c r="I55" s="190">
        <f ca="1">F37*G55/F55</f>
        <v>825.00284634618038</v>
      </c>
      <c r="J55" s="280" t="s">
        <v>280</v>
      </c>
      <c r="K55" s="1"/>
      <c r="L55" s="1"/>
      <c r="M55" s="1"/>
      <c r="N55" s="1"/>
    </row>
    <row r="56" spans="1:14" ht="20.100000000000001" customHeight="1" x14ac:dyDescent="0.25">
      <c r="C56" s="1"/>
      <c r="D56" s="88" t="s">
        <v>154</v>
      </c>
      <c r="E56" s="88" t="s">
        <v>124</v>
      </c>
      <c r="F56" s="88">
        <f>X_Cell_Enterprise_LiveweightSold</f>
        <v>5</v>
      </c>
      <c r="G56" s="88">
        <f>X_Cell_Enterprise_PercentIncomeFromLiveweight</f>
        <v>0.15</v>
      </c>
      <c r="H56" s="88">
        <f ca="1">E36*G56/F56</f>
        <v>155.58774120029659</v>
      </c>
      <c r="I56" s="88">
        <f ca="1">F36*G56/F56</f>
        <v>232.61986506288486</v>
      </c>
      <c r="J56" s="9" t="s">
        <v>119</v>
      </c>
      <c r="K56" s="1"/>
      <c r="L56" s="1"/>
      <c r="M56" s="1"/>
      <c r="N56" s="1"/>
    </row>
    <row r="57" spans="1:14" ht="20.100000000000001" customHeight="1" x14ac:dyDescent="0.25">
      <c r="A57" s="82" t="s">
        <v>1</v>
      </c>
      <c r="C57" s="1"/>
      <c r="D57" s="190" t="s">
        <v>155</v>
      </c>
      <c r="E57" s="190" t="s">
        <v>124</v>
      </c>
      <c r="F57" s="190">
        <f>F56</f>
        <v>5</v>
      </c>
      <c r="G57" s="190">
        <f>G56</f>
        <v>0.15</v>
      </c>
      <c r="H57" s="190">
        <f ca="1">E37*G57/F57</f>
        <v>155.58774120029659</v>
      </c>
      <c r="I57" s="190">
        <f ca="1">F37*G57/F57</f>
        <v>232.61986506288486</v>
      </c>
      <c r="J57" s="280" t="s">
        <v>119</v>
      </c>
      <c r="K57" s="1"/>
      <c r="L57" s="1"/>
      <c r="M57" s="1"/>
      <c r="N57" s="1"/>
    </row>
    <row r="58" spans="1:14" ht="20.100000000000001" customHeight="1" x14ac:dyDescent="0.25">
      <c r="A58" s="5" t="str">
        <f>HYPERLINK("#'Constants - Dairy'!A1", "Constants - Dairy")</f>
        <v>Constants - Dairy</v>
      </c>
      <c r="C58" s="1"/>
      <c r="D58" s="88" t="s">
        <v>156</v>
      </c>
      <c r="E58" s="88" t="s">
        <v>124</v>
      </c>
      <c r="F58" s="88">
        <f>X_Cell_Enterprise_ManureSoldTonnes</f>
        <v>1</v>
      </c>
      <c r="G58" s="88">
        <f>X_Cell_Enterprise_PercentIncomeFromManure</f>
        <v>0.05</v>
      </c>
      <c r="H58" s="88">
        <f ca="1">E36*G58/F58</f>
        <v>259.31290200049438</v>
      </c>
      <c r="I58" s="88">
        <f ca="1">F36*G58/F58</f>
        <v>387.69977510480817</v>
      </c>
      <c r="J58" s="9" t="s">
        <v>281</v>
      </c>
      <c r="K58" s="1"/>
      <c r="L58" s="1"/>
      <c r="M58" s="1"/>
      <c r="N58" s="1"/>
    </row>
    <row r="59" spans="1:14" ht="20.100000000000001" customHeight="1" x14ac:dyDescent="0.25">
      <c r="A59" s="5" t="str">
        <f>HYPERLINK("#'Constants - Ag Residue'!A1", "Constants - Ag residue")</f>
        <v>Constants - Ag residue</v>
      </c>
      <c r="C59" s="1"/>
      <c r="D59" s="190" t="s">
        <v>157</v>
      </c>
      <c r="E59" s="190" t="s">
        <v>124</v>
      </c>
      <c r="F59" s="190">
        <f>F58</f>
        <v>1</v>
      </c>
      <c r="G59" s="190">
        <f>G58</f>
        <v>0.05</v>
      </c>
      <c r="H59" s="190">
        <f ca="1">E37*G59/F59</f>
        <v>259.31290200049438</v>
      </c>
      <c r="I59" s="190">
        <f ca="1">F37*G59/F59</f>
        <v>387.69977510480817</v>
      </c>
      <c r="J59" s="280" t="s">
        <v>281</v>
      </c>
      <c r="K59" s="1"/>
      <c r="L59" s="1"/>
      <c r="M59" s="1"/>
      <c r="N59" s="1"/>
    </row>
    <row r="60" spans="1:14" ht="20.100000000000001" customHeight="1" x14ac:dyDescent="0.25">
      <c r="A60" s="5" t="str">
        <f>HYPERLINK("#'Constants - Common Livestock'!A1", "Constants - Common Livestock")</f>
        <v>Constants - Common Livestock</v>
      </c>
      <c r="C60" s="1"/>
      <c r="D60" s="1" t="s">
        <v>237</v>
      </c>
      <c r="E60" s="1" t="s">
        <v>276</v>
      </c>
      <c r="F60" s="1">
        <f>X_Cell_Enterprise_ManureUsedAsFertiliserTonnes</f>
        <v>1</v>
      </c>
      <c r="G60" s="1" t="s">
        <v>277</v>
      </c>
      <c r="H60" s="1" t="s">
        <v>277</v>
      </c>
      <c r="I60" s="1" t="s">
        <v>277</v>
      </c>
      <c r="J60" s="1"/>
      <c r="K60" s="1"/>
      <c r="L60" s="1"/>
      <c r="M60" s="1"/>
      <c r="N60" s="1"/>
    </row>
    <row r="61" spans="1:14" ht="20.100000000000001" customHeight="1" x14ac:dyDescent="0.25">
      <c r="A61" s="5" t="str">
        <f>HYPERLINK("#'Constants - Electricity'!A1", "Constants - Electricity")</f>
        <v>Constants - Electricity</v>
      </c>
      <c r="C61" s="1"/>
      <c r="D61" s="1"/>
      <c r="E61" s="1"/>
      <c r="F61" s="1"/>
      <c r="G61" s="1"/>
      <c r="H61" s="1"/>
      <c r="I61" s="1"/>
      <c r="J61" s="1"/>
      <c r="K61" s="1"/>
      <c r="L61" s="1"/>
      <c r="M61" s="1"/>
      <c r="N61" s="1"/>
    </row>
    <row r="62" spans="1:14" ht="20.100000000000001" customHeight="1" x14ac:dyDescent="0.25">
      <c r="A62" s="5" t="str">
        <f>HYPERLINK("#'Constants - Fertiliser'!A1", "Constants - Fertiliser")</f>
        <v>Constants - Fertiliser</v>
      </c>
      <c r="C62" s="1"/>
      <c r="D62" s="1"/>
      <c r="E62" s="1"/>
      <c r="F62" s="1"/>
      <c r="G62" s="1"/>
      <c r="H62" s="1"/>
      <c r="I62" s="1"/>
      <c r="J62" s="1"/>
      <c r="K62" s="1"/>
      <c r="L62" s="1"/>
      <c r="M62" s="1"/>
      <c r="N62" s="1"/>
    </row>
    <row r="63" spans="1:14" ht="20.100000000000001" customHeight="1" x14ac:dyDescent="0.25">
      <c r="A63" s="5" t="str">
        <f>HYPERLINK("#'Constants - Fuel'!A1", "Constants - Fuel")</f>
        <v>Constants - Fuel</v>
      </c>
      <c r="C63" s="1"/>
      <c r="D63" s="1"/>
      <c r="E63" s="1"/>
      <c r="F63" s="1"/>
      <c r="G63" s="1"/>
      <c r="H63" s="1"/>
      <c r="I63" s="1"/>
      <c r="J63" s="1"/>
      <c r="K63" s="1"/>
      <c r="L63" s="1"/>
      <c r="M63" s="1"/>
      <c r="N63" s="1"/>
    </row>
    <row r="64" spans="1:14" ht="20.100000000000001" customHeight="1" x14ac:dyDescent="0.25">
      <c r="A64" s="5" t="str">
        <f>HYPERLINK("#'Constants - Scope 3'!A1", "Constants - Scope 3")</f>
        <v>Constants - Scope 3</v>
      </c>
      <c r="C64" s="1"/>
      <c r="D64" s="1"/>
      <c r="E64" s="1"/>
      <c r="F64" s="1"/>
      <c r="G64" s="1"/>
      <c r="H64" s="1"/>
      <c r="I64" s="1"/>
      <c r="J64" s="1"/>
      <c r="K64" s="1"/>
      <c r="L64" s="1"/>
      <c r="M64" s="1"/>
      <c r="N64" s="1"/>
    </row>
    <row r="65" spans="1:14" ht="20.100000000000001" customHeight="1" x14ac:dyDescent="0.25">
      <c r="A65" s="5" t="str">
        <f>HYPERLINK("#'Constants - Common'!A1", "Constants - Common")</f>
        <v>Constants - Common</v>
      </c>
      <c r="C65" s="1"/>
      <c r="D65" s="1"/>
      <c r="E65" s="1"/>
      <c r="F65" s="1"/>
      <c r="G65" s="1"/>
      <c r="H65" s="1"/>
      <c r="I65" s="1"/>
      <c r="J65" s="1"/>
      <c r="K65" s="1"/>
      <c r="L65" s="1"/>
      <c r="M65" s="1"/>
      <c r="N65" s="1"/>
    </row>
    <row r="66" spans="1:14" ht="20.100000000000001" customHeight="1" x14ac:dyDescent="0.25">
      <c r="A66" s="5" t="str">
        <f>HYPERLINK("#'Constants - Refrigerants'!A1", "Constants - Refrigerants")</f>
        <v>Constants - Refrigerants</v>
      </c>
      <c r="C66" s="1"/>
      <c r="D66" s="1"/>
      <c r="E66" s="1"/>
      <c r="F66" s="1"/>
      <c r="G66" s="1"/>
      <c r="H66" s="1"/>
      <c r="I66" s="1"/>
      <c r="J66" s="1"/>
      <c r="K66" s="1"/>
      <c r="L66" s="1"/>
      <c r="M66" s="1"/>
      <c r="N66" s="1"/>
    </row>
    <row r="67" spans="1:14" ht="20.100000000000001" customHeight="1" x14ac:dyDescent="0.25">
      <c r="A67" s="5" t="str">
        <f>HYPERLINK("#'Constants - Solid Waste'!A1", "Constants - Solid Waste")</f>
        <v>Constants - Solid Waste</v>
      </c>
      <c r="C67" s="1"/>
      <c r="D67" s="1"/>
      <c r="E67" s="1"/>
      <c r="F67" s="1"/>
      <c r="G67" s="1"/>
      <c r="H67" s="1"/>
      <c r="I67" s="1"/>
      <c r="J67" s="1"/>
      <c r="K67" s="1"/>
      <c r="L67" s="1"/>
      <c r="M67" s="1"/>
      <c r="N67" s="1"/>
    </row>
    <row r="68" spans="1:14" ht="20.100000000000001" customHeight="1" x14ac:dyDescent="0.25">
      <c r="A68" s="5" t="str">
        <f>HYPERLINK("#'Acknowledgements'!A1", "Acknowledgements")</f>
        <v>Acknowledgements</v>
      </c>
      <c r="C68" s="1"/>
      <c r="K68" s="1"/>
      <c r="L68" s="1"/>
      <c r="M68" s="1"/>
      <c r="N68" s="1"/>
    </row>
    <row r="69" spans="1:14" ht="20.100000000000001" customHeight="1" x14ac:dyDescent="0.25"/>
    <row r="70" spans="1:14" ht="20.100000000000001" customHeight="1" x14ac:dyDescent="0.25"/>
    <row r="71" spans="1:14" ht="20.100000000000001" customHeight="1" x14ac:dyDescent="0.25"/>
    <row r="72" spans="1:14" ht="20.100000000000001" customHeight="1"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81"/>
  <sheetViews>
    <sheetView showGridLines="0" zoomScaleNormal="100" workbookViewId="0">
      <pane xSplit="1" topLeftCell="B1" activePane="topRight" state="frozenSplit"/>
      <selection pane="topRight" activeCell="A5" sqref="A5"/>
      <extLst>
        <ext xmlns:xlsdti="http://schemas.microsoft.com/office/spreadsheetml/2023/showDataTypeIcons" uri="{77bfe23e-c014-4d31-8a63-9c772dbf06b6}">
          <xlsdti:showDataTypeIcons visible="0"/>
        </ext>
      </extLst>
    </sheetView>
  </sheetViews>
  <sheetFormatPr defaultRowHeight="15.75" x14ac:dyDescent="0.25"/>
  <cols>
    <col min="1" max="1" width="36.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1:10" ht="25.5" x14ac:dyDescent="0.35">
      <c r="A1" s="10" t="e" vm="1">
        <v>#VALUE!</v>
      </c>
      <c r="C1" s="27" t="s">
        <v>146</v>
      </c>
      <c r="D1" s="21"/>
      <c r="E1" s="21"/>
      <c r="F1" s="21"/>
      <c r="G1" s="21"/>
      <c r="H1" s="21"/>
      <c r="I1" s="21"/>
      <c r="J1" s="21"/>
    </row>
    <row r="2" spans="1:10" x14ac:dyDescent="0.25">
      <c r="C2" s="3"/>
      <c r="D2" s="3"/>
      <c r="E2" s="3"/>
      <c r="F2" s="3"/>
      <c r="G2" s="3"/>
      <c r="H2" s="3"/>
      <c r="I2" s="3"/>
      <c r="J2" s="3"/>
    </row>
    <row r="3" spans="1:10" ht="20.25" x14ac:dyDescent="0.25">
      <c r="A3" s="5" t="str">
        <f>HYPERLINK("#'Home'!A1", "Home")</f>
        <v>Home</v>
      </c>
      <c r="C3" s="28"/>
      <c r="D3" s="28"/>
      <c r="E3" s="28"/>
      <c r="F3" s="28"/>
      <c r="G3" s="28"/>
      <c r="H3" s="28"/>
      <c r="I3" s="28"/>
      <c r="J3" s="28"/>
    </row>
    <row r="4" spans="1:10" x14ac:dyDescent="0.25">
      <c r="A4" s="5" t="str">
        <f>HYPERLINK("#'Results - Activity period'!A1", "Results - Activity period")</f>
        <v>Results - Activity period</v>
      </c>
    </row>
    <row r="5" spans="1:10" ht="23.25" x14ac:dyDescent="0.25">
      <c r="A5" s="5" t="str">
        <f>HYPERLINK("#'Results - Product EI'!A1", "Results - Product Emissions Intensity")</f>
        <v>Results - Product Emissions Intensity</v>
      </c>
      <c r="D5" s="2" t="s">
        <v>87</v>
      </c>
      <c r="E5" s="24"/>
      <c r="F5" s="24"/>
      <c r="G5" s="24"/>
    </row>
    <row r="6" spans="1:10" x14ac:dyDescent="0.25">
      <c r="A6" s="5" t="str">
        <f>HYPERLINK("#'Results'!A1", "Results")</f>
        <v>Results</v>
      </c>
      <c r="D6" s="31"/>
      <c r="E6" s="24"/>
      <c r="F6" s="24"/>
      <c r="G6" s="24"/>
    </row>
    <row r="7" spans="1:10" x14ac:dyDescent="0.25">
      <c r="D7" s="1" t="s">
        <v>88</v>
      </c>
      <c r="E7" s="33" t="s">
        <v>89</v>
      </c>
      <c r="F7" s="16"/>
      <c r="G7" s="24"/>
    </row>
    <row r="8" spans="1:10" x14ac:dyDescent="0.25">
      <c r="D8" s="12" t="s">
        <v>90</v>
      </c>
      <c r="E8" s="33" t="s">
        <v>91</v>
      </c>
      <c r="F8" s="24"/>
      <c r="G8" s="24"/>
    </row>
    <row r="9" spans="1:10" x14ac:dyDescent="0.25">
      <c r="A9" s="7" t="s">
        <v>0</v>
      </c>
      <c r="D9" s="24"/>
      <c r="E9" s="24"/>
      <c r="F9" s="24"/>
      <c r="G9" s="24"/>
    </row>
    <row r="10" spans="1:10" x14ac:dyDescent="0.25">
      <c r="A10" s="99" t="str">
        <f>HYPERLINK("#'Input - Enterprise'!A1", "Enterprise")</f>
        <v>Enterprise</v>
      </c>
      <c r="D10" s="35" t="s">
        <v>92</v>
      </c>
      <c r="E10" s="36"/>
      <c r="F10" s="37"/>
      <c r="G10" s="38"/>
    </row>
    <row r="11" spans="1:10" x14ac:dyDescent="0.25">
      <c r="A11" s="5" t="str">
        <f>HYPERLINK("#'Input - Site'!A1", "Site")</f>
        <v>Site</v>
      </c>
      <c r="D11" s="24"/>
      <c r="E11" s="24"/>
      <c r="F11" s="24"/>
      <c r="G11" s="24"/>
    </row>
    <row r="12" spans="1:10" x14ac:dyDescent="0.25">
      <c r="A12" s="5" t="str">
        <f>HYPERLINK("#'Input - Dairy'!A1", "Dairy")</f>
        <v>Dairy</v>
      </c>
      <c r="D12" s="12" t="s">
        <v>15</v>
      </c>
      <c r="E12" s="14">
        <v>45292</v>
      </c>
      <c r="F12" s="16" t="s">
        <v>93</v>
      </c>
      <c r="G12" s="24"/>
    </row>
    <row r="13" spans="1:10" x14ac:dyDescent="0.25">
      <c r="A13" s="5" t="str">
        <f>HYPERLINK("#'Input - Livestock sales'!A1", "Livestock sales")</f>
        <v>Livestock sales</v>
      </c>
      <c r="D13" s="12" t="s">
        <v>16</v>
      </c>
      <c r="E13" s="40">
        <f>DATE(YEAR(E12)+1,MONTH(E12),DAY(E12))-1</f>
        <v>45657</v>
      </c>
      <c r="F13" s="16" t="s">
        <v>94</v>
      </c>
      <c r="G13" s="24"/>
    </row>
    <row r="14" spans="1:10" x14ac:dyDescent="0.25">
      <c r="A14" s="5" t="str">
        <f>HYPERLINK("#'Input - Dairy cattle purchases'!A1", "Dairy cattle purchases")</f>
        <v>Dairy cattle purchases</v>
      </c>
      <c r="F14" s="24"/>
      <c r="G14" s="24"/>
    </row>
    <row r="15" spans="1:10" x14ac:dyDescent="0.25">
      <c r="A15" s="5" t="str">
        <f>HYPERLINK("#'Input - Pasture'!A1", "Pasture")</f>
        <v>Pasture</v>
      </c>
    </row>
    <row r="16" spans="1:10" ht="23.25" x14ac:dyDescent="0.25">
      <c r="A16" s="5" t="str">
        <f>HYPERLINK("#'Input - Fert Prod System'!A1", "Fert Prod System")</f>
        <v>Fert Prod System</v>
      </c>
      <c r="D16" s="2" t="s">
        <v>17</v>
      </c>
    </row>
    <row r="17" spans="1:6" x14ac:dyDescent="0.25">
      <c r="A17" s="5" t="str">
        <f>HYPERLINK("#'Input - Fertiliser'!A1", "Fertiliser")</f>
        <v>Fertiliser</v>
      </c>
    </row>
    <row r="18" spans="1:6" x14ac:dyDescent="0.25">
      <c r="A18" s="5" t="str">
        <f>HYPERLINK("#'Input - Fuel'!A1", "Fuel")</f>
        <v>Fuel</v>
      </c>
      <c r="D18" s="1" t="s">
        <v>12</v>
      </c>
      <c r="E18" s="14">
        <v>45231</v>
      </c>
      <c r="F18" s="16" t="s">
        <v>93</v>
      </c>
    </row>
    <row r="19" spans="1:6" x14ac:dyDescent="0.25">
      <c r="A19" s="5" t="str">
        <f>HYPERLINK("#'Input - Electricity'!A1", "Electricity")</f>
        <v>Electricity</v>
      </c>
      <c r="D19" s="1" t="s">
        <v>13</v>
      </c>
      <c r="E19" s="14">
        <v>45747</v>
      </c>
      <c r="F19" s="16" t="s">
        <v>93</v>
      </c>
    </row>
    <row r="20" spans="1:6" x14ac:dyDescent="0.25">
      <c r="A20" s="5" t="str">
        <f>HYPERLINK("#'Input - Common farm inputs'!A1", "Common farm inputs")</f>
        <v>Common farm inputs</v>
      </c>
      <c r="D20" s="1" t="s">
        <v>14</v>
      </c>
      <c r="E20" s="15">
        <f>DATEDIF(E18,E19+1,"m")</f>
        <v>17</v>
      </c>
      <c r="F20" s="16" t="s">
        <v>116</v>
      </c>
    </row>
    <row r="21" spans="1:6" x14ac:dyDescent="0.25">
      <c r="A21" s="5" t="str">
        <f>HYPERLINK("#'Input - Crop pasture farm input'!A1", "Crop pasture farm input")</f>
        <v>Crop pasture farm input</v>
      </c>
    </row>
    <row r="22" spans="1:6" x14ac:dyDescent="0.25">
      <c r="A22" s="5" t="str">
        <f>HYPERLINK("#'Input - Livestock farm Inputs'!A1", "Livestock farm Inputs")</f>
        <v>Livestock farm Inputs</v>
      </c>
      <c r="D22" s="1" t="s">
        <v>18</v>
      </c>
      <c r="E22" s="77">
        <f>SUM(Table_Input_LivestockSales[Total liveweight sold])*10^-3</f>
        <v>5</v>
      </c>
      <c r="F22" s="16" t="s">
        <v>19</v>
      </c>
    </row>
    <row r="23" spans="1:6" x14ac:dyDescent="0.25">
      <c r="A23" s="5" t="str">
        <f>HYPERLINK("#'Input - Freight'!A1", "Freight")</f>
        <v>Freight</v>
      </c>
      <c r="D23" s="1" t="s">
        <v>181</v>
      </c>
      <c r="E23" s="77" t="str" cm="1">
        <f t="array" ref="E23">X_Cell_Dairy_MilkProductionUnit</f>
        <v>Litres of milk</v>
      </c>
      <c r="F23" s="16"/>
    </row>
    <row r="24" spans="1:6" x14ac:dyDescent="0.25">
      <c r="A24" s="5" t="str">
        <f>HYPERLINK("#'Input - Solid waste'!A1", "Solid waste")</f>
        <v>Solid waste</v>
      </c>
      <c r="D24" s="1" t="s">
        <v>180</v>
      </c>
      <c r="E24" s="77" cm="1">
        <f t="array" ref="E24">X_Cell_Dairy_MilkProductionAmount*365*IF(E23="Milk solds", 1, 1.03)</f>
        <v>7519</v>
      </c>
      <c r="F24" s="16" t="str">
        <f>E23</f>
        <v>Litres of milk</v>
      </c>
    </row>
    <row r="25" spans="1:6" x14ac:dyDescent="0.25">
      <c r="A25" s="5" t="str">
        <f>HYPERLINK("#'Input - Manure sent off-site'!A1", "Manure sent off-site")</f>
        <v>Manure sent off-site</v>
      </c>
      <c r="D25" s="1" t="s">
        <v>183</v>
      </c>
      <c r="E25" s="75">
        <v>1</v>
      </c>
      <c r="F25" s="16" t="s">
        <v>19</v>
      </c>
    </row>
    <row r="26" spans="1:6" x14ac:dyDescent="0.25">
      <c r="A26" s="5" t="str">
        <f>HYPERLINK("#'Input - Refrigerants'!A1", "Refrigerants")</f>
        <v>Refrigerants</v>
      </c>
      <c r="D26" s="1" t="s">
        <v>237</v>
      </c>
      <c r="E26" s="75">
        <v>1</v>
      </c>
      <c r="F26" s="16" t="s">
        <v>19</v>
      </c>
    </row>
    <row r="27" spans="1:6" x14ac:dyDescent="0.25">
      <c r="A27" s="5" t="str">
        <f>HYPERLINK("#'Input - Data quality'!A1", "Data quality")</f>
        <v>Data quality</v>
      </c>
    </row>
    <row r="28" spans="1:6" x14ac:dyDescent="0.25">
      <c r="D28" s="1" t="s">
        <v>182</v>
      </c>
      <c r="E28" s="18">
        <v>0.8</v>
      </c>
      <c r="F28" s="16" t="s">
        <v>147</v>
      </c>
    </row>
    <row r="29" spans="1:6" x14ac:dyDescent="0.25">
      <c r="D29" s="1" t="s">
        <v>148</v>
      </c>
      <c r="E29" s="18">
        <v>0.15</v>
      </c>
      <c r="F29" s="16" t="s">
        <v>147</v>
      </c>
    </row>
    <row r="30" spans="1:6" x14ac:dyDescent="0.25">
      <c r="A30" s="6" t="s">
        <v>2</v>
      </c>
      <c r="D30" s="1" t="s">
        <v>149</v>
      </c>
      <c r="E30" s="18">
        <v>0.05</v>
      </c>
      <c r="F30" s="16" t="s">
        <v>147</v>
      </c>
    </row>
    <row r="31" spans="1:6" x14ac:dyDescent="0.25">
      <c r="A31" s="5" t="str">
        <f>HYPERLINK("#'3.3.1.1-2 Enteric Methane'!A1", "3.3.1.1-2 Enteric methane")</f>
        <v>3.3.1.1-2 Enteric methane</v>
      </c>
    </row>
    <row r="32" spans="1:6" x14ac:dyDescent="0.25">
      <c r="A32" s="5" t="str">
        <f>HYPERLINK("#'4.3.1.1-2 Methane'!A1", "4.3.1.1-2 Manure methane")</f>
        <v>4.3.1.1-2 Manure methane</v>
      </c>
    </row>
    <row r="33" spans="1:7" x14ac:dyDescent="0.25">
      <c r="A33" s="5" t="str">
        <f>HYPERLINK("#'4.3.1.3-4 Direct N20'!A1", "4.3.1.3-4 Direct N20")</f>
        <v>4.3.1.3-4 Direct N20</v>
      </c>
    </row>
    <row r="34" spans="1:7" ht="23.25" x14ac:dyDescent="0.25">
      <c r="A34" s="5" t="str">
        <f>HYPERLINK("#'4.3.1.5 Atmos deposition'!A1", "4.3.1.5 Atmos deposition")</f>
        <v>4.3.1.5 Atmos deposition</v>
      </c>
      <c r="D34" s="2" t="s">
        <v>266</v>
      </c>
    </row>
    <row r="35" spans="1:7" x14ac:dyDescent="0.25">
      <c r="A35" s="5" t="str">
        <f>HYPERLINK("#'4.3.1.6-7 Leaching and runoff'!A1", "4.3.1.6-7 Leaching &amp; runoff")</f>
        <v>4.3.1.6-7 Leaching &amp; runoff</v>
      </c>
    </row>
    <row r="36" spans="1:7" x14ac:dyDescent="0.25">
      <c r="A36" s="5" t="str">
        <f>HYPERLINK("#'4.3.1.8 Manure applied to soils'!A1", "4.3.1.8 Manure applied to soils")</f>
        <v>4.3.1.8 Manure applied to soils</v>
      </c>
    </row>
    <row r="37" spans="1:7" ht="18.75" x14ac:dyDescent="0.25">
      <c r="A37" s="5" t="str">
        <f>HYPERLINK("#'4.3.1.9 Soil direct N2O'!A1", "4.3.1.9 Soil direct N2O")</f>
        <v>4.3.1.9 Soil direct N2O</v>
      </c>
      <c r="D37" s="78" t="str">
        <f>"Carbon captured from " &amp; TEXT(X_Cell_Site_StartDate, "d mmmm yyyy") &amp; " to " &amp; TEXT(X_Cell_Site_EndDate, "d, mmmm, yyyy") &amp; " from environmental plantings"</f>
        <v>Carbon captured from 1 January 2024 to 31, December, 2024 from environmental plantings</v>
      </c>
    </row>
    <row r="38" spans="1:7" x14ac:dyDescent="0.25">
      <c r="A38" s="5" t="str">
        <f>HYPERLINK("#'4.3.1.10-11 Soil Atmos Dep'!A1", "4.3.1.10-11 Soil Atmos Deposition")</f>
        <v>4.3.1.10-11 Soil Atmos Deposition</v>
      </c>
    </row>
    <row r="39" spans="1:7" x14ac:dyDescent="0.25">
      <c r="A39" s="5" t="str">
        <f>HYPERLINK("#'4.3.1.12-13 Soil leach runoff'!A1", "4.3.1.12-13 Soil leach &amp; runoff")</f>
        <v>4.3.1.12-13 Soil leach &amp; runoff</v>
      </c>
      <c r="D39" s="19" t="s">
        <v>267</v>
      </c>
      <c r="E39" s="19" t="s">
        <v>268</v>
      </c>
      <c r="F39" s="19" t="s">
        <v>269</v>
      </c>
      <c r="G39" s="81" t="s">
        <v>270</v>
      </c>
    </row>
    <row r="40" spans="1:7" x14ac:dyDescent="0.25">
      <c r="A40" s="5" t="str">
        <f>HYPERLINK("#'5.1.1.1-2 Inorganic fert N2O'!A1", "5.1.1.1-2 Inorganic fert N2O")</f>
        <v>5.1.1.1-2 Inorganic fert N2O</v>
      </c>
      <c r="D40" s="33"/>
      <c r="E40" s="75"/>
      <c r="F40" s="18"/>
      <c r="G40" s="1">
        <f>Table_Input_Enterprise_PlantingRemovals[[#This Row],[Total removed CO2]]*Table_Input_Enterprise_PlantingRemovals[[#This Row],[Percent allocated to this enterprise]]</f>
        <v>0</v>
      </c>
    </row>
    <row r="41" spans="1:7" x14ac:dyDescent="0.25">
      <c r="A41" s="5" t="str">
        <f>HYPERLINK("#'5.1.1.3-4 Inorganic fert CO2'!A1", "5.1.1.3-4 Inorganic fert CO2")</f>
        <v>5.1.1.3-4 Inorganic fert CO2</v>
      </c>
    </row>
    <row r="42" spans="1:7" x14ac:dyDescent="0.25">
      <c r="A42" s="5" t="str">
        <f>HYPERLINK("#'5.2.1.1-2 Organic Fert N2O'!A1", "5.2.1.1-2 Organic fert N2O")</f>
        <v>5.2.1.1-2 Organic fert N2O</v>
      </c>
    </row>
    <row r="43" spans="1:7" x14ac:dyDescent="0.25">
      <c r="A43" s="5" t="str">
        <f>HYPERLINK("#'5.3.1.1-2 Lime CO2'!A1", "5.3.1.1-2 Lime CO2")</f>
        <v>5.3.1.1-2 Lime CO2</v>
      </c>
    </row>
    <row r="44" spans="1:7" ht="23.25" x14ac:dyDescent="0.25">
      <c r="A44" s="5" t="str">
        <f>HYPERLINK("#'5.4.1.1-4 Atmos deposition'!A1", "5.4.1.1-4 Atmos. deposition")</f>
        <v>5.4.1.1-4 Atmos. deposition</v>
      </c>
      <c r="D44" s="2" t="s">
        <v>271</v>
      </c>
    </row>
    <row r="45" spans="1:7" x14ac:dyDescent="0.25">
      <c r="A45" s="5" t="str">
        <f>HYPERLINK("#'5.5.1.1-2 Leaching and runoff'!A1", "5.5.1.1-2 Leaching &amp; runoff")</f>
        <v>5.5.1.1-2 Leaching &amp; runoff</v>
      </c>
    </row>
    <row r="46" spans="1:7" ht="18.75" x14ac:dyDescent="0.25">
      <c r="A46" s="5" t="str">
        <f>HYPERLINK("#'6.2.1.1-2 Pasture residue N2O'!A1", "6.2.1.1-2 Pasture residue N2O")</f>
        <v>6.2.1.1-2 Pasture residue N2O</v>
      </c>
      <c r="D46" s="78"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2023 to 31 March 2025</v>
      </c>
    </row>
    <row r="47" spans="1:7" x14ac:dyDescent="0.25">
      <c r="A47" s="5" t="str">
        <f>HYPERLINK("#'6.3.1.1-2 Leach runoff pasture'!A1", "6.3.1.1-2 Leach &amp; runoff (pasture)")</f>
        <v>6.3.1.1-2 Leach &amp; runoff (pasture)</v>
      </c>
    </row>
    <row r="48" spans="1:7" x14ac:dyDescent="0.25">
      <c r="A48" s="5" t="str">
        <f>HYPERLINK("#'8.1.1.1-2 Transport fuel'!A1", "8.1.1.1-2 Transport fuel")</f>
        <v>8.1.1.1-2 Transport fuel</v>
      </c>
      <c r="D48" s="79" t="str" cm="1">
        <f t="array" ref="D48">"There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3 emissions calculation periods that need to be completed before total product emissions can be determined.</v>
      </c>
    </row>
    <row r="49" spans="1:7" x14ac:dyDescent="0.25">
      <c r="A49" s="5" t="str">
        <f>HYPERLINK("#'8.2.1.1-2 Stationary fuel'!A1", "8.2.1.1-2 Stationary fuel")</f>
        <v>8.2.1.1-2 Stationary fuel</v>
      </c>
      <c r="D49" s="1" t="s">
        <v>272</v>
      </c>
    </row>
    <row r="50" spans="1:7" x14ac:dyDescent="0.25">
      <c r="A50" s="5" t="str">
        <f>HYPERLINK("#'9.1.1.1-2 Refrigerant use'!A1", "9.1.1.1-2 Refrigerant use")</f>
        <v>9.1.1.1-2 Refrigerant use</v>
      </c>
    </row>
    <row r="51" spans="1:7" x14ac:dyDescent="0.25">
      <c r="A51" s="5" t="str">
        <f>HYPERLINK("#'10.1.1-2 Solid waste treatment'!A1", "10.1.1.1-2 Solid waste")</f>
        <v>10.1.1.1-2 Solid waste</v>
      </c>
      <c r="D51" s="81" t="s">
        <v>115</v>
      </c>
      <c r="E51" s="81" t="s">
        <v>9</v>
      </c>
      <c r="F51" s="81" t="s">
        <v>10</v>
      </c>
    </row>
    <row r="52" spans="1:7" x14ac:dyDescent="0.25">
      <c r="A52" s="5" t="str">
        <f>HYPERLINK("#'14.1.1-2 Purchased electricity'!A1", "14.1.1-2 Purchased electricity")</f>
        <v>14.1.1-2 Purchased electricity</v>
      </c>
      <c r="D52" s="1" t="str" cm="1">
        <f t="array" ref="D52:D54">Common_InputFunctions.getOverlappingReportingPeriods(X_Cell_Enterprise_ProductionTimeframeStart,X_Cell_Enterprise_ProductionTimeframeEnd,X_Cell_Site_StartDate)</f>
        <v>01 Jan 2023 to 31 Dec 2023</v>
      </c>
      <c r="E52" s="75" t="str">
        <f>IF(ISBLANK($D52), 0, IF(ISNUMBER(SEARCH("reporting", $D52)), Result_Enterprise_Gross_Method1, "Enter value"))</f>
        <v>Enter value</v>
      </c>
      <c r="F52" s="75" t="str">
        <f>IF(ISBLANK($D52), 0, IF(ISNUMBER(SEARCH("reporting", $D52)), Result_Enterprise_Gross_Method2, "Enter value"))</f>
        <v>Enter value</v>
      </c>
      <c r="G52" s="9" t="s">
        <v>6</v>
      </c>
    </row>
    <row r="53" spans="1:7" x14ac:dyDescent="0.25">
      <c r="A53" s="5" t="str">
        <f>HYPERLINK("#'15 Scope 3'!A1", "15 Scope 3")</f>
        <v>15 Scope 3</v>
      </c>
      <c r="D53" s="1" t="str">
        <v>01 Jan 2024 to 31 Dec 2024 (This reporting cycle)</v>
      </c>
      <c r="E53" s="75">
        <f ca="1">IF(ISBLANK($D53), 0, IF(ISNUMBER(SEARCH("reporting", $D53)), Result_Enterprise_Gross_Method1, "Enter value"))</f>
        <v>5186.2580400098868</v>
      </c>
      <c r="F53" s="75">
        <f ca="1">IF(ISBLANK($D53), 0, IF(ISNUMBER(SEARCH("reporting", $D53)), Result_Enterprise_Gross_Method2, "Enter value"))</f>
        <v>7753.9955020961625</v>
      </c>
      <c r="G53" s="9" t="s">
        <v>6</v>
      </c>
    </row>
    <row r="54" spans="1:7" x14ac:dyDescent="0.25">
      <c r="A54" s="5" t="str">
        <f>HYPERLINK("#'Calcs - Manure sent off-site'!A1", "Calcs - Manure sent off-site")</f>
        <v>Calcs - Manure sent off-site</v>
      </c>
      <c r="D54" s="1" t="str">
        <v>01 Jan 2025 to 31 Dec 2025</v>
      </c>
      <c r="E54" s="75" t="str">
        <f>IF(ISBLANK($D54), 0, IF(ISNUMBER(SEARCH("reporting", $D54)), Result_Enterprise_Gross_Method1, "Enter value"))</f>
        <v>Enter value</v>
      </c>
      <c r="F54" s="75" t="str">
        <f>IF(ISBLANK($D54), 0, IF(ISNUMBER(SEARCH("reporting", $D54)), Result_Enterprise_Gross_Method2, "Enter value"))</f>
        <v>Enter value</v>
      </c>
      <c r="G54" s="9" t="s">
        <v>6</v>
      </c>
    </row>
    <row r="55" spans="1:7" x14ac:dyDescent="0.25">
      <c r="E55" s="75">
        <f>IF(ISBLANK($D55), 0, IF(ISNUMBER(SEARCH("reporting", $D55)), Result_Enterprise_Gross_Method1, "Enter value"))</f>
        <v>0</v>
      </c>
      <c r="F55" s="75">
        <f>IF(ISBLANK($D55), 0, IF(ISNUMBER(SEARCH("reporting", $D55)), Result_Enterprise_Gross_Method2, "Enter value"))</f>
        <v>0</v>
      </c>
      <c r="G55" s="9" t="s">
        <v>6</v>
      </c>
    </row>
    <row r="56" spans="1:7" x14ac:dyDescent="0.25">
      <c r="E56" s="75">
        <f>IF(ISBLANK($D56), 0, IF(ISNUMBER(SEARCH("reporting", $D56)), Result_Enterprise_Gross_Method1, "Enter value"))</f>
        <v>0</v>
      </c>
      <c r="F56" s="75">
        <f>IF(ISBLANK($D56), 0, IF(ISNUMBER(SEARCH("reporting", $D56)), Result_Enterprise_Gross_Method2, "Enter value"))</f>
        <v>0</v>
      </c>
      <c r="G56" s="9" t="s">
        <v>6</v>
      </c>
    </row>
    <row r="57" spans="1:7" x14ac:dyDescent="0.25">
      <c r="A57" s="82" t="s">
        <v>1</v>
      </c>
      <c r="D57" s="92" t="s">
        <v>127</v>
      </c>
      <c r="E57" s="88">
        <f ca="1">SUM(E52:E56)</f>
        <v>5186.2580400098868</v>
      </c>
      <c r="F57" s="88">
        <f ca="1">SUM(F52:F56)</f>
        <v>7753.9955020961625</v>
      </c>
      <c r="G57" s="93" t="s">
        <v>6</v>
      </c>
    </row>
    <row r="58" spans="1:7" x14ac:dyDescent="0.25">
      <c r="A58" s="5" t="str">
        <f>HYPERLINK("#'Constants - Dairy'!A1", "Constants - Dairy")</f>
        <v>Constants - Dairy</v>
      </c>
    </row>
    <row r="59" spans="1:7" x14ac:dyDescent="0.25">
      <c r="A59" s="5" t="str">
        <f>HYPERLINK("#'Constants - Ag Residue'!A1", "Constants - Ag residue")</f>
        <v>Constants - Ag residue</v>
      </c>
    </row>
    <row r="60" spans="1:7" x14ac:dyDescent="0.25">
      <c r="A60" s="5" t="str">
        <f>HYPERLINK("#'Constants - Common Livestock'!A1", "Constants - Common Livestock")</f>
        <v>Constants - Common Livestock</v>
      </c>
    </row>
    <row r="61" spans="1:7" x14ac:dyDescent="0.25">
      <c r="A61" s="5" t="str">
        <f>HYPERLINK("#'Constants - Electricity'!A1", "Constants - Electricity")</f>
        <v>Constants - Electricity</v>
      </c>
    </row>
    <row r="62" spans="1:7" ht="18.75" x14ac:dyDescent="0.25">
      <c r="A62" s="5" t="str">
        <f>HYPERLINK("#'Constants - Fertiliser'!A1", "Constants - Fertiliser")</f>
        <v>Constants - Fertiliser</v>
      </c>
      <c r="D62" s="78"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2023 and 31 March 2025</v>
      </c>
    </row>
    <row r="63" spans="1:7" x14ac:dyDescent="0.25">
      <c r="A63" s="5" t="str">
        <f>HYPERLINK("#'Constants - Fuel'!A1", "Constants - Fuel")</f>
        <v>Constants - Fuel</v>
      </c>
    </row>
    <row r="64" spans="1:7" x14ac:dyDescent="0.25">
      <c r="A64" s="5" t="str">
        <f>HYPERLINK("#'Constants - Scope 3'!A1", "Constants - Scope 3")</f>
        <v>Constants - Scope 3</v>
      </c>
      <c r="D64" s="81" t="s">
        <v>115</v>
      </c>
      <c r="E64" s="81" t="s">
        <v>125</v>
      </c>
      <c r="F64" s="81"/>
    </row>
    <row r="65" spans="1:7" x14ac:dyDescent="0.25">
      <c r="A65" s="5" t="str">
        <f>HYPERLINK("#'Constants - Common'!A1", "Constants - Common")</f>
        <v>Constants - Common</v>
      </c>
      <c r="D65" s="1" t="str" cm="1">
        <f t="array" ref="D65:D67">Common_InputFunctions.getOverlappingReportingPeriods(X_Cell_Enterprise_ProductionTimeframeStart,X_Cell_Enterprise_ProductionTimeframeEnd,X_Cell_Site_StartDate)</f>
        <v>01 Jan 2023 to 31 Dec 2023</v>
      </c>
      <c r="E65" s="75" t="str">
        <f>IF(ISBLANK($D65), 0, IF(ISNUMBER(SEARCH("reporting", $D65)), SUM(Table_Input_Enterprise_PlantingRemovals[Removal allocated to this enterprise]), "Enter value"))</f>
        <v>Enter value</v>
      </c>
      <c r="F65" s="9" t="s">
        <v>126</v>
      </c>
    </row>
    <row r="66" spans="1:7" x14ac:dyDescent="0.25">
      <c r="A66" s="5" t="str">
        <f>HYPERLINK("#'Constants - Refrigerants'!A1", "Constants - Refrigerants")</f>
        <v>Constants - Refrigerants</v>
      </c>
      <c r="D66" s="1" t="str">
        <v>01 Jan 2024 to 31 Dec 2024 (This reporting cycle)</v>
      </c>
      <c r="E66" s="75">
        <f>IF(ISBLANK($D66), 0, IF(ISNUMBER(SEARCH("reporting", $D66)), SUM(Table_Input_Enterprise_PlantingRemovals[Removal allocated to this enterprise]), "Enter value"))</f>
        <v>0</v>
      </c>
      <c r="F66" s="9" t="s">
        <v>126</v>
      </c>
    </row>
    <row r="67" spans="1:7" x14ac:dyDescent="0.25">
      <c r="A67" s="5" t="str">
        <f>HYPERLINK("#'Constants - Solid Waste'!A1", "Constants - Solid Waste")</f>
        <v>Constants - Solid Waste</v>
      </c>
      <c r="D67" s="1" t="str">
        <v>01 Jan 2025 to 31 Dec 2025</v>
      </c>
      <c r="E67" s="75" t="str">
        <f>IF(ISBLANK($D67), 0, IF(ISNUMBER(SEARCH("reporting", $D67)), SUM(Table_Input_Enterprise_PlantingRemovals[Removal allocated to this enterprise]), "Enter value"))</f>
        <v>Enter value</v>
      </c>
      <c r="F67" s="9" t="s">
        <v>126</v>
      </c>
    </row>
    <row r="68" spans="1:7" x14ac:dyDescent="0.25">
      <c r="A68" s="5" t="str">
        <f>HYPERLINK("#'Acknowledgements'!A1", "Acknowledgements")</f>
        <v>Acknowledgements</v>
      </c>
      <c r="E68" s="75">
        <f>IF(ISBLANK($D68), 0, IF(ISNUMBER(SEARCH("reporting", $D68)), SUM(Table_Input_Enterprise_PlantingRemovals[Removal allocated to this enterprise]), "Enter value"))</f>
        <v>0</v>
      </c>
      <c r="F68" s="9" t="s">
        <v>126</v>
      </c>
    </row>
    <row r="69" spans="1:7" x14ac:dyDescent="0.25">
      <c r="E69" s="75">
        <f>IF(ISBLANK($D69), 0, IF(ISNUMBER(SEARCH("reporting", $D69)), SUM(Table_Input_Enterprise_PlantingRemovals[Removal allocated to this enterprise]), "Enter value"))</f>
        <v>0</v>
      </c>
      <c r="F69" s="9" t="s">
        <v>126</v>
      </c>
    </row>
    <row r="70" spans="1:7" x14ac:dyDescent="0.25">
      <c r="D70" s="92" t="s">
        <v>128</v>
      </c>
      <c r="E70" s="88">
        <f>SUM(E65:E69)</f>
        <v>0</v>
      </c>
      <c r="F70" s="93" t="s">
        <v>126</v>
      </c>
    </row>
    <row r="73" spans="1:7" ht="18.75" x14ac:dyDescent="0.25">
      <c r="D73" s="78"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2023 to 31 March 2025</v>
      </c>
    </row>
    <row r="75" spans="1:7" x14ac:dyDescent="0.25">
      <c r="D75" s="81" t="s">
        <v>115</v>
      </c>
      <c r="E75" s="81" t="s">
        <v>9</v>
      </c>
      <c r="F75" s="81" t="s">
        <v>10</v>
      </c>
    </row>
    <row r="76" spans="1:7" x14ac:dyDescent="0.25">
      <c r="D76" s="1" t="str" cm="1">
        <f t="array" ref="D76:D78">Common_InputFunctions.getOverlappingReportingPeriods(X_Cell_Enterprise_ProductionTimeframeStart,X_Cell_Enterprise_ProductionTimeframeEnd,X_Cell_Site_StartDate)</f>
        <v>01 Jan 2023 to 31 Dec 2023</v>
      </c>
      <c r="E76" s="75" t="str">
        <f>IF(ISBLANK($D76), 0, IF(ISNUMBER(SEARCH("reporting", $D76)), E52-$E$65, "Enter value"))</f>
        <v>Enter value</v>
      </c>
      <c r="F76" s="75" t="str">
        <f>IF(ISBLANK($D76), 0, IF(ISNUMBER(SEARCH("reporting", $D76)), F52-$E$65, "Enter value"))</f>
        <v>Enter value</v>
      </c>
      <c r="G76" s="9" t="s">
        <v>6</v>
      </c>
    </row>
    <row r="77" spans="1:7" x14ac:dyDescent="0.25">
      <c r="D77" s="1" t="str">
        <v>01 Jan 2024 to 31 Dec 2024 (This reporting cycle)</v>
      </c>
      <c r="E77" s="75">
        <f ca="1">IF(ISBLANK($D77), 0, IF(ISNUMBER(SEARCH("reporting", $D77)), E53-$E$66, "Enter value"))</f>
        <v>5186.2580400098868</v>
      </c>
      <c r="F77" s="75">
        <f ca="1">IF(ISBLANK($D77), 0, IF(ISNUMBER(SEARCH("reporting", $D77)), F53-$E$66, "Enter value"))</f>
        <v>7753.9955020961625</v>
      </c>
      <c r="G77" s="9" t="s">
        <v>6</v>
      </c>
    </row>
    <row r="78" spans="1:7" x14ac:dyDescent="0.25">
      <c r="D78" s="1" t="str">
        <v>01 Jan 2025 to 31 Dec 2025</v>
      </c>
      <c r="E78" s="75" t="str">
        <f>IF(ISBLANK($D78), 0, IF(ISNUMBER(SEARCH("reporting", $D78)), E54-$E$67, "Enter value"))</f>
        <v>Enter value</v>
      </c>
      <c r="F78" s="75" t="str">
        <f t="shared" ref="F78" si="0">IF(ISBLANK($D78), 0, IF(ISNUMBER(SEARCH("reporting", $D78)), F54-$E$67, "Enter value"))</f>
        <v>Enter value</v>
      </c>
      <c r="G78" s="9" t="s">
        <v>6</v>
      </c>
    </row>
    <row r="79" spans="1:7" x14ac:dyDescent="0.25">
      <c r="E79" s="75">
        <f>IF(ISBLANK($D79), 0, IF(ISNUMBER(SEARCH("reporting", $D79)), E55-$E$68, "Enter value"))</f>
        <v>0</v>
      </c>
      <c r="F79" s="75">
        <f>IF(ISBLANK($D79), 0, IF(ISNUMBER(SEARCH("reporting", $D79)), F55-$E$68, "Enter value"))</f>
        <v>0</v>
      </c>
      <c r="G79" s="9" t="s">
        <v>6</v>
      </c>
    </row>
    <row r="80" spans="1:7" x14ac:dyDescent="0.25">
      <c r="E80" s="75">
        <f>IF(ISBLANK($D80), 0, IF(ISNUMBER(SEARCH("reporting", $D80)), E56-$E$69, "Enter value"))</f>
        <v>0</v>
      </c>
      <c r="F80" s="75">
        <f>IF(ISBLANK($D80), 0, IF(ISNUMBER(SEARCH("reporting", $D80)), F56-$E$69, "Enter value"))</f>
        <v>0</v>
      </c>
      <c r="G80" s="9" t="s">
        <v>6</v>
      </c>
    </row>
    <row r="81" spans="4:7" x14ac:dyDescent="0.25">
      <c r="D81" s="92" t="s">
        <v>127</v>
      </c>
      <c r="E81" s="88">
        <f ca="1">SUM(E76:E80)</f>
        <v>5186.2580400098868</v>
      </c>
      <c r="F81" s="88">
        <f ca="1">SUM(F76:F80)</f>
        <v>7753.9955020961625</v>
      </c>
      <c r="G81" s="93" t="s">
        <v>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60"/>
  <sheetViews>
    <sheetView showGridLines="0" zoomScaleNormal="100" workbookViewId="0">
      <pane xSplit="1" topLeftCell="B1" activePane="topRight" state="frozenSplit"/>
      <selection pane="topRight" activeCell="A67" sqref="A67"/>
    </sheetView>
  </sheetViews>
  <sheetFormatPr defaultColWidth="9.140625" defaultRowHeight="15.75" x14ac:dyDescent="0.25"/>
  <cols>
    <col min="1" max="1" width="36.7109375" style="4" customWidth="1"/>
    <col min="2" max="2" width="4.7109375" style="21" customWidth="1"/>
    <col min="3" max="3" width="4.7109375" style="24" customWidth="1"/>
    <col min="4" max="4" width="60.7109375" style="24" customWidth="1"/>
    <col min="5" max="5" width="50.7109375" style="24" customWidth="1"/>
    <col min="6" max="11" width="28.7109375" style="24" customWidth="1"/>
    <col min="12" max="25" width="28.7109375" style="21" customWidth="1"/>
    <col min="26" max="27" width="9.140625" style="21"/>
    <col min="28" max="16384" width="9.140625" style="24"/>
  </cols>
  <sheetData>
    <row r="1" spans="1:24" s="21" customFormat="1" ht="30" customHeight="1" x14ac:dyDescent="0.35">
      <c r="A1" s="10" t="e" vm="1">
        <v>#VALUE!</v>
      </c>
      <c r="C1" s="27" t="s">
        <v>86</v>
      </c>
    </row>
    <row r="2" spans="1:24" s="21" customFormat="1" ht="20.100000000000001" customHeight="1" x14ac:dyDescent="0.25">
      <c r="A2"/>
      <c r="C2" s="3"/>
      <c r="D2" s="3"/>
      <c r="E2" s="3"/>
      <c r="F2" s="3"/>
      <c r="G2" s="3"/>
      <c r="H2" s="3"/>
      <c r="I2" s="3"/>
      <c r="J2" s="3"/>
    </row>
    <row r="3" spans="1:24" ht="20.100000000000001" customHeight="1" x14ac:dyDescent="0.25">
      <c r="A3" s="5" t="str">
        <f>HYPERLINK("#'Home'!A1", "Home")</f>
        <v>Home</v>
      </c>
      <c r="C3" s="28"/>
      <c r="D3" s="28"/>
      <c r="E3" s="28"/>
      <c r="F3" s="28"/>
      <c r="G3" s="28"/>
      <c r="H3" s="28"/>
      <c r="I3" s="28"/>
      <c r="J3" s="28"/>
      <c r="K3" s="28"/>
      <c r="M3" s="23"/>
      <c r="N3" s="23"/>
      <c r="O3" s="23"/>
      <c r="P3" s="23"/>
      <c r="Q3" s="23"/>
      <c r="R3" s="23"/>
      <c r="S3" s="23"/>
      <c r="T3" s="23"/>
      <c r="U3" s="23"/>
      <c r="V3" s="23"/>
      <c r="W3" s="23"/>
      <c r="X3" s="23"/>
    </row>
    <row r="4" spans="1:24" ht="20.100000000000001" customHeight="1" x14ac:dyDescent="0.25">
      <c r="A4" s="5" t="str">
        <f>HYPERLINK("#'Results - Activity period'!A1", "Results - Activity period")</f>
        <v>Results - Activity period</v>
      </c>
      <c r="C4" s="29"/>
      <c r="D4" s="29"/>
      <c r="E4" s="29"/>
      <c r="F4" s="29"/>
      <c r="G4" s="29"/>
      <c r="H4" s="29"/>
      <c r="I4" s="29"/>
      <c r="J4" s="29"/>
      <c r="K4" s="29"/>
    </row>
    <row r="5" spans="1:24" ht="20.100000000000001" customHeight="1" x14ac:dyDescent="0.25">
      <c r="A5" s="5" t="str">
        <f>HYPERLINK("#'Results - Product EI'!A1", "Results - Product Emissions Intensity")</f>
        <v>Results - Product Emissions Intensity</v>
      </c>
      <c r="D5" s="2" t="s">
        <v>95</v>
      </c>
      <c r="N5" s="30"/>
    </row>
    <row r="6" spans="1:24" ht="20.100000000000001" customHeight="1" x14ac:dyDescent="0.25">
      <c r="A6" s="5" t="str">
        <f>HYPERLINK("#'Results'!A1", "Results")</f>
        <v>Results</v>
      </c>
      <c r="N6" s="32"/>
    </row>
    <row r="7" spans="1:24" ht="20.100000000000001" customHeight="1" x14ac:dyDescent="0.25">
      <c r="A7"/>
      <c r="D7" s="42" t="s">
        <v>96</v>
      </c>
      <c r="E7" s="43"/>
      <c r="F7" s="43"/>
      <c r="G7" s="44"/>
    </row>
    <row r="8" spans="1:24" ht="20.100000000000001" customHeight="1" x14ac:dyDescent="0.25">
      <c r="A8"/>
      <c r="D8" s="45" t="s">
        <v>97</v>
      </c>
      <c r="E8" s="46"/>
      <c r="F8" s="46"/>
      <c r="G8" s="47"/>
    </row>
    <row r="9" spans="1:24" ht="20.100000000000001" customHeight="1" x14ac:dyDescent="0.25">
      <c r="A9" s="7" t="s">
        <v>0</v>
      </c>
      <c r="D9" s="1"/>
      <c r="E9" s="48"/>
      <c r="F9" s="16"/>
      <c r="N9" s="34"/>
    </row>
    <row r="10" spans="1:24" ht="20.100000000000001" customHeight="1" x14ac:dyDescent="0.25">
      <c r="A10" s="5" t="str">
        <f>HYPERLINK("#'Input - Enterprise'!A1", "Enterprise")</f>
        <v>Enterprise</v>
      </c>
      <c r="D10" s="1" t="s">
        <v>98</v>
      </c>
      <c r="E10" s="13" t="s">
        <v>99</v>
      </c>
      <c r="F10" s="16" t="s">
        <v>100</v>
      </c>
      <c r="N10" s="34"/>
    </row>
    <row r="11" spans="1:24" ht="20.100000000000001" customHeight="1" x14ac:dyDescent="0.25">
      <c r="A11" s="99" t="str">
        <f>HYPERLINK("#'Input - Site'!A1", "Site")</f>
        <v>Site</v>
      </c>
      <c r="D11" s="1" t="s">
        <v>101</v>
      </c>
      <c r="E11" s="13" t="s">
        <v>102</v>
      </c>
      <c r="F11" s="16" t="s">
        <v>100</v>
      </c>
      <c r="G11" s="1"/>
      <c r="N11" s="39"/>
    </row>
    <row r="12" spans="1:24" ht="20.100000000000001" customHeight="1" x14ac:dyDescent="0.25">
      <c r="A12" s="5" t="str">
        <f>HYPERLINK("#'Input - Dairy'!A1", "Dairy")</f>
        <v>Dairy</v>
      </c>
      <c r="D12" s="1" t="s">
        <v>103</v>
      </c>
      <c r="E12" s="13" t="s">
        <v>104</v>
      </c>
      <c r="F12" s="16" t="s">
        <v>100</v>
      </c>
    </row>
    <row r="13" spans="1:24" ht="20.100000000000001" customHeight="1" x14ac:dyDescent="0.25">
      <c r="A13" s="5" t="str">
        <f>HYPERLINK("#'Input - Livestock sales'!A1", "Livestock sales")</f>
        <v>Livestock sales</v>
      </c>
      <c r="D13" s="1" t="s">
        <v>36</v>
      </c>
      <c r="E13" s="33">
        <v>307.7</v>
      </c>
      <c r="F13" s="16" t="s">
        <v>105</v>
      </c>
      <c r="N13" s="41"/>
      <c r="O13" s="41"/>
    </row>
    <row r="14" spans="1:24" ht="20.100000000000001" customHeight="1" x14ac:dyDescent="0.25">
      <c r="A14" s="5" t="str">
        <f>HYPERLINK("#'Input - Dairy cattle purchases'!A1", "Dairy cattle purchases")</f>
        <v>Dairy cattle purchases</v>
      </c>
      <c r="D14" s="1" t="s">
        <v>106</v>
      </c>
      <c r="E14" s="33">
        <v>18</v>
      </c>
      <c r="F14" s="16" t="s">
        <v>107</v>
      </c>
      <c r="N14" s="41"/>
      <c r="O14" s="41"/>
    </row>
    <row r="15" spans="1:24" ht="20.100000000000001" customHeight="1" x14ac:dyDescent="0.25">
      <c r="A15" s="5" t="str">
        <f>HYPERLINK("#'Input - Pasture'!A1", "Pasture")</f>
        <v>Pasture</v>
      </c>
      <c r="D15" s="1" t="s">
        <v>108</v>
      </c>
      <c r="E15" s="33">
        <v>601</v>
      </c>
      <c r="F15" s="16" t="s">
        <v>109</v>
      </c>
      <c r="N15" s="41"/>
      <c r="O15" s="41"/>
    </row>
    <row r="16" spans="1:24" ht="20.100000000000001" customHeight="1" x14ac:dyDescent="0.25">
      <c r="A16" s="5" t="str">
        <f>HYPERLINK("#'Input - Fert Prod System'!A1", "Fert Prod System")</f>
        <v>Fert Prod System</v>
      </c>
      <c r="D16" s="12" t="s">
        <v>110</v>
      </c>
      <c r="E16" s="33">
        <v>1326</v>
      </c>
      <c r="F16" s="16" t="s">
        <v>109</v>
      </c>
      <c r="N16" s="41"/>
      <c r="O16" s="41"/>
    </row>
    <row r="17" spans="1:25" ht="20.100000000000001" customHeight="1" x14ac:dyDescent="0.25">
      <c r="A17" s="5" t="str">
        <f>HYPERLINK("#'Input - Fertiliser'!A1", "Fertiliser")</f>
        <v>Fertiliser</v>
      </c>
      <c r="D17" s="1" t="s">
        <v>111</v>
      </c>
      <c r="E17" s="33">
        <v>7</v>
      </c>
      <c r="F17" s="16" t="s">
        <v>112</v>
      </c>
    </row>
    <row r="18" spans="1:25" ht="20.100000000000001" customHeight="1" x14ac:dyDescent="0.25">
      <c r="A18" s="5" t="str">
        <f>HYPERLINK("#'Input - Fuel'!A1", "Fuel")</f>
        <v>Fuel</v>
      </c>
      <c r="D18" s="12" t="s">
        <v>113</v>
      </c>
      <c r="E18" s="15">
        <f>E15/E16</f>
        <v>0.45324283559577677</v>
      </c>
      <c r="F18" s="16"/>
    </row>
    <row r="19" spans="1:25" ht="20.100000000000001" customHeight="1" x14ac:dyDescent="0.25">
      <c r="A19" s="5" t="str">
        <f>HYPERLINK("#'Input - Electricity'!A1", "Electricity")</f>
        <v>Electricity</v>
      </c>
      <c r="D19" s="12" t="s">
        <v>64</v>
      </c>
      <c r="E19" s="15" t="str">
        <f>Common_InputFunctions.Utility_LookupItemFromMinMax(E15,Table_SourceData_RainfallZones[Min rainfall],Table_SourceData_RainfallZones[Max rainfall],Table_SourceData_RainfallZones[Rainfall Zone])</f>
        <v>High rainfall</v>
      </c>
      <c r="G19" s="49"/>
      <c r="N19" s="30"/>
    </row>
    <row r="20" spans="1:25" ht="20.100000000000001" customHeight="1" x14ac:dyDescent="0.25">
      <c r="A20" s="5" t="str">
        <f>HYPERLINK("#'Input - Common farm inputs'!A1", "Common farm inputs")</f>
        <v>Common farm inputs</v>
      </c>
      <c r="D20" s="1" t="s">
        <v>31</v>
      </c>
      <c r="E20" s="1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48"/>
      <c r="N20" s="32"/>
    </row>
    <row r="21" spans="1:25" ht="20.100000000000001" customHeight="1" x14ac:dyDescent="0.25">
      <c r="A21" s="5" t="str">
        <f>HYPERLINK("#'Input - Crop pasture farm input'!A1", "Crop pasture farm input")</f>
        <v>Crop pasture farm input</v>
      </c>
      <c r="D21" s="1" t="s">
        <v>114</v>
      </c>
      <c r="E21" s="15" t="str">
        <f>Common_InputFunctions.Utility_LookupValueInTable($E$20,Table_SourceData_WetDryZones[Climate zone],Table_SourceData_WetDryZones[Wet or Dry Zone])</f>
        <v>Dry climate zone</v>
      </c>
      <c r="F21" s="1"/>
      <c r="G21" s="48"/>
    </row>
    <row r="22" spans="1:25" ht="20.100000000000001" customHeight="1" x14ac:dyDescent="0.25">
      <c r="A22" s="5" t="str">
        <f>HYPERLINK("#'Input - Livestock farm Inputs'!A1", "Livestock farm Inputs")</f>
        <v>Livestock farm Inputs</v>
      </c>
      <c r="D22" s="1" t="s">
        <v>68</v>
      </c>
      <c r="E22" s="15" t="str">
        <f>Common_InputFunctions.Utility_LookupItemFromMinMax(E14,Table_SourceData_TemperatureZones[Min MAT],Table_SourceData_TemperatureZones[Max MAT],Table_SourceData_TemperatureZones[Temperature Zone])</f>
        <v>Temperate</v>
      </c>
      <c r="G22" s="52"/>
    </row>
    <row r="23" spans="1:25" ht="20.100000000000001" customHeight="1" x14ac:dyDescent="0.25">
      <c r="A23" s="5" t="str">
        <f>HYPERLINK("#'Input - Freight'!A1", "Freight")</f>
        <v>Freight</v>
      </c>
    </row>
    <row r="24" spans="1:25" ht="20.100000000000001" customHeight="1" x14ac:dyDescent="0.25">
      <c r="A24" s="5" t="str">
        <f>HYPERLINK("#'Input - Solid waste'!A1", "Solid waste")</f>
        <v>Solid waste</v>
      </c>
    </row>
    <row r="25" spans="1:25" ht="20.100000000000001" customHeight="1" x14ac:dyDescent="0.25">
      <c r="A25" s="5" t="str">
        <f>HYPERLINK("#'Input - Manure sent off-site'!A1", "Manure sent off-site")</f>
        <v>Manure sent off-site</v>
      </c>
      <c r="N25" s="32"/>
    </row>
    <row r="26" spans="1:25" ht="20.100000000000001" customHeight="1" x14ac:dyDescent="0.25">
      <c r="A26" s="5" t="str">
        <f>HYPERLINK("#'Input - Refrigerants'!A1", "Refrigerants")</f>
        <v>Refrigerants</v>
      </c>
    </row>
    <row r="27" spans="1:25" ht="20.100000000000001" customHeight="1" x14ac:dyDescent="0.25">
      <c r="A27" s="5" t="str">
        <f>HYPERLINK("#'Input - Data quality'!A1", "Data quality")</f>
        <v>Data quality</v>
      </c>
    </row>
    <row r="28" spans="1:25" ht="20.100000000000001" customHeight="1" x14ac:dyDescent="0.25">
      <c r="A28"/>
    </row>
    <row r="29" spans="1:25" ht="20.100000000000001" customHeight="1" x14ac:dyDescent="0.25">
      <c r="A29"/>
    </row>
    <row r="30" spans="1:25" ht="20.100000000000001" customHeight="1" x14ac:dyDescent="0.25">
      <c r="A30" s="6" t="s">
        <v>2</v>
      </c>
      <c r="L30" s="50"/>
      <c r="M30" s="50"/>
      <c r="N30" s="50"/>
      <c r="O30" s="50"/>
      <c r="P30" s="50"/>
      <c r="Q30" s="50"/>
      <c r="R30" s="50"/>
      <c r="S30" s="50"/>
      <c r="T30" s="50"/>
      <c r="U30" s="50"/>
      <c r="V30" s="50"/>
      <c r="W30" s="50"/>
      <c r="X30" s="50"/>
      <c r="Y30" s="50"/>
    </row>
    <row r="31" spans="1:25" ht="20.100000000000001" customHeight="1" x14ac:dyDescent="0.25">
      <c r="A31" s="5" t="str">
        <f>HYPERLINK("#'3.3.1.1-2 Enteric Methane'!A1", "3.3.1.1-2 Enteric methane")</f>
        <v>3.3.1.1-2 Enteric methane</v>
      </c>
      <c r="L31" s="51"/>
      <c r="M31" s="51"/>
      <c r="N31" s="51"/>
      <c r="O31" s="51"/>
      <c r="P31" s="51"/>
      <c r="Q31" s="51"/>
      <c r="R31" s="51"/>
      <c r="S31" s="51"/>
      <c r="T31" s="51"/>
      <c r="U31" s="51"/>
      <c r="V31" s="51"/>
      <c r="W31" s="51"/>
      <c r="X31" s="51"/>
      <c r="Y31" s="51"/>
    </row>
    <row r="32" spans="1:25" ht="20.100000000000001" customHeight="1" x14ac:dyDescent="0.25">
      <c r="A32" s="5" t="str">
        <f>HYPERLINK("#'4.3.1.1-2 Methane'!A1", "4.3.1.1-2 Manure methane")</f>
        <v>4.3.1.1-2 Manure methane</v>
      </c>
      <c r="L32" s="51"/>
      <c r="M32" s="51"/>
      <c r="N32" s="51"/>
      <c r="O32" s="51"/>
      <c r="P32" s="51"/>
      <c r="Q32" s="51"/>
      <c r="R32" s="51"/>
      <c r="S32" s="51"/>
      <c r="T32" s="51"/>
      <c r="U32" s="51"/>
      <c r="V32" s="51"/>
      <c r="W32" s="51"/>
      <c r="X32" s="51"/>
      <c r="Y32" s="51"/>
    </row>
    <row r="33" spans="1:25" ht="20.100000000000001" customHeight="1" x14ac:dyDescent="0.25">
      <c r="A33" s="5" t="str">
        <f>HYPERLINK("#'4.3.1.3-4 Direct N20'!A1", "4.3.1.3-4 Direct N20")</f>
        <v>4.3.1.3-4 Direct N20</v>
      </c>
      <c r="L33" s="51"/>
      <c r="M33" s="51"/>
      <c r="N33" s="51"/>
      <c r="O33" s="51"/>
      <c r="P33" s="51"/>
      <c r="Q33" s="51"/>
      <c r="R33" s="51"/>
      <c r="S33" s="51"/>
      <c r="T33" s="51"/>
      <c r="U33" s="51"/>
      <c r="V33" s="51"/>
      <c r="W33" s="51"/>
      <c r="X33" s="51"/>
      <c r="Y33" s="51"/>
    </row>
    <row r="34" spans="1:25" ht="20.100000000000001" customHeight="1" x14ac:dyDescent="0.25">
      <c r="A34" s="5" t="str">
        <f>HYPERLINK("#'4.3.1.5 Atmos deposition'!A1", "4.3.1.5 Atmos deposition")</f>
        <v>4.3.1.5 Atmos deposition</v>
      </c>
      <c r="J34" s="53"/>
      <c r="K34" s="54"/>
      <c r="L34" s="51"/>
      <c r="M34" s="51"/>
      <c r="N34" s="51"/>
      <c r="O34" s="51"/>
      <c r="P34" s="51"/>
      <c r="Q34" s="51"/>
      <c r="R34" s="51"/>
      <c r="S34" s="51"/>
      <c r="T34" s="51"/>
      <c r="U34" s="51"/>
      <c r="V34" s="51"/>
      <c r="W34" s="51"/>
      <c r="X34" s="51"/>
      <c r="Y34" s="51"/>
    </row>
    <row r="35" spans="1:25" ht="20.100000000000001" customHeight="1" x14ac:dyDescent="0.25">
      <c r="A35" s="5" t="str">
        <f>HYPERLINK("#'4.3.1.6-7 Leaching and runoff'!A1", "4.3.1.6-7 Leaching &amp; runoff")</f>
        <v>4.3.1.6-7 Leaching &amp; runoff</v>
      </c>
      <c r="J35" s="53"/>
      <c r="K35" s="54"/>
      <c r="L35" s="51"/>
      <c r="M35" s="51"/>
      <c r="N35" s="51"/>
      <c r="O35" s="51"/>
      <c r="P35" s="51"/>
      <c r="Q35" s="51"/>
      <c r="R35" s="51"/>
      <c r="S35" s="51"/>
      <c r="T35" s="51"/>
      <c r="U35" s="51"/>
      <c r="V35" s="51"/>
      <c r="W35" s="51"/>
      <c r="X35" s="51"/>
      <c r="Y35" s="51"/>
    </row>
    <row r="36" spans="1:25" ht="20.100000000000001" customHeight="1" x14ac:dyDescent="0.25">
      <c r="A36" s="5" t="str">
        <f>HYPERLINK("#'4.3.1.8 Manure applied to soils'!A1", "4.3.1.8 Manure applied to soils")</f>
        <v>4.3.1.8 Manure applied to soils</v>
      </c>
      <c r="D36" s="55"/>
      <c r="E36" s="55"/>
      <c r="F36" s="56"/>
      <c r="G36" s="53"/>
      <c r="H36" s="53"/>
      <c r="I36" s="57"/>
      <c r="J36" s="53"/>
      <c r="K36" s="54"/>
      <c r="L36" s="51"/>
      <c r="M36" s="51"/>
      <c r="N36" s="51"/>
      <c r="O36" s="51"/>
      <c r="P36" s="51"/>
      <c r="Q36" s="51"/>
      <c r="R36" s="51"/>
      <c r="S36" s="51"/>
      <c r="T36" s="51"/>
      <c r="U36" s="51"/>
      <c r="V36" s="51"/>
      <c r="W36" s="51"/>
      <c r="X36" s="51"/>
      <c r="Y36" s="51"/>
    </row>
    <row r="37" spans="1:25" ht="20.100000000000001" customHeight="1" x14ac:dyDescent="0.25">
      <c r="A37" s="5" t="str">
        <f>HYPERLINK("#'4.3.1.9 Soil direct N2O'!A1", "4.3.1.9 Soil direct N2O")</f>
        <v>4.3.1.9 Soil direct N2O</v>
      </c>
      <c r="D37" s="55"/>
      <c r="E37" s="55"/>
      <c r="F37" s="56"/>
      <c r="G37" s="53"/>
      <c r="H37" s="53"/>
      <c r="I37" s="57"/>
      <c r="J37" s="53"/>
      <c r="K37" s="54"/>
      <c r="L37" s="51"/>
      <c r="M37" s="51"/>
      <c r="N37" s="51"/>
      <c r="O37" s="51"/>
      <c r="P37" s="51"/>
      <c r="Q37" s="51"/>
      <c r="R37" s="51"/>
      <c r="S37" s="51"/>
      <c r="T37" s="51"/>
      <c r="U37" s="51"/>
      <c r="V37" s="51"/>
      <c r="W37" s="51"/>
      <c r="X37" s="51"/>
      <c r="Y37" s="51"/>
    </row>
    <row r="38" spans="1:25" ht="20.100000000000001" customHeight="1" x14ac:dyDescent="0.25">
      <c r="A38" s="5" t="str">
        <f>HYPERLINK("#'4.3.1.10-11 Soil Atmos Dep'!A1", "4.3.1.10-11 Soil Atmos Deposition")</f>
        <v>4.3.1.10-11 Soil Atmos Deposition</v>
      </c>
      <c r="D38" s="55"/>
      <c r="E38" s="55"/>
      <c r="F38" s="56"/>
      <c r="G38" s="53"/>
      <c r="H38" s="53"/>
      <c r="I38" s="57"/>
      <c r="J38" s="53"/>
      <c r="K38" s="54"/>
      <c r="L38" s="51"/>
      <c r="M38" s="51"/>
      <c r="N38" s="51"/>
      <c r="O38" s="51"/>
      <c r="P38" s="51"/>
      <c r="Q38" s="51"/>
      <c r="R38" s="51"/>
      <c r="S38" s="51"/>
      <c r="T38" s="51"/>
      <c r="U38" s="51"/>
      <c r="V38" s="51"/>
      <c r="W38" s="51"/>
      <c r="X38" s="51"/>
      <c r="Y38" s="51"/>
    </row>
    <row r="39" spans="1:25" ht="20.100000000000001" customHeight="1" x14ac:dyDescent="0.25">
      <c r="A39" s="5" t="str">
        <f>HYPERLINK("#'4.3.1.12-13 Soil leach runoff'!A1", "4.3.1.12-13 Soil leach &amp; runoff")</f>
        <v>4.3.1.12-13 Soil leach &amp; runoff</v>
      </c>
      <c r="D39" s="55"/>
      <c r="E39" s="55"/>
      <c r="F39" s="56"/>
      <c r="G39" s="53"/>
      <c r="H39" s="53"/>
      <c r="I39" s="57"/>
      <c r="J39" s="53"/>
      <c r="K39" s="54"/>
      <c r="L39" s="51"/>
      <c r="M39" s="51"/>
      <c r="N39" s="51"/>
      <c r="O39" s="51"/>
      <c r="P39" s="51"/>
      <c r="Q39" s="51"/>
      <c r="R39" s="51"/>
      <c r="S39" s="51"/>
      <c r="T39" s="51"/>
      <c r="U39" s="51"/>
      <c r="V39" s="51"/>
      <c r="W39" s="51"/>
      <c r="X39" s="51"/>
      <c r="Y39" s="51"/>
    </row>
    <row r="40" spans="1:25" ht="20.100000000000001" customHeight="1" x14ac:dyDescent="0.25">
      <c r="A40" s="5" t="str">
        <f>HYPERLINK("#'5.1.1.1-2 Inorganic fert N2O'!A1", "5.1.1.1-2 Inorganic fert N2O")</f>
        <v>5.1.1.1-2 Inorganic fert N2O</v>
      </c>
      <c r="D40" s="58"/>
      <c r="E40" s="58"/>
      <c r="F40" s="58"/>
      <c r="G40" s="59"/>
      <c r="H40" s="60"/>
      <c r="I40" s="60"/>
      <c r="J40" s="60"/>
      <c r="K40" s="60"/>
      <c r="L40" s="61"/>
      <c r="M40" s="61"/>
      <c r="N40" s="61"/>
      <c r="O40" s="61"/>
      <c r="P40" s="61"/>
      <c r="Q40" s="61"/>
      <c r="R40" s="61"/>
      <c r="S40" s="61"/>
      <c r="T40" s="61"/>
      <c r="U40" s="61"/>
      <c r="V40" s="61"/>
      <c r="W40" s="61"/>
      <c r="X40" s="61"/>
      <c r="Y40" s="61"/>
    </row>
    <row r="41" spans="1:25" ht="20.100000000000001" customHeight="1" x14ac:dyDescent="0.25">
      <c r="A41" s="5" t="str">
        <f>HYPERLINK("#'5.1.1.3-4 Inorganic fert CO2'!A1", "5.1.1.3-4 Inorganic fert CO2")</f>
        <v>5.1.1.3-4 Inorganic fert CO2</v>
      </c>
    </row>
    <row r="42" spans="1:25" ht="20.100000000000001" customHeight="1" x14ac:dyDescent="0.25">
      <c r="A42" s="5" t="str">
        <f>HYPERLINK("#'5.2.1.1-2 Organic Fert N2O'!A1", "5.2.1.1-2 Organic fert N2O")</f>
        <v>5.2.1.1-2 Organic fert N2O</v>
      </c>
    </row>
    <row r="43" spans="1:25" ht="20.100000000000001" customHeight="1" x14ac:dyDescent="0.25">
      <c r="A43" s="5" t="str">
        <f>HYPERLINK("#'5.3.1.1-2 Lime CO2'!A1", "5.3.1.1-2 Lime CO2")</f>
        <v>5.3.1.1-2 Lime CO2</v>
      </c>
    </row>
    <row r="44" spans="1:25" ht="20.100000000000001" customHeight="1" x14ac:dyDescent="0.25">
      <c r="A44" s="5" t="str">
        <f>HYPERLINK("#'5.4.1.1-4 Atmos deposition'!A1", "5.4.1.1-4 Atmos. deposition")</f>
        <v>5.4.1.1-4 Atmos. deposition</v>
      </c>
    </row>
    <row r="45" spans="1:25" ht="20.100000000000001" customHeight="1" x14ac:dyDescent="0.25">
      <c r="A45" s="5" t="str">
        <f>HYPERLINK("#'5.5.1.1-2 Leaching and runoff'!A1", "5.5.1.1-2 Leaching &amp; runoff")</f>
        <v>5.5.1.1-2 Leaching &amp; runoff</v>
      </c>
      <c r="D45" s="2"/>
    </row>
    <row r="46" spans="1:25" ht="20.100000000000001" customHeight="1" x14ac:dyDescent="0.25">
      <c r="A46" s="5" t="str">
        <f>HYPERLINK("#'6.2.1.1-2 Pasture residue N2O'!A1", "6.2.1.1-2 Pasture residue N2O")</f>
        <v>6.2.1.1-2 Pasture residue N2O</v>
      </c>
      <c r="D46" s="2"/>
    </row>
    <row r="47" spans="1:25" ht="20.100000000000001" customHeight="1" x14ac:dyDescent="0.25">
      <c r="A47" s="5" t="str">
        <f>HYPERLINK("#'6.3.1.1-2 Leach runoff pasture'!A1", "6.3.1.1-2 Leach &amp; runoff (pasture)")</f>
        <v>6.3.1.1-2 Leach &amp; runoff (pasture)</v>
      </c>
      <c r="D47" s="62"/>
      <c r="E47" s="62"/>
      <c r="F47" s="62"/>
      <c r="G47" s="62"/>
      <c r="H47" s="62"/>
    </row>
    <row r="48" spans="1:25" ht="20.100000000000001" customHeight="1" x14ac:dyDescent="0.25">
      <c r="A48" s="5" t="str">
        <f>HYPERLINK("#'8.1.1.1-2 Transport fuel'!A1", "8.1.1.1-2 Transport fuel")</f>
        <v>8.1.1.1-2 Transport fuel</v>
      </c>
      <c r="D48" s="63"/>
      <c r="E48" s="63"/>
      <c r="F48" s="64"/>
      <c r="G48" s="64"/>
      <c r="H48" s="63"/>
    </row>
    <row r="49" spans="1:8" ht="20.100000000000001" customHeight="1" x14ac:dyDescent="0.25">
      <c r="A49" s="5" t="str">
        <f>HYPERLINK("#'8.2.1.1-2 Stationary fuel'!A1", "8.2.1.1-2 Stationary fuel")</f>
        <v>8.2.1.1-2 Stationary fuel</v>
      </c>
      <c r="D49" s="63"/>
      <c r="E49" s="63"/>
      <c r="F49" s="64"/>
      <c r="G49" s="64"/>
      <c r="H49" s="63"/>
    </row>
    <row r="50" spans="1:8" ht="20.100000000000001" customHeight="1" x14ac:dyDescent="0.25">
      <c r="A50" s="5" t="str">
        <f>HYPERLINK("#'9.1.1.1-2 Refrigerant use'!A1", "9.1.1.1-2 Refrigerant use")</f>
        <v>9.1.1.1-2 Refrigerant use</v>
      </c>
      <c r="D50" s="63"/>
      <c r="E50" s="63"/>
      <c r="F50" s="64"/>
      <c r="G50" s="64"/>
      <c r="H50" s="63"/>
    </row>
    <row r="51" spans="1:8" ht="20.100000000000001" customHeight="1" x14ac:dyDescent="0.25">
      <c r="A51" s="5" t="str">
        <f>HYPERLINK("#'10.1.1-2 Solid waste treatment'!A1", "10.1.1.1-2 Solid waste")</f>
        <v>10.1.1.1-2 Solid waste</v>
      </c>
      <c r="D51" s="65"/>
      <c r="E51" s="66"/>
      <c r="F51" s="66"/>
      <c r="G51" s="66"/>
      <c r="H51" s="67"/>
    </row>
    <row r="52" spans="1:8" ht="20.100000000000001" customHeight="1" x14ac:dyDescent="0.25">
      <c r="A52" s="5" t="str">
        <f>HYPERLINK("#'14.1.1-2 Purchased electricity'!A1", "14.1.1-2 Purchased electricity")</f>
        <v>14.1.1-2 Purchased electricity</v>
      </c>
    </row>
    <row r="53" spans="1:8" ht="20.100000000000001" customHeight="1" x14ac:dyDescent="0.25">
      <c r="A53" s="5" t="str">
        <f>HYPERLINK("#'15 Scope 3'!A1", "15 Scope 3")</f>
        <v>15 Scope 3</v>
      </c>
    </row>
    <row r="54" spans="1:8" ht="20.100000000000001" customHeight="1" x14ac:dyDescent="0.25">
      <c r="A54" s="5" t="str">
        <f>HYPERLINK("#'Calcs - Manure sent off-site'!A1", "Calcs - Manure sent off-site")</f>
        <v>Calcs - Manure sent off-site</v>
      </c>
      <c r="G54" s="68"/>
    </row>
    <row r="55" spans="1:8" ht="20.100000000000001" customHeight="1" x14ac:dyDescent="0.25">
      <c r="A55"/>
      <c r="D55" s="2"/>
    </row>
    <row r="56" spans="1:8" ht="20.100000000000001" customHeight="1" x14ac:dyDescent="0.25">
      <c r="A56"/>
    </row>
    <row r="57" spans="1:8" ht="20.100000000000001" customHeight="1" x14ac:dyDescent="0.25">
      <c r="A57" s="82" t="s">
        <v>1</v>
      </c>
      <c r="D57" s="69"/>
      <c r="F57" s="70"/>
    </row>
    <row r="58" spans="1:8" ht="20.100000000000001" customHeight="1" x14ac:dyDescent="0.25">
      <c r="A58" s="5" t="str">
        <f>HYPERLINK("#'Constants - Dairy'!A1", "Constants - Dairy")</f>
        <v>Constants - Dairy</v>
      </c>
      <c r="D58" s="1"/>
      <c r="E58" s="71"/>
    </row>
    <row r="59" spans="1:8" ht="20.100000000000001" customHeight="1" x14ac:dyDescent="0.25">
      <c r="A59" s="5" t="str">
        <f>HYPERLINK("#'Constants - Ag Residue'!A1", "Constants - Ag residue")</f>
        <v>Constants - Ag residue</v>
      </c>
      <c r="D59" s="1"/>
      <c r="E59" s="71"/>
    </row>
    <row r="60" spans="1:8" ht="20.100000000000001" customHeight="1" x14ac:dyDescent="0.25">
      <c r="A60" s="5" t="str">
        <f>HYPERLINK("#'Constants - Common Livestock'!A1", "Constants - Common Livestock")</f>
        <v>Constants - Common Livestock</v>
      </c>
      <c r="D60" s="1"/>
      <c r="E60" s="72"/>
    </row>
    <row r="61" spans="1:8" ht="20.100000000000001" customHeight="1" x14ac:dyDescent="0.25">
      <c r="A61" s="5" t="str">
        <f>HYPERLINK("#'Constants - Electricity'!A1", "Constants - Electricity")</f>
        <v>Constants - Electricity</v>
      </c>
      <c r="D61" s="1"/>
    </row>
    <row r="62" spans="1:8" ht="20.100000000000001" customHeight="1" x14ac:dyDescent="0.25">
      <c r="A62" s="5" t="str">
        <f>HYPERLINK("#'Constants - Fertiliser'!A1", "Constants - Fertiliser")</f>
        <v>Constants - Fertiliser</v>
      </c>
    </row>
    <row r="63" spans="1:8" ht="20.100000000000001" customHeight="1" x14ac:dyDescent="0.25">
      <c r="A63" s="5" t="str">
        <f>HYPERLINK("#'Constants - Fuel'!A1", "Constants - Fuel")</f>
        <v>Constants - Fuel</v>
      </c>
      <c r="D63" s="69"/>
    </row>
    <row r="64" spans="1:8" ht="20.100000000000001" customHeight="1" x14ac:dyDescent="0.25">
      <c r="A64" s="5" t="str">
        <f>HYPERLINK("#'Constants - Scope 3'!A1", "Constants - Scope 3")</f>
        <v>Constants - Scope 3</v>
      </c>
      <c r="D64" s="1"/>
      <c r="E64" s="71"/>
    </row>
    <row r="65" spans="1:9" ht="20.100000000000001" customHeight="1" x14ac:dyDescent="0.25">
      <c r="A65" s="5" t="str">
        <f>HYPERLINK("#'Constants - Common'!A1", "Constants - Common")</f>
        <v>Constants - Common</v>
      </c>
      <c r="D65" s="1"/>
      <c r="E65" s="71"/>
    </row>
    <row r="66" spans="1:9" ht="20.100000000000001" customHeight="1" x14ac:dyDescent="0.25">
      <c r="A66" s="5" t="str">
        <f>HYPERLINK("#'Constants - Refrigerants'!A1", "Constants - Refrigerants")</f>
        <v>Constants - Refrigerants</v>
      </c>
      <c r="D66" s="1"/>
      <c r="E66" s="72"/>
    </row>
    <row r="67" spans="1:9" ht="20.100000000000001" customHeight="1" x14ac:dyDescent="0.25">
      <c r="A67" s="5" t="str">
        <f>HYPERLINK("#'Constants - Solid Waste'!A1", "Constants - Solid Waste")</f>
        <v>Constants - Solid Waste</v>
      </c>
    </row>
    <row r="68" spans="1:9" ht="20.100000000000001" customHeight="1" x14ac:dyDescent="0.25">
      <c r="A68" s="5" t="str">
        <f>HYPERLINK("#'Acknowledgements'!A1", "Acknowledgements")</f>
        <v>Acknowledgements</v>
      </c>
    </row>
    <row r="69" spans="1:9" ht="20.100000000000001" customHeight="1" x14ac:dyDescent="0.25">
      <c r="A69"/>
      <c r="D69" s="73"/>
      <c r="E69" s="73"/>
      <c r="F69" s="73"/>
      <c r="G69" s="73"/>
      <c r="H69" s="73"/>
      <c r="I69" s="73"/>
    </row>
    <row r="70" spans="1:9" ht="20.100000000000001" customHeight="1" x14ac:dyDescent="0.25">
      <c r="A70"/>
      <c r="D70" s="73"/>
      <c r="E70" s="73"/>
      <c r="F70" s="73"/>
      <c r="G70" s="73"/>
      <c r="H70" s="73"/>
      <c r="I70" s="73"/>
    </row>
    <row r="71" spans="1:9" ht="20.100000000000001" customHeight="1" x14ac:dyDescent="0.25">
      <c r="A71"/>
      <c r="D71" s="73"/>
      <c r="E71" s="73"/>
      <c r="F71" s="73"/>
      <c r="G71" s="73"/>
      <c r="H71" s="73"/>
      <c r="I71" s="73"/>
    </row>
    <row r="72" spans="1:9" ht="20.100000000000001" customHeight="1" x14ac:dyDescent="0.25">
      <c r="A72"/>
      <c r="D72" s="73"/>
      <c r="E72" s="73"/>
      <c r="F72" s="73"/>
      <c r="G72" s="73"/>
      <c r="H72" s="73"/>
      <c r="I72" s="73"/>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4"/>
    </row>
    <row r="79" spans="1:9" ht="20.100000000000001" customHeight="1" x14ac:dyDescent="0.25">
      <c r="A79"/>
      <c r="D79" s="74"/>
    </row>
    <row r="80" spans="1:9" ht="20.100000000000001" customHeight="1" x14ac:dyDescent="0.25">
      <c r="A80"/>
      <c r="D80" s="74"/>
    </row>
    <row r="81" spans="1:4" ht="20.100000000000001" customHeight="1" x14ac:dyDescent="0.25">
      <c r="A81"/>
      <c r="D81" s="74"/>
    </row>
    <row r="82" spans="1:4" ht="20.100000000000001" customHeight="1" x14ac:dyDescent="0.25">
      <c r="A82"/>
      <c r="D82" s="74"/>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DB085-C634-4893-9997-0896540E89B3}">
  <sheetPr>
    <tabColor theme="5" tint="-0.249977111117893"/>
  </sheetPr>
  <dimension ref="A1:X178"/>
  <sheetViews>
    <sheetView showGridLines="0" zoomScaleNormal="100" workbookViewId="0">
      <pane xSplit="1" topLeftCell="B1" activePane="topRight" state="frozenSplit"/>
      <selection pane="topRight" activeCell="A5" sqref="A5"/>
    </sheetView>
  </sheetViews>
  <sheetFormatPr defaultRowHeight="15.75" x14ac:dyDescent="0.25"/>
  <cols>
    <col min="1" max="1" width="36.7109375" customWidth="1"/>
    <col min="2" max="2" width="4.7109375" customWidth="1"/>
    <col min="3" max="3" width="4.7109375" style="1" customWidth="1"/>
    <col min="4" max="4" width="77.7109375" style="1" customWidth="1"/>
    <col min="5" max="9" width="30.7109375" style="1" customWidth="1"/>
    <col min="10" max="11" width="16.42578125" style="1" customWidth="1"/>
    <col min="12" max="14" width="30.7109375" style="1" customWidth="1"/>
    <col min="15" max="15" width="4.7109375" style="1" customWidth="1"/>
    <col min="16" max="17" width="4.7109375" style="97" customWidth="1"/>
    <col min="18" max="23" width="30.7109375" style="97" customWidth="1"/>
    <col min="24" max="24" width="4.7109375" style="97" customWidth="1"/>
  </cols>
  <sheetData>
    <row r="1" spans="1:24" s="10" customFormat="1" ht="30" customHeight="1" x14ac:dyDescent="0.35">
      <c r="A1" s="10" t="e" vm="1">
        <v>#VALUE!</v>
      </c>
      <c r="C1" s="10" t="s">
        <v>330</v>
      </c>
      <c r="P1" s="97"/>
      <c r="Q1" s="97"/>
      <c r="R1" s="97"/>
      <c r="S1" s="97"/>
      <c r="T1" s="97"/>
      <c r="U1" s="97"/>
      <c r="V1" s="97"/>
      <c r="W1" s="97"/>
      <c r="X1" s="97"/>
    </row>
    <row r="2" spans="1:24" s="3" customFormat="1" ht="20.100000000000001" customHeight="1" x14ac:dyDescent="0.25">
      <c r="A2"/>
      <c r="P2" s="97"/>
      <c r="Q2" s="97"/>
      <c r="R2" s="97"/>
      <c r="S2" s="97"/>
      <c r="T2" s="97"/>
      <c r="U2" s="97"/>
      <c r="V2" s="97"/>
      <c r="W2" s="97"/>
      <c r="X2" s="97"/>
    </row>
    <row r="3" spans="1:24" ht="20.100000000000001" customHeight="1" x14ac:dyDescent="0.25">
      <c r="A3" s="5" t="str">
        <f>HYPERLINK("#'Home'!A1", "Home")</f>
        <v>Home</v>
      </c>
      <c r="C3" s="28"/>
      <c r="D3" s="28"/>
      <c r="E3" s="28"/>
      <c r="F3" s="28"/>
      <c r="G3" s="28"/>
      <c r="H3" s="28"/>
      <c r="I3" s="28"/>
      <c r="J3" s="28"/>
      <c r="K3" s="28"/>
      <c r="L3" s="28"/>
      <c r="M3" s="28"/>
      <c r="N3" s="28"/>
      <c r="O3" s="28"/>
    </row>
    <row r="4" spans="1:24" ht="20.100000000000001" customHeight="1" x14ac:dyDescent="0.25">
      <c r="A4" s="5" t="str">
        <f>HYPERLINK("#'Results - Activity period'!A1", "Results - Activity period")</f>
        <v>Results - Activity period</v>
      </c>
    </row>
    <row r="5" spans="1:24" ht="20.100000000000001" customHeight="1" x14ac:dyDescent="0.25">
      <c r="A5" s="5" t="str">
        <f>HYPERLINK("#'Results - Product EI'!A1", "Results - Product Emissions Intensity")</f>
        <v>Results - Product Emissions Intensity</v>
      </c>
      <c r="D5" s="2" t="s">
        <v>331</v>
      </c>
      <c r="O5" s="24"/>
      <c r="S5" s="21"/>
    </row>
    <row r="6" spans="1:24" ht="20.100000000000001" customHeight="1" x14ac:dyDescent="0.25">
      <c r="A6" s="5" t="str">
        <f>HYPERLINK("#'Results'!A1", "Results")</f>
        <v>Results</v>
      </c>
      <c r="O6" s="24"/>
      <c r="S6" s="21"/>
    </row>
    <row r="7" spans="1:24" ht="20.100000000000001" customHeight="1" x14ac:dyDescent="0.25">
      <c r="D7" s="1" t="s">
        <v>332</v>
      </c>
      <c r="E7" s="13" t="s">
        <v>333</v>
      </c>
      <c r="F7" s="16" t="s">
        <v>100</v>
      </c>
      <c r="O7" s="24"/>
      <c r="S7" s="21"/>
    </row>
    <row r="8" spans="1:24" ht="20.100000000000001" customHeight="1" x14ac:dyDescent="0.25">
      <c r="O8" s="24"/>
      <c r="S8" s="21"/>
    </row>
    <row r="9" spans="1:24" ht="20.100000000000001" customHeight="1" x14ac:dyDescent="0.25">
      <c r="A9" s="7" t="s">
        <v>0</v>
      </c>
      <c r="D9" s="98"/>
      <c r="E9" s="81" t="s">
        <v>334</v>
      </c>
      <c r="F9" s="81" t="s">
        <v>335</v>
      </c>
      <c r="G9" s="81" t="s">
        <v>336</v>
      </c>
      <c r="H9" s="81" t="s">
        <v>337</v>
      </c>
      <c r="I9" s="81" t="s">
        <v>338</v>
      </c>
      <c r="S9" s="21"/>
    </row>
    <row r="10" spans="1:24" ht="20.100000000000001" customHeight="1" x14ac:dyDescent="0.25">
      <c r="A10" s="5" t="str">
        <f>HYPERLINK("#'Input - Enterprise'!A1", "Enterprise")</f>
        <v>Enterprise</v>
      </c>
      <c r="D10" s="1" t="str">
        <f>"Average number of head between " &amp; TEXT(X_Cell_Site_StartDate, "dd mmm yy") &amp; " and " &amp; TEXT(X_Cell_Site_EndDate, "dd mmm yy")</f>
        <v>Average number of head between 01 Jan 24 and 31 Dec 24</v>
      </c>
      <c r="E10" s="100">
        <v>100</v>
      </c>
      <c r="F10" s="100">
        <v>100</v>
      </c>
      <c r="G10" s="100">
        <v>100</v>
      </c>
      <c r="H10" s="100">
        <v>100</v>
      </c>
      <c r="I10" s="100">
        <v>100</v>
      </c>
      <c r="J10" s="16" t="s">
        <v>339</v>
      </c>
      <c r="K10" s="16"/>
      <c r="L10" s="16"/>
      <c r="M10" s="16"/>
      <c r="N10" s="16"/>
      <c r="S10" s="21"/>
    </row>
    <row r="11" spans="1:24" ht="20.100000000000001" customHeight="1" x14ac:dyDescent="0.25">
      <c r="A11" s="5" t="str">
        <f>HYPERLINK("#'Input - Site'!A1", "Site")</f>
        <v>Site</v>
      </c>
      <c r="S11" s="21"/>
    </row>
    <row r="12" spans="1:24" ht="20.100000000000001" customHeight="1" x14ac:dyDescent="0.25">
      <c r="A12" s="99" t="str">
        <f>HYPERLINK("#'Input - Dairy'!A1", "Dairy")</f>
        <v>Dairy</v>
      </c>
      <c r="D12" s="78" t="s">
        <v>340</v>
      </c>
      <c r="S12" s="21"/>
    </row>
    <row r="13" spans="1:24" ht="20.100000000000001" customHeight="1" x14ac:dyDescent="0.25">
      <c r="A13" s="5" t="str">
        <f>HYPERLINK("#'Input - Livestock sales'!A1", "Livestock sales")</f>
        <v>Livestock sales</v>
      </c>
      <c r="D13" s="98" t="s">
        <v>341</v>
      </c>
      <c r="E13" s="81" t="s">
        <v>334</v>
      </c>
      <c r="F13" s="81" t="s">
        <v>335</v>
      </c>
      <c r="G13" s="81" t="s">
        <v>336</v>
      </c>
      <c r="H13" s="81" t="s">
        <v>337</v>
      </c>
      <c r="I13" s="81" t="s">
        <v>338</v>
      </c>
      <c r="S13" s="41"/>
    </row>
    <row r="14" spans="1:24" ht="20.100000000000001" customHeight="1" x14ac:dyDescent="0.25">
      <c r="A14" s="5" t="str">
        <f>HYPERLINK("#'Input - Dairy cattle purchases'!A1", "Dairy cattle purchases")</f>
        <v>Dairy cattle purchases</v>
      </c>
      <c r="D14" s="1" t="s">
        <v>342</v>
      </c>
      <c r="E14" s="15">
        <f>Common_InputFunctions.Utility_LookupValueInTableNumber(X_Cell_Dairy_Breed, Table_SourceData_Dairy_WjCowsHeifers[Breed],Table_SourceData_Dairy_WjCowsHeifers[Milking cows])</f>
        <v>550</v>
      </c>
      <c r="F14" s="15">
        <f>Common_InputFunctions.Utility_LookupValueInTableNumber(X_Cell_Dairy_Breed, Table_SourceData_Dairy_WjCowsHeifers[Breed],Table_SourceData_Dairy_WjCowsHeifers[Heifers &gt; 1])</f>
        <v>380</v>
      </c>
      <c r="G14" s="15">
        <f>Common_InputFunctions.Utility_LookupValueInTableNumber(X_Cell_Dairy_Breed, Table_SourceData_Dairy_WjCowsHeifers[Breed],Table_SourceData_Dairy_WjCowsHeifers[Heifers &lt; 1 (weaned)])</f>
        <v>155</v>
      </c>
      <c r="H14" s="15" cm="1">
        <f t="array" ref="H14">Table_SourceData_Dairy_WjBulls[Bulls &gt; 1]</f>
        <v>600</v>
      </c>
      <c r="I14" s="15" cm="1">
        <f t="array" ref="I14">Table_SourceData_Dairy_WjBulls[Bulls &lt; 1 (weaned)]</f>
        <v>225</v>
      </c>
      <c r="J14" s="16" t="s">
        <v>343</v>
      </c>
      <c r="K14" s="16"/>
      <c r="L14" s="16"/>
      <c r="M14" s="16"/>
      <c r="N14" s="16"/>
      <c r="S14" s="41"/>
    </row>
    <row r="15" spans="1:24" ht="20.100000000000001" customHeight="1" x14ac:dyDescent="0.25">
      <c r="A15" s="5" t="str">
        <f>HYPERLINK("#'Input - Pasture'!A1", "Pasture")</f>
        <v>Pasture</v>
      </c>
      <c r="D15" s="1" t="s">
        <v>344</v>
      </c>
      <c r="E15" s="15" cm="1">
        <f t="array" ref="E15">Table_SourceData_Dairy_LWGj[Milking cows]</f>
        <v>1.6E-2</v>
      </c>
      <c r="F15" s="15" cm="1">
        <f t="array" ref="F15">Table_SourceData_Dairy_LWGj[Heifers &gt; 1]</f>
        <v>0.6</v>
      </c>
      <c r="G15" s="15" cm="1">
        <f t="array" ref="G15">Table_SourceData_Dairy_LWGj[Heifers &lt; 1 (weaned)]</f>
        <v>0.56999999999999995</v>
      </c>
      <c r="H15" s="15" cm="1">
        <f t="array" ref="H15">Table_SourceData_Dairy_LWGj[Bulls &gt; 1]</f>
        <v>0.1</v>
      </c>
      <c r="I15" s="15" cm="1">
        <f t="array" ref="I15">Table_SourceData_Dairy_LWGj[Bulls &lt; 1 (weaned)]</f>
        <v>0.8</v>
      </c>
      <c r="J15" s="16" t="s">
        <v>345</v>
      </c>
      <c r="K15" s="16"/>
      <c r="L15" s="16"/>
      <c r="M15" s="16"/>
      <c r="N15" s="16"/>
      <c r="S15" s="41"/>
    </row>
    <row r="16" spans="1:24" ht="20.100000000000001" customHeight="1" x14ac:dyDescent="0.25">
      <c r="A16" s="5" t="str">
        <f>HYPERLINK("#'Input - Fert Prod System'!A1", "Fert Prod System")</f>
        <v>Fert Prod System</v>
      </c>
      <c r="S16" s="41"/>
    </row>
    <row r="17" spans="1:19" ht="20.100000000000001" customHeight="1" x14ac:dyDescent="0.25">
      <c r="A17" s="5" t="str">
        <f>HYPERLINK("#'Input - Fertiliser'!A1", "Fertiliser")</f>
        <v>Fertiliser</v>
      </c>
      <c r="D17" s="98" t="s">
        <v>346</v>
      </c>
      <c r="E17" s="81" t="s">
        <v>334</v>
      </c>
      <c r="F17" s="81" t="s">
        <v>335</v>
      </c>
      <c r="G17" s="81" t="s">
        <v>336</v>
      </c>
      <c r="H17" s="81" t="s">
        <v>337</v>
      </c>
      <c r="I17" s="81" t="s">
        <v>338</v>
      </c>
      <c r="S17" s="21"/>
    </row>
    <row r="18" spans="1:19" ht="20.100000000000001" customHeight="1" x14ac:dyDescent="0.25">
      <c r="A18" s="5" t="str">
        <f>HYPERLINK("#'Input - Fuel'!A1", "Fuel")</f>
        <v>Fuel</v>
      </c>
      <c r="D18" s="1" t="s">
        <v>342</v>
      </c>
      <c r="E18" s="75">
        <f>Common_InputFunctions.Utility_LookupValueInTableNumber(X_Cell_Dairy_Breed, Table_SourceData_Dairy_WjCowsHeifers[Breed],Table_SourceData_Dairy_WjCowsHeifers[Milking cows])</f>
        <v>550</v>
      </c>
      <c r="F18" s="75">
        <f>Common_InputFunctions.Utility_LookupValueInTableNumber(X_Cell_Dairy_Breed, Table_SourceData_Dairy_WjCowsHeifers[Breed],Table_SourceData_Dairy_WjCowsHeifers[Heifers &gt; 1])</f>
        <v>380</v>
      </c>
      <c r="G18" s="75">
        <f>Common_InputFunctions.Utility_LookupValueInTableNumber(X_Cell_Dairy_Breed, Table_SourceData_Dairy_WjCowsHeifers[Breed],Table_SourceData_Dairy_WjCowsHeifers[Heifers &lt; 1 (weaned)])</f>
        <v>155</v>
      </c>
      <c r="H18" s="75" cm="1">
        <f t="array" ref="H18">Table_SourceData_Dairy_WjBulls[Bulls &gt; 1]</f>
        <v>600</v>
      </c>
      <c r="I18" s="75" cm="1">
        <f t="array" ref="I18">Table_SourceData_Dairy_WjBulls[Bulls &lt; 1 (weaned)]</f>
        <v>225</v>
      </c>
      <c r="J18" s="16" t="s">
        <v>343</v>
      </c>
      <c r="K18" s="16"/>
      <c r="L18" s="16"/>
      <c r="M18" s="16"/>
      <c r="N18" s="16"/>
      <c r="S18" s="21"/>
    </row>
    <row r="19" spans="1:19" ht="20.100000000000001" customHeight="1" x14ac:dyDescent="0.25">
      <c r="A19" s="5" t="str">
        <f>HYPERLINK("#'Input - Electricity'!A1", "Electricity")</f>
        <v>Electricity</v>
      </c>
      <c r="D19" s="1" t="s">
        <v>344</v>
      </c>
      <c r="E19" s="75" cm="1">
        <f t="array" ref="E19">Table_SourceData_Dairy_LWGj[Milking cows]</f>
        <v>1.6E-2</v>
      </c>
      <c r="F19" s="75" cm="1">
        <f t="array" ref="F19">Table_SourceData_Dairy_LWGj[Heifers &gt; 1]</f>
        <v>0.6</v>
      </c>
      <c r="G19" s="75" cm="1">
        <f t="array" ref="G19">Table_SourceData_Dairy_LWGj[Heifers &lt; 1 (weaned)]</f>
        <v>0.56999999999999995</v>
      </c>
      <c r="H19" s="75" cm="1">
        <f t="array" ref="H19">Table_SourceData_Dairy_LWGj[Bulls &gt; 1]</f>
        <v>0.1</v>
      </c>
      <c r="I19" s="75" cm="1">
        <f t="array" ref="I19">Table_SourceData_Dairy_LWGj[Bulls &lt; 1 (weaned)]</f>
        <v>0.8</v>
      </c>
      <c r="J19" s="16" t="s">
        <v>345</v>
      </c>
      <c r="K19" s="16"/>
      <c r="L19" s="16"/>
      <c r="M19" s="16"/>
      <c r="N19" s="16"/>
      <c r="S19" s="21"/>
    </row>
    <row r="20" spans="1:19" ht="20.100000000000001" customHeight="1" x14ac:dyDescent="0.25">
      <c r="A20" s="5" t="str">
        <f>HYPERLINK("#'Input - Common farm inputs'!A1", "Common farm inputs")</f>
        <v>Common farm inputs</v>
      </c>
      <c r="S20" s="21"/>
    </row>
    <row r="21" spans="1:19" ht="20.100000000000001" customHeight="1" x14ac:dyDescent="0.25">
      <c r="A21" s="5" t="str">
        <f>HYPERLINK("#'Input - Crop pasture farm input'!A1", "Crop pasture farm input")</f>
        <v>Crop pasture farm input</v>
      </c>
      <c r="D21" s="78" t="s">
        <v>347</v>
      </c>
      <c r="S21" s="21"/>
    </row>
    <row r="22" spans="1:19" ht="20.100000000000001" customHeight="1" x14ac:dyDescent="0.25">
      <c r="A22" s="5" t="str">
        <f>HYPERLINK("#'Input - Livestock farm Inputs'!A1", "Livestock farm Inputs")</f>
        <v>Livestock farm Inputs</v>
      </c>
      <c r="S22" s="21"/>
    </row>
    <row r="23" spans="1:19" ht="20.100000000000001" customHeight="1" x14ac:dyDescent="0.25">
      <c r="A23" s="5" t="str">
        <f>HYPERLINK("#'Input - Freight'!A1", "Freight")</f>
        <v>Freight</v>
      </c>
      <c r="D23" s="98" t="s">
        <v>341</v>
      </c>
      <c r="E23" s="81" t="s">
        <v>334</v>
      </c>
      <c r="F23" s="81" t="s">
        <v>335</v>
      </c>
      <c r="G23" s="81" t="s">
        <v>336</v>
      </c>
      <c r="H23" s="81" t="s">
        <v>337</v>
      </c>
      <c r="I23" s="81" t="s">
        <v>338</v>
      </c>
      <c r="S23" s="21"/>
    </row>
    <row r="24" spans="1:19" ht="20.100000000000001" customHeight="1" x14ac:dyDescent="0.25">
      <c r="A24" s="5" t="str">
        <f>HYPERLINK("#'Input - Solid waste'!A1", "Solid waste")</f>
        <v>Solid waste</v>
      </c>
      <c r="D24" s="1" t="str">
        <f>"Average duration of stay between " &amp; TEXT(X_Cell_Site_StartDate, "dd mmm yy") &amp; " and " &amp; TEXT(X_Cell_Site_EndDate, "dd mmm yy") &amp; " weaned livestock"</f>
        <v>Average duration of stay between 01 Jan 24 and 31 Dec 24 weaned livestock</v>
      </c>
      <c r="E24" s="15" cm="1">
        <f t="array" ref="E24">Common_InputFunctions.Utility_LookupValueInTableNumber(E23,Table_SourceData_Dairy_Duration[Animal class j],Table_SourceData_Dairy_Duration[Duration (weaned)])</f>
        <v>365</v>
      </c>
      <c r="F24" s="15" cm="1">
        <f t="array" ref="F24">Common_InputFunctions.Utility_LookupValueInTableNumber(F23,Table_SourceData_Dairy_Duration[Animal class j],Table_SourceData_Dairy_Duration[Duration (weaned)])</f>
        <v>365</v>
      </c>
      <c r="G24" s="15" cm="1">
        <f t="array" ref="G24">Common_InputFunctions.Utility_LookupValueInTableNumber(G23,Table_SourceData_Dairy_Duration[Animal class j],Table_SourceData_Dairy_Duration[Duration (weaned)])</f>
        <v>281</v>
      </c>
      <c r="H24" s="15" cm="1">
        <f t="array" ref="H24">Common_InputFunctions.Utility_LookupValueInTableNumber(H23,Table_SourceData_Dairy_Duration[Animal class j],Table_SourceData_Dairy_Duration[Duration (weaned)])</f>
        <v>365</v>
      </c>
      <c r="I24" s="15" cm="1">
        <f t="array" ref="I24">Common_InputFunctions.Utility_LookupValueInTableNumber(I23,Table_SourceData_Dairy_Duration[Animal class j],Table_SourceData_Dairy_Duration[Duration (weaned)])</f>
        <v>281</v>
      </c>
      <c r="J24" s="16" t="s">
        <v>112</v>
      </c>
      <c r="K24" s="16"/>
      <c r="L24" s="16"/>
      <c r="M24" s="16"/>
      <c r="N24" s="16"/>
      <c r="S24" s="21"/>
    </row>
    <row r="25" spans="1:19" ht="20.100000000000001" customHeight="1" x14ac:dyDescent="0.25">
      <c r="A25" s="5" t="str">
        <f>HYPERLINK("#'Input - Manure sent off-site'!A1", "Manure sent off-site")</f>
        <v>Manure sent off-site</v>
      </c>
      <c r="D25" s="1" t="str">
        <f>"Average duration of stay between " &amp; TEXT(X_Cell_Site_StartDate, "dd mmm yy") &amp; " and " &amp; TEXT(X_Cell_Site_EndDate, "dd mmm yy") &amp; " pre-weaned livestock"</f>
        <v>Average duration of stay between 01 Jan 24 and 31 Dec 24 pre-weaned livestock</v>
      </c>
      <c r="E25" s="15" cm="1">
        <f t="array" ref="E25">Common_InputFunctions.Utility_LookupValueInTableNumber(E23,Table_SourceData_Dairy_Duration[Animal class j],Table_SourceData_Dairy_Duration[Duration (pre-weaned)])</f>
        <v>0</v>
      </c>
      <c r="F25" s="15" cm="1">
        <f t="array" ref="F25">Common_InputFunctions.Utility_LookupValueInTableNumber(F23,Table_SourceData_Dairy_Duration[Animal class j],Table_SourceData_Dairy_Duration[Duration (pre-weaned)])</f>
        <v>0</v>
      </c>
      <c r="G25" s="15" cm="1">
        <f t="array" ref="G25">Common_InputFunctions.Utility_LookupValueInTableNumber(G23,Table_SourceData_Dairy_Duration[Animal class j],Table_SourceData_Dairy_Duration[Duration (pre-weaned)])</f>
        <v>84</v>
      </c>
      <c r="H25" s="15" cm="1">
        <f t="array" ref="H25">Common_InputFunctions.Utility_LookupValueInTableNumber(H23,Table_SourceData_Dairy_Duration[Animal class j],Table_SourceData_Dairy_Duration[Duration (pre-weaned)])</f>
        <v>0</v>
      </c>
      <c r="I25" s="15" cm="1">
        <f t="array" ref="I25">Common_InputFunctions.Utility_LookupValueInTableNumber(I23,Table_SourceData_Dairy_Duration[Animal class j],Table_SourceData_Dairy_Duration[Duration (pre-weaned)])</f>
        <v>84</v>
      </c>
      <c r="J25" s="16" t="s">
        <v>112</v>
      </c>
      <c r="K25" s="16"/>
      <c r="L25" s="16"/>
      <c r="M25" s="16"/>
      <c r="N25" s="16"/>
      <c r="S25" s="21"/>
    </row>
    <row r="26" spans="1:19" ht="20.100000000000001" customHeight="1" x14ac:dyDescent="0.25">
      <c r="A26" s="5" t="str">
        <f>HYPERLINK("#'Input - Refrigerants'!A1", "Refrigerants")</f>
        <v>Refrigerants</v>
      </c>
      <c r="S26" s="21"/>
    </row>
    <row r="27" spans="1:19" ht="20.100000000000001" customHeight="1" x14ac:dyDescent="0.25">
      <c r="A27" s="5" t="str">
        <f>HYPERLINK("#'Input - Data quality'!A1", "Data quality")</f>
        <v>Data quality</v>
      </c>
      <c r="D27" s="98" t="s">
        <v>346</v>
      </c>
      <c r="E27" s="81" t="s">
        <v>334</v>
      </c>
      <c r="F27" s="81" t="s">
        <v>335</v>
      </c>
      <c r="G27" s="81" t="s">
        <v>336</v>
      </c>
      <c r="H27" s="81" t="s">
        <v>337</v>
      </c>
      <c r="I27" s="81" t="s">
        <v>338</v>
      </c>
      <c r="S27" s="21"/>
    </row>
    <row r="28" spans="1:19" ht="20.100000000000001" customHeight="1" x14ac:dyDescent="0.25">
      <c r="D28" s="1" t="str">
        <f>"Average duration of stay between " &amp; TEXT(X_Cell_Site_StartDate, "dd mmm yy") &amp; " and " &amp; TEXT(X_Cell_Site_EndDate, "dd mmm yy") &amp; " weaned livestock"</f>
        <v>Average duration of stay between 01 Jan 24 and 31 Dec 24 weaned livestock</v>
      </c>
      <c r="E28" s="75" cm="1">
        <f t="array" ref="E28">Common_InputFunctions.Utility_LookupValueInTableNumber(E27,Table_SourceData_Dairy_Duration[Animal class j],Table_SourceData_Dairy_Duration[Duration (weaned)])</f>
        <v>365</v>
      </c>
      <c r="F28" s="75" cm="1">
        <f t="array" ref="F28">Common_InputFunctions.Utility_LookupValueInTableNumber(F27,Table_SourceData_Dairy_Duration[Animal class j],Table_SourceData_Dairy_Duration[Duration (weaned)])</f>
        <v>365</v>
      </c>
      <c r="G28" s="75" cm="1">
        <f t="array" ref="G28">Common_InputFunctions.Utility_LookupValueInTableNumber(G27,Table_SourceData_Dairy_Duration[Animal class j],Table_SourceData_Dairy_Duration[Duration (weaned)])</f>
        <v>281</v>
      </c>
      <c r="H28" s="75" cm="1">
        <f t="array" ref="H28">Common_InputFunctions.Utility_LookupValueInTableNumber(H27,Table_SourceData_Dairy_Duration[Animal class j],Table_SourceData_Dairy_Duration[Duration (weaned)])</f>
        <v>365</v>
      </c>
      <c r="I28" s="75" cm="1">
        <f t="array" ref="I28">Common_InputFunctions.Utility_LookupValueInTableNumber(I27,Table_SourceData_Dairy_Duration[Animal class j],Table_SourceData_Dairy_Duration[Duration (weaned)])</f>
        <v>281</v>
      </c>
      <c r="J28" s="16" t="s">
        <v>112</v>
      </c>
      <c r="K28" s="16"/>
      <c r="L28" s="16"/>
      <c r="M28" s="16"/>
      <c r="N28" s="16"/>
      <c r="S28" s="21"/>
    </row>
    <row r="29" spans="1:19" ht="20.100000000000001" customHeight="1" x14ac:dyDescent="0.25">
      <c r="D29" s="1" t="str">
        <f>"Average duration of stay between " &amp; TEXT(X_Cell_Site_StartDate, "dd mmm yy") &amp; " and " &amp; TEXT(X_Cell_Site_EndDate, "dd mmm yy") &amp; " pre-weaned livestock"</f>
        <v>Average duration of stay between 01 Jan 24 and 31 Dec 24 pre-weaned livestock</v>
      </c>
      <c r="E29" s="15">
        <f>365-E28</f>
        <v>0</v>
      </c>
      <c r="F29" s="15">
        <f t="shared" ref="F29:I29" si="0">365-F28</f>
        <v>0</v>
      </c>
      <c r="G29" s="15">
        <f t="shared" si="0"/>
        <v>84</v>
      </c>
      <c r="H29" s="15">
        <f t="shared" si="0"/>
        <v>0</v>
      </c>
      <c r="I29" s="15">
        <f t="shared" si="0"/>
        <v>84</v>
      </c>
      <c r="J29" s="16" t="s">
        <v>112</v>
      </c>
      <c r="K29" s="16"/>
      <c r="L29" s="16"/>
      <c r="M29" s="16"/>
      <c r="N29" s="16"/>
      <c r="S29" s="21"/>
    </row>
    <row r="30" spans="1:19" ht="20.100000000000001" customHeight="1" x14ac:dyDescent="0.25">
      <c r="A30" s="6" t="s">
        <v>2</v>
      </c>
      <c r="S30" s="21"/>
    </row>
    <row r="31" spans="1:19" ht="20.100000000000001" customHeight="1" x14ac:dyDescent="0.25">
      <c r="A31" s="5" t="str">
        <f>HYPERLINK("#'3.3.1.1-2 Enteric Methane'!A1", "3.3.1.1-2 Enteric methane")</f>
        <v>3.3.1.1-2 Enteric methane</v>
      </c>
      <c r="S31" s="21"/>
    </row>
    <row r="32" spans="1:19" ht="20.100000000000001" customHeight="1" x14ac:dyDescent="0.25">
      <c r="A32" s="5" t="str">
        <f>HYPERLINK("#'4.3.1.1-2 Methane'!A1", "4.3.1.1-2 Manure methane")</f>
        <v>4.3.1.1-2 Manure methane</v>
      </c>
      <c r="C32" s="88"/>
      <c r="D32" s="88"/>
      <c r="E32" s="88"/>
      <c r="F32" s="88"/>
      <c r="G32" s="88"/>
      <c r="H32" s="88"/>
      <c r="I32" s="88"/>
      <c r="J32" s="88"/>
      <c r="K32" s="88"/>
      <c r="L32" s="88"/>
      <c r="M32" s="88"/>
      <c r="N32" s="88"/>
      <c r="O32" s="88"/>
      <c r="S32" s="21"/>
    </row>
    <row r="33" spans="1:19" ht="20.100000000000001" customHeight="1" x14ac:dyDescent="0.25">
      <c r="A33" s="5" t="str">
        <f>HYPERLINK("#'4.3.1.3-4 Direct N20'!A1", "4.3.1.3-4 Direct N20")</f>
        <v>4.3.1.3-4 Direct N20</v>
      </c>
      <c r="D33" s="2" t="s">
        <v>348</v>
      </c>
      <c r="S33" s="21"/>
    </row>
    <row r="34" spans="1:19" ht="20.100000000000001" customHeight="1" x14ac:dyDescent="0.25">
      <c r="A34" s="5" t="str">
        <f>HYPERLINK("#'4.3.1.5 Atmos deposition'!A1", "4.3.1.5 Atmos deposition")</f>
        <v>4.3.1.5 Atmos deposition</v>
      </c>
      <c r="D34" s="78"/>
      <c r="S34" s="21"/>
    </row>
    <row r="35" spans="1:19" ht="20.100000000000001" customHeight="1" x14ac:dyDescent="0.25">
      <c r="A35" s="5" t="str">
        <f>HYPERLINK("#'4.3.1.6-7 Leaching and runoff'!A1", "4.3.1.6-7 Leaching &amp; runoff")</f>
        <v>4.3.1.6-7 Leaching &amp; runoff</v>
      </c>
      <c r="D35" s="98" t="s">
        <v>341</v>
      </c>
      <c r="E35" s="81" t="s">
        <v>334</v>
      </c>
      <c r="F35" s="81" t="s">
        <v>335</v>
      </c>
      <c r="G35" s="81" t="s">
        <v>336</v>
      </c>
      <c r="H35" s="81" t="s">
        <v>337</v>
      </c>
      <c r="I35" s="81" t="s">
        <v>338</v>
      </c>
      <c r="S35" s="21"/>
    </row>
    <row r="36" spans="1:19" ht="20.100000000000001" customHeight="1" x14ac:dyDescent="0.25">
      <c r="A36" s="5" t="str">
        <f>HYPERLINK("#'4.3.1.8 Manure applied to soils'!A1", "4.3.1.8 Manure applied to soils")</f>
        <v>4.3.1.8 Manure applied to soils</v>
      </c>
      <c r="D36" s="1" t="s">
        <v>349</v>
      </c>
      <c r="E36" s="15">
        <f>SourceData_Dairy_DryMatterDigestibility_Data</f>
        <v>0.75</v>
      </c>
      <c r="F36" s="15">
        <f>SourceData_Dairy_DryMatterDigestibility_Data</f>
        <v>0.75</v>
      </c>
      <c r="G36" s="15">
        <f>SourceData_Dairy_DryMatterDigestibility_Data</f>
        <v>0.75</v>
      </c>
      <c r="H36" s="15">
        <f>SourceData_Dairy_DryMatterDigestibility_Data</f>
        <v>0.75</v>
      </c>
      <c r="I36" s="15">
        <f>SourceData_Dairy_DryMatterDigestibility_Data</f>
        <v>0.75</v>
      </c>
      <c r="J36" s="16" t="s">
        <v>350</v>
      </c>
      <c r="K36" s="16"/>
      <c r="L36" s="16"/>
      <c r="M36" s="16"/>
      <c r="N36" s="16"/>
      <c r="S36" s="21"/>
    </row>
    <row r="37" spans="1:19" ht="20.100000000000001" customHeight="1" x14ac:dyDescent="0.25">
      <c r="A37" s="5" t="str">
        <f>HYPERLINK("#'4.3.1.9 Soil direct N2O'!A1", "4.3.1.9 Soil direct N2O")</f>
        <v>4.3.1.9 Soil direct N2O</v>
      </c>
      <c r="D37" s="1" t="s">
        <v>351</v>
      </c>
      <c r="E37" s="15">
        <f>SourceData_Dairy_CrudeProtein_Data</f>
        <v>0.2</v>
      </c>
      <c r="F37" s="15">
        <f>SourceData_Dairy_CrudeProtein_Data</f>
        <v>0.2</v>
      </c>
      <c r="G37" s="15">
        <f>SourceData_Dairy_CrudeProtein_Data</f>
        <v>0.2</v>
      </c>
      <c r="H37" s="15">
        <f>SourceData_Dairy_CrudeProtein_Data</f>
        <v>0.2</v>
      </c>
      <c r="I37" s="15">
        <f>SourceData_Dairy_CrudeProtein_Data</f>
        <v>0.2</v>
      </c>
      <c r="J37" s="16" t="s">
        <v>350</v>
      </c>
      <c r="L37" s="16"/>
      <c r="M37" s="16"/>
      <c r="N37" s="16"/>
      <c r="S37" s="21"/>
    </row>
    <row r="38" spans="1:19" ht="20.100000000000001" customHeight="1" x14ac:dyDescent="0.25">
      <c r="A38" s="5" t="str">
        <f>HYPERLINK("#'4.3.1.10-11 Soil Atmos Dep'!A1", "4.3.1.10-11 Soil Atmos Deposition")</f>
        <v>4.3.1.10-11 Soil Atmos Deposition</v>
      </c>
      <c r="M38" s="16"/>
      <c r="N38" s="16"/>
      <c r="S38" s="21"/>
    </row>
    <row r="39" spans="1:19" ht="20.100000000000001" customHeight="1" x14ac:dyDescent="0.25">
      <c r="A39" s="5" t="str">
        <f>HYPERLINK("#'4.3.1.12-13 Soil leach runoff'!A1", "4.3.1.12-13 Soil leach &amp; runoff")</f>
        <v>4.3.1.12-13 Soil leach &amp; runoff</v>
      </c>
      <c r="D39" s="98" t="s">
        <v>346</v>
      </c>
      <c r="E39" s="81" t="s">
        <v>334</v>
      </c>
      <c r="F39" s="81" t="s">
        <v>335</v>
      </c>
      <c r="G39" s="81" t="s">
        <v>336</v>
      </c>
      <c r="H39" s="81" t="s">
        <v>337</v>
      </c>
      <c r="I39" s="81" t="s">
        <v>338</v>
      </c>
      <c r="S39" s="21"/>
    </row>
    <row r="40" spans="1:19" ht="20.100000000000001" customHeight="1" x14ac:dyDescent="0.25">
      <c r="A40" s="5" t="str">
        <f>HYPERLINK("#'5.1.1.1-2 Inorganic fert N2O'!A1", "5.1.1.1-2 Inorganic fert N2O")</f>
        <v>5.1.1.1-2 Inorganic fert N2O</v>
      </c>
      <c r="D40" s="1" t="s">
        <v>349</v>
      </c>
      <c r="E40" s="75">
        <f>SourceData_Dairy_DryMatterDigestibility_Data</f>
        <v>0.75</v>
      </c>
      <c r="F40" s="75">
        <f>SourceData_Dairy_DryMatterDigestibility_Data</f>
        <v>0.75</v>
      </c>
      <c r="G40" s="75">
        <f>SourceData_Dairy_DryMatterDigestibility_Data</f>
        <v>0.75</v>
      </c>
      <c r="H40" s="75">
        <f>SourceData_Dairy_DryMatterDigestibility_Data</f>
        <v>0.75</v>
      </c>
      <c r="I40" s="75">
        <f>SourceData_Dairy_DryMatterDigestibility_Data</f>
        <v>0.75</v>
      </c>
      <c r="J40" s="16" t="s">
        <v>350</v>
      </c>
      <c r="K40" s="16"/>
      <c r="S40" s="21"/>
    </row>
    <row r="41" spans="1:19" ht="20.100000000000001" customHeight="1" x14ac:dyDescent="0.25">
      <c r="A41" s="5" t="str">
        <f>HYPERLINK("#'5.1.1.3-4 Inorganic fert CO2'!A1", "5.1.1.3-4 Inorganic fert CO2")</f>
        <v>5.1.1.3-4 Inorganic fert CO2</v>
      </c>
      <c r="D41" s="1" t="s">
        <v>351</v>
      </c>
      <c r="E41" s="75">
        <f>SourceData_Dairy_CrudeProtein_Data</f>
        <v>0.2</v>
      </c>
      <c r="F41" s="75">
        <f>SourceData_Dairy_CrudeProtein_Data</f>
        <v>0.2</v>
      </c>
      <c r="G41" s="75">
        <f>SourceData_Dairy_CrudeProtein_Data</f>
        <v>0.2</v>
      </c>
      <c r="H41" s="75">
        <f>SourceData_Dairy_CrudeProtein_Data</f>
        <v>0.2</v>
      </c>
      <c r="I41" s="75">
        <f>SourceData_Dairy_CrudeProtein_Data</f>
        <v>0.2</v>
      </c>
      <c r="J41" s="16" t="s">
        <v>350</v>
      </c>
      <c r="L41" s="16"/>
      <c r="S41" s="21"/>
    </row>
    <row r="42" spans="1:19" ht="20.100000000000001" customHeight="1" x14ac:dyDescent="0.25">
      <c r="A42" s="5" t="str">
        <f>HYPERLINK("#'5.2.1.1-2 Organic Fert N2O'!A1", "5.2.1.1-2 Organic fert N2O")</f>
        <v>5.2.1.1-2 Organic fert N2O</v>
      </c>
      <c r="L42" s="16"/>
      <c r="M42" s="16"/>
      <c r="N42" s="16"/>
      <c r="S42" s="21"/>
    </row>
    <row r="43" spans="1:19" ht="20.100000000000001" customHeight="1" x14ac:dyDescent="0.25">
      <c r="A43" s="5" t="str">
        <f>HYPERLINK("#'5.3.1.1-2 Lime CO2'!A1", "5.3.1.1-2 Lime CO2")</f>
        <v>5.3.1.1-2 Lime CO2</v>
      </c>
      <c r="S43" s="21"/>
    </row>
    <row r="44" spans="1:19" ht="20.100000000000001" customHeight="1" x14ac:dyDescent="0.25">
      <c r="A44" s="5" t="str">
        <f>HYPERLINK("#'5.4.1.1-4 Atmos deposition'!A1", "5.4.1.1-4 Atmos. deposition")</f>
        <v>5.4.1.1-4 Atmos. deposition</v>
      </c>
      <c r="C44" s="88"/>
      <c r="D44" s="88"/>
      <c r="E44" s="88"/>
      <c r="F44" s="88"/>
      <c r="G44" s="88"/>
      <c r="H44" s="88"/>
      <c r="I44" s="88"/>
      <c r="J44" s="88"/>
      <c r="K44" s="88"/>
      <c r="L44" s="88"/>
      <c r="M44" s="88"/>
      <c r="N44" s="88"/>
      <c r="O44" s="88"/>
      <c r="S44" s="21"/>
    </row>
    <row r="45" spans="1:19" ht="20.100000000000001" customHeight="1" x14ac:dyDescent="0.25">
      <c r="A45" s="5" t="str">
        <f>HYPERLINK("#'5.5.1.1-2 Leaching and runoff'!A1", "5.5.1.1-2 Leaching &amp; runoff")</f>
        <v>5.5.1.1-2 Leaching &amp; runoff</v>
      </c>
      <c r="D45" s="2" t="s">
        <v>352</v>
      </c>
      <c r="E45" s="24"/>
      <c r="F45" s="24"/>
      <c r="G45" s="24"/>
      <c r="H45" s="24"/>
      <c r="I45" s="24"/>
      <c r="J45" s="24"/>
      <c r="K45" s="24"/>
      <c r="L45" s="24"/>
      <c r="M45" s="24"/>
      <c r="N45" s="24"/>
      <c r="S45" s="21"/>
    </row>
    <row r="46" spans="1:19" ht="20.100000000000001" customHeight="1" x14ac:dyDescent="0.25">
      <c r="A46" s="5" t="str">
        <f>HYPERLINK("#'6.2.1.1-2 Pasture residue N2O'!A1", "6.2.1.1-2 Pasture residue N2O")</f>
        <v>6.2.1.1-2 Pasture residue N2O</v>
      </c>
      <c r="G46" s="2"/>
      <c r="H46" s="2"/>
      <c r="I46" s="2"/>
      <c r="J46" s="101"/>
      <c r="K46" s="101"/>
      <c r="L46" s="101"/>
      <c r="M46" s="101"/>
      <c r="N46" s="101"/>
      <c r="S46" s="21"/>
    </row>
    <row r="47" spans="1:19" ht="20.100000000000001" customHeight="1" x14ac:dyDescent="0.25">
      <c r="A47" s="5" t="str">
        <f>HYPERLINK("#'6.3.1.1-2 Leach runoff pasture'!A1", "6.3.1.1-2 Leach &amp; runoff (pasture)")</f>
        <v>6.3.1.1-2 Leach &amp; runoff (pasture)</v>
      </c>
      <c r="D47" s="1" t="s">
        <v>353</v>
      </c>
      <c r="E47" s="13" t="s">
        <v>354</v>
      </c>
      <c r="F47" s="16" t="s">
        <v>100</v>
      </c>
      <c r="S47" s="21"/>
    </row>
    <row r="48" spans="1:19" ht="20.100000000000001" customHeight="1" x14ac:dyDescent="0.25">
      <c r="A48" s="5" t="str">
        <f>HYPERLINK("#'8.1.1.1-2 Transport fuel'!A1", "8.1.1.1-2 Transport fuel")</f>
        <v>8.1.1.1-2 Transport fuel</v>
      </c>
      <c r="S48" s="21"/>
    </row>
    <row r="49" spans="1:19" ht="20.100000000000001" customHeight="1" x14ac:dyDescent="0.25">
      <c r="A49" s="5" t="str">
        <f>HYPERLINK("#'8.2.1.1-2 Stationary fuel'!A1", "8.2.1.1-2 Stationary fuel")</f>
        <v>8.2.1.1-2 Stationary fuel</v>
      </c>
      <c r="E49" s="81" t="s">
        <v>334</v>
      </c>
      <c r="S49" s="21"/>
    </row>
    <row r="50" spans="1:19" ht="20.100000000000001" customHeight="1" x14ac:dyDescent="0.25">
      <c r="A50" s="5" t="str">
        <f>HYPERLINK("#'9.1.1.1-2 Refrigerant use'!A1", "9.1.1.1-2 Refrigerant use")</f>
        <v>9.1.1.1-2 Refrigerant use</v>
      </c>
      <c r="D50" s="1" t="s">
        <v>355</v>
      </c>
      <c r="E50" s="75">
        <v>20</v>
      </c>
      <c r="F50" s="16" t="str">
        <f>IF(X_Cell_Dairy_MilkProductionUnit="Litres of milk", "litres/head/day", "kg milk solids/head/day")</f>
        <v>litres/head/day</v>
      </c>
      <c r="S50" s="21"/>
    </row>
    <row r="51" spans="1:19" ht="20.100000000000001" customHeight="1" x14ac:dyDescent="0.25">
      <c r="A51" s="5" t="str">
        <f>HYPERLINK("#'10.1.1-2 Solid waste treatment'!A1", "10.1.1.1-2 Solid waste")</f>
        <v>10.1.1.1-2 Solid waste</v>
      </c>
      <c r="E51" s="2"/>
      <c r="F51" s="2"/>
      <c r="S51" s="21"/>
    </row>
    <row r="52" spans="1:19" ht="20.100000000000001" customHeight="1" x14ac:dyDescent="0.25">
      <c r="A52" s="5" t="str">
        <f>HYPERLINK("#'14.1.1-2 Purchased electricity'!A1", "14.1.1-2 Purchased electricity")</f>
        <v>14.1.1-2 Purchased electricity</v>
      </c>
      <c r="D52" s="76" t="s">
        <v>356</v>
      </c>
      <c r="E52" s="81" t="s">
        <v>357</v>
      </c>
      <c r="F52" s="81" t="s">
        <v>358</v>
      </c>
      <c r="S52" s="21"/>
    </row>
    <row r="53" spans="1:19" ht="20.100000000000001" customHeight="1" x14ac:dyDescent="0.25">
      <c r="A53" s="5" t="str">
        <f>HYPERLINK("#'15 Scope 3'!A1", "15 Scope 3")</f>
        <v>15 Scope 3</v>
      </c>
      <c r="D53" s="1" t="s">
        <v>359</v>
      </c>
      <c r="E53" s="102">
        <f>SourceData_Dairy_FatContentInMilk_Data/100</f>
        <v>0.04</v>
      </c>
      <c r="F53" s="103">
        <f>SourceData_Dairy_FatContentInMilk_Data/100</f>
        <v>0.04</v>
      </c>
      <c r="G53" s="16" t="s">
        <v>147</v>
      </c>
      <c r="S53" s="21"/>
    </row>
    <row r="54" spans="1:19" ht="20.100000000000001" customHeight="1" x14ac:dyDescent="0.25">
      <c r="A54" s="5" t="str">
        <f>HYPERLINK("#'Calcs - Manure sent off-site'!A1", "Calcs - Manure sent off-site")</f>
        <v>Calcs - Manure sent off-site</v>
      </c>
      <c r="D54" s="1" t="s">
        <v>360</v>
      </c>
      <c r="E54" s="102">
        <f>SourceData_Dairy_ProteinContentInMilk_Data/100</f>
        <v>3.3000000000000002E-2</v>
      </c>
      <c r="F54" s="103">
        <f>SourceData_Dairy_ProteinContentInMilk_Data/100</f>
        <v>3.3000000000000002E-2</v>
      </c>
      <c r="G54" s="16" t="s">
        <v>147</v>
      </c>
      <c r="S54" s="21"/>
    </row>
    <row r="55" spans="1:19" ht="20.100000000000001" customHeight="1" x14ac:dyDescent="0.25">
      <c r="S55" s="21"/>
    </row>
    <row r="56" spans="1:19" ht="20.100000000000001" customHeight="1" x14ac:dyDescent="0.25">
      <c r="S56" s="21"/>
    </row>
    <row r="57" spans="1:19" ht="20.100000000000001" customHeight="1" x14ac:dyDescent="0.25">
      <c r="A57" s="82" t="s">
        <v>1</v>
      </c>
      <c r="C57" s="88"/>
      <c r="D57" s="88"/>
      <c r="E57" s="88"/>
      <c r="F57" s="88"/>
      <c r="G57" s="88"/>
      <c r="H57" s="88"/>
      <c r="I57" s="88"/>
      <c r="J57" s="88"/>
      <c r="K57" s="88"/>
      <c r="L57" s="88"/>
      <c r="M57" s="88"/>
      <c r="N57" s="88"/>
      <c r="O57" s="88"/>
      <c r="S57" s="21"/>
    </row>
    <row r="58" spans="1:19" ht="20.100000000000001" customHeight="1" x14ac:dyDescent="0.25">
      <c r="A58" s="5" t="str">
        <f>HYPERLINK("#'Constants - Dairy'!A1", "Constants - Dairy")</f>
        <v>Constants - Dairy</v>
      </c>
      <c r="D58" s="2" t="s">
        <v>361</v>
      </c>
      <c r="S58" s="21"/>
    </row>
    <row r="59" spans="1:19" ht="20.100000000000001" customHeight="1" x14ac:dyDescent="0.25">
      <c r="A59" s="5" t="str">
        <f>HYPERLINK("#'Constants - Ag Residue'!A1", "Constants - Ag residue")</f>
        <v>Constants - Ag residue</v>
      </c>
      <c r="D59" s="78" t="s">
        <v>362</v>
      </c>
      <c r="S59" s="21"/>
    </row>
    <row r="60" spans="1:19" ht="20.100000000000001" customHeight="1" x14ac:dyDescent="0.25">
      <c r="A60" s="5" t="str">
        <f>HYPERLINK("#'Constants - Common Livestock'!A1", "Constants - Common Livestock")</f>
        <v>Constants - Common Livestock</v>
      </c>
      <c r="D60" s="1" t="s">
        <v>363</v>
      </c>
      <c r="E60" s="13" t="s">
        <v>364</v>
      </c>
      <c r="F60" s="16" t="s">
        <v>100</v>
      </c>
      <c r="O60" s="24"/>
      <c r="S60" s="21"/>
    </row>
    <row r="61" spans="1:19" ht="20.100000000000001" customHeight="1" x14ac:dyDescent="0.25">
      <c r="A61" s="5" t="str">
        <f>HYPERLINK("#'Constants - Electricity'!A1", "Constants - Electricity")</f>
        <v>Constants - Electricity</v>
      </c>
      <c r="O61" s="24"/>
      <c r="S61" s="21"/>
    </row>
    <row r="62" spans="1:19" ht="20.100000000000001" customHeight="1" x14ac:dyDescent="0.25">
      <c r="A62" s="5" t="str">
        <f>HYPERLINK("#'Constants - Fertiliser'!A1", "Constants - Fertiliser")</f>
        <v>Constants - Fertiliser</v>
      </c>
      <c r="D62" s="98" t="s">
        <v>341</v>
      </c>
      <c r="E62" s="81" t="s">
        <v>334</v>
      </c>
      <c r="F62" s="81" t="s">
        <v>335</v>
      </c>
      <c r="G62" s="81" t="s">
        <v>336</v>
      </c>
      <c r="H62" s="81" t="s">
        <v>337</v>
      </c>
      <c r="I62" s="81" t="s">
        <v>338</v>
      </c>
      <c r="O62" s="24"/>
      <c r="S62" s="21"/>
    </row>
    <row r="63" spans="1:19" ht="20.100000000000001" customHeight="1" x14ac:dyDescent="0.25">
      <c r="A63" s="5" t="str">
        <f>HYPERLINK("#'Constants - Fuel'!A1", "Constants - Fuel")</f>
        <v>Constants - Fuel</v>
      </c>
      <c r="D63" s="1" t="s">
        <v>162</v>
      </c>
      <c r="E63" s="102">
        <f>Common_InputFunctions.Utility_LookupValueInTableNumber(X_Cell_Dairy_ProductionSystemTemplate, Table_SourceData_Dairy_ProductionSystemTemplates[Area],Table_SourceData_Dairy_ProductionSystemTemplates[Pasture])</f>
        <v>0.53400000000000003</v>
      </c>
      <c r="F63" s="102">
        <f>Common_InputFunctions.Utility_LookupValueInTableNumber(X_Cell_Dairy_ProductionSystemTemplate, Table_SourceData_Dairy_ProductionSystemTemplates[Area],Table_SourceData_Dairy_ProductionSystemTemplates[Pasture])</f>
        <v>0.53400000000000003</v>
      </c>
      <c r="G63" s="102">
        <f>Common_InputFunctions.Utility_LookupValueInTableNumber(X_Cell_Dairy_ProductionSystemTemplate, Table_SourceData_Dairy_ProductionSystemTemplates[Area],Table_SourceData_Dairy_ProductionSystemTemplates[Pasture])</f>
        <v>0.53400000000000003</v>
      </c>
      <c r="H63" s="102">
        <f>Common_InputFunctions.Utility_LookupValueInTableNumber(X_Cell_Dairy_ProductionSystemTemplate, Table_SourceData_Dairy_ProductionSystemTemplates[Area],Table_SourceData_Dairy_ProductionSystemTemplates[Pasture])</f>
        <v>0.53400000000000003</v>
      </c>
      <c r="I63" s="102">
        <f>Common_InputFunctions.Utility_LookupValueInTableNumber(X_Cell_Dairy_ProductionSystemTemplate, Table_SourceData_Dairy_ProductionSystemTemplates[Area],Table_SourceData_Dairy_ProductionSystemTemplates[Pasture])</f>
        <v>0.53400000000000003</v>
      </c>
      <c r="J63" s="16" t="s">
        <v>365</v>
      </c>
      <c r="K63" s="16"/>
      <c r="L63" s="16"/>
      <c r="M63" s="16"/>
      <c r="N63" s="16"/>
      <c r="O63" s="24"/>
      <c r="S63" s="21"/>
    </row>
    <row r="64" spans="1:19" ht="20.100000000000001" customHeight="1" x14ac:dyDescent="0.25">
      <c r="A64" s="5" t="str">
        <f>HYPERLINK("#'Constants - Scope 3'!A1", "Constants - Scope 3")</f>
        <v>Constants - Scope 3</v>
      </c>
      <c r="D64" s="1" t="s">
        <v>366</v>
      </c>
      <c r="E64" s="102">
        <f>Common_InputFunctions.Utility_LookupValueInTableNumber(X_Cell_Dairy_ProductionSystemTemplate, Table_SourceData_Dairy_ProductionSystemTemplates[Area],Table_SourceData_Dairy_ProductionSystemTemplates[Milking shed])</f>
        <v>0.11</v>
      </c>
      <c r="F64" s="102">
        <f>Common_InputFunctions.Utility_LookupValueInTableNumber(X_Cell_Dairy_ProductionSystemTemplate, Table_SourceData_Dairy_ProductionSystemTemplates[Area],Table_SourceData_Dairy_ProductionSystemTemplates[Milking shed])</f>
        <v>0.11</v>
      </c>
      <c r="G64" s="102">
        <f>Common_InputFunctions.Utility_LookupValueInTableNumber(X_Cell_Dairy_ProductionSystemTemplate, Table_SourceData_Dairy_ProductionSystemTemplates[Area],Table_SourceData_Dairy_ProductionSystemTemplates[Milking shed])</f>
        <v>0.11</v>
      </c>
      <c r="H64" s="102">
        <f>Common_InputFunctions.Utility_LookupValueInTableNumber(X_Cell_Dairy_ProductionSystemTemplate, Table_SourceData_Dairy_ProductionSystemTemplates[Area],Table_SourceData_Dairy_ProductionSystemTemplates[Milking shed])</f>
        <v>0.11</v>
      </c>
      <c r="I64" s="102">
        <f>Common_InputFunctions.Utility_LookupValueInTableNumber(X_Cell_Dairy_ProductionSystemTemplate, Table_SourceData_Dairy_ProductionSystemTemplates[Area],Table_SourceData_Dairy_ProductionSystemTemplates[Milking shed])</f>
        <v>0.11</v>
      </c>
      <c r="J64" s="16" t="s">
        <v>365</v>
      </c>
      <c r="K64" s="16"/>
      <c r="L64" s="16"/>
      <c r="M64" s="16"/>
      <c r="N64" s="16"/>
      <c r="O64" s="24"/>
      <c r="S64" s="21"/>
    </row>
    <row r="65" spans="1:19" ht="20.100000000000001" customHeight="1" x14ac:dyDescent="0.25">
      <c r="A65" s="5" t="str">
        <f>HYPERLINK("#'Constants - Common'!A1", "Constants - Common")</f>
        <v>Constants - Common</v>
      </c>
      <c r="D65" s="1" t="s">
        <v>367</v>
      </c>
      <c r="E65" s="102">
        <f>Common_InputFunctions.Utility_LookupValueInTableNumber(X_Cell_Dairy_ProductionSystemTemplate, Table_SourceData_Dairy_ProductionSystemTemplates[Area],Table_SourceData_Dairy_ProductionSystemTemplates[Feedpad])</f>
        <v>0.35599999999999998</v>
      </c>
      <c r="F65" s="102">
        <f>Common_InputFunctions.Utility_LookupValueInTableNumber(X_Cell_Dairy_ProductionSystemTemplate, Table_SourceData_Dairy_ProductionSystemTemplates[Area],Table_SourceData_Dairy_ProductionSystemTemplates[Feedpad])</f>
        <v>0.35599999999999998</v>
      </c>
      <c r="G65" s="102">
        <f>Common_InputFunctions.Utility_LookupValueInTableNumber(X_Cell_Dairy_ProductionSystemTemplate, Table_SourceData_Dairy_ProductionSystemTemplates[Area],Table_SourceData_Dairy_ProductionSystemTemplates[Feedpad])</f>
        <v>0.35599999999999998</v>
      </c>
      <c r="H65" s="102">
        <f>Common_InputFunctions.Utility_LookupValueInTableNumber(X_Cell_Dairy_ProductionSystemTemplate, Table_SourceData_Dairy_ProductionSystemTemplates[Area],Table_SourceData_Dairy_ProductionSystemTemplates[Feedpad])</f>
        <v>0.35599999999999998</v>
      </c>
      <c r="I65" s="102">
        <f>Common_InputFunctions.Utility_LookupValueInTableNumber(X_Cell_Dairy_ProductionSystemTemplate, Table_SourceData_Dairy_ProductionSystemTemplates[Area],Table_SourceData_Dairy_ProductionSystemTemplates[Feedpad])</f>
        <v>0.35599999999999998</v>
      </c>
      <c r="J65" s="16" t="s">
        <v>365</v>
      </c>
      <c r="K65" s="16"/>
      <c r="L65" s="16"/>
      <c r="M65" s="16"/>
      <c r="N65" s="16"/>
      <c r="O65" s="24"/>
    </row>
    <row r="66" spans="1:19" ht="20.100000000000001" customHeight="1" x14ac:dyDescent="0.25">
      <c r="A66" s="5" t="str">
        <f>HYPERLINK("#'Constants - Refrigerants'!A1", "Constants - Refrigerants")</f>
        <v>Constants - Refrigerants</v>
      </c>
      <c r="O66" s="24"/>
    </row>
    <row r="67" spans="1:19" ht="20.100000000000001" customHeight="1" x14ac:dyDescent="0.25">
      <c r="A67" s="5" t="str">
        <f>HYPERLINK("#'Constants - Solid Waste'!A1", "Constants - Solid Waste")</f>
        <v>Constants - Solid Waste</v>
      </c>
      <c r="D67" s="98" t="s">
        <v>346</v>
      </c>
      <c r="E67" s="81" t="s">
        <v>334</v>
      </c>
      <c r="F67" s="81" t="s">
        <v>335</v>
      </c>
      <c r="G67" s="81" t="s">
        <v>336</v>
      </c>
      <c r="H67" s="81" t="s">
        <v>337</v>
      </c>
      <c r="I67" s="81" t="s">
        <v>338</v>
      </c>
      <c r="O67" s="24"/>
    </row>
    <row r="68" spans="1:19" ht="20.100000000000001" customHeight="1" x14ac:dyDescent="0.25">
      <c r="A68" s="5" t="str">
        <f>HYPERLINK("#'Acknowledgements'!A1", "Acknowledgements")</f>
        <v>Acknowledgements</v>
      </c>
      <c r="D68" s="1" t="s">
        <v>162</v>
      </c>
      <c r="E68" s="104">
        <f>Common_InputFunctions.Utility_LookupValueInTableNumber(X_Cell_Dairy_ProductionSystemTemplate, Table_SourceData_Dairy_ProductionSystemTemplates[Area],Table_SourceData_Dairy_ProductionSystemTemplates[Pasture])</f>
        <v>0.53400000000000003</v>
      </c>
      <c r="F68" s="104">
        <f>Common_InputFunctions.Utility_LookupValueInTableNumber(X_Cell_Dairy_ProductionSystemTemplate, Table_SourceData_Dairy_ProductionSystemTemplates[Area],Table_SourceData_Dairy_ProductionSystemTemplates[Pasture])</f>
        <v>0.53400000000000003</v>
      </c>
      <c r="G68" s="104">
        <f>Common_InputFunctions.Utility_LookupValueInTableNumber(X_Cell_Dairy_ProductionSystemTemplate, Table_SourceData_Dairy_ProductionSystemTemplates[Area],Table_SourceData_Dairy_ProductionSystemTemplates[Pasture])</f>
        <v>0.53400000000000003</v>
      </c>
      <c r="H68" s="104">
        <f>Common_InputFunctions.Utility_LookupValueInTableNumber(X_Cell_Dairy_ProductionSystemTemplate, Table_SourceData_Dairy_ProductionSystemTemplates[Area],Table_SourceData_Dairy_ProductionSystemTemplates[Pasture])</f>
        <v>0.53400000000000003</v>
      </c>
      <c r="I68" s="104">
        <f>Common_InputFunctions.Utility_LookupValueInTableNumber(X_Cell_Dairy_ProductionSystemTemplate, Table_SourceData_Dairy_ProductionSystemTemplates[Area],Table_SourceData_Dairy_ProductionSystemTemplates[Pasture])</f>
        <v>0.53400000000000003</v>
      </c>
      <c r="J68" s="16" t="s">
        <v>365</v>
      </c>
      <c r="K68" s="16"/>
      <c r="L68" s="16"/>
      <c r="M68" s="16"/>
      <c r="N68" s="16"/>
      <c r="O68" s="24"/>
    </row>
    <row r="69" spans="1:19" ht="20.100000000000001" customHeight="1" x14ac:dyDescent="0.25">
      <c r="D69" s="1" t="s">
        <v>366</v>
      </c>
      <c r="E69" s="104">
        <f>Common_InputFunctions.Utility_LookupValueInTableNumber(X_Cell_Dairy_ProductionSystemTemplate, Table_SourceData_Dairy_ProductionSystemTemplates[Area],Table_SourceData_Dairy_ProductionSystemTemplates[Milking shed])</f>
        <v>0.11</v>
      </c>
      <c r="F69" s="104">
        <f>Common_InputFunctions.Utility_LookupValueInTableNumber(X_Cell_Dairy_ProductionSystemTemplate, Table_SourceData_Dairy_ProductionSystemTemplates[Area],Table_SourceData_Dairy_ProductionSystemTemplates[Milking shed])</f>
        <v>0.11</v>
      </c>
      <c r="G69" s="104">
        <f>Common_InputFunctions.Utility_LookupValueInTableNumber(X_Cell_Dairy_ProductionSystemTemplate, Table_SourceData_Dairy_ProductionSystemTemplates[Area],Table_SourceData_Dairy_ProductionSystemTemplates[Milking shed])</f>
        <v>0.11</v>
      </c>
      <c r="H69" s="104">
        <f>Common_InputFunctions.Utility_LookupValueInTableNumber(X_Cell_Dairy_ProductionSystemTemplate, Table_SourceData_Dairy_ProductionSystemTemplates[Area],Table_SourceData_Dairy_ProductionSystemTemplates[Milking shed])</f>
        <v>0.11</v>
      </c>
      <c r="I69" s="104">
        <f>Common_InputFunctions.Utility_LookupValueInTableNumber(X_Cell_Dairy_ProductionSystemTemplate, Table_SourceData_Dairy_ProductionSystemTemplates[Area],Table_SourceData_Dairy_ProductionSystemTemplates[Milking shed])</f>
        <v>0.11</v>
      </c>
      <c r="J69" s="16" t="s">
        <v>365</v>
      </c>
      <c r="K69" s="16"/>
      <c r="L69" s="16"/>
      <c r="M69" s="16"/>
      <c r="N69" s="16"/>
      <c r="O69" s="24"/>
    </row>
    <row r="70" spans="1:19" ht="20.100000000000001" customHeight="1" x14ac:dyDescent="0.25">
      <c r="D70" s="1" t="s">
        <v>367</v>
      </c>
      <c r="E70" s="104">
        <f>Common_InputFunctions.Utility_LookupValueInTableNumber(X_Cell_Dairy_ProductionSystemTemplate, Table_SourceData_Dairy_ProductionSystemTemplates[Area],Table_SourceData_Dairy_ProductionSystemTemplates[Feedpad])</f>
        <v>0.35599999999999998</v>
      </c>
      <c r="F70" s="104">
        <f>Common_InputFunctions.Utility_LookupValueInTableNumber(X_Cell_Dairy_ProductionSystemTemplate, Table_SourceData_Dairy_ProductionSystemTemplates[Area],Table_SourceData_Dairy_ProductionSystemTemplates[Feedpad])</f>
        <v>0.35599999999999998</v>
      </c>
      <c r="G70" s="104">
        <f>Common_InputFunctions.Utility_LookupValueInTableNumber(X_Cell_Dairy_ProductionSystemTemplate, Table_SourceData_Dairy_ProductionSystemTemplates[Area],Table_SourceData_Dairy_ProductionSystemTemplates[Feedpad])</f>
        <v>0.35599999999999998</v>
      </c>
      <c r="H70" s="104">
        <f>Common_InputFunctions.Utility_LookupValueInTableNumber(X_Cell_Dairy_ProductionSystemTemplate, Table_SourceData_Dairy_ProductionSystemTemplates[Area],Table_SourceData_Dairy_ProductionSystemTemplates[Feedpad])</f>
        <v>0.35599999999999998</v>
      </c>
      <c r="I70" s="104">
        <f>Common_InputFunctions.Utility_LookupValueInTableNumber(X_Cell_Dairy_ProductionSystemTemplate, Table_SourceData_Dairy_ProductionSystemTemplates[Area],Table_SourceData_Dairy_ProductionSystemTemplates[Feedpad])</f>
        <v>0.35599999999999998</v>
      </c>
      <c r="J70" s="16" t="s">
        <v>365</v>
      </c>
      <c r="K70" s="16"/>
      <c r="L70" s="16"/>
      <c r="M70" s="16"/>
      <c r="N70" s="16"/>
      <c r="O70" s="24"/>
    </row>
    <row r="71" spans="1:19" ht="20.100000000000001" customHeight="1" x14ac:dyDescent="0.25">
      <c r="E71" s="105"/>
      <c r="O71" s="24"/>
    </row>
    <row r="72" spans="1:19" ht="20.100000000000001" customHeight="1" x14ac:dyDescent="0.25"/>
    <row r="73" spans="1:19" ht="20.100000000000001" customHeight="1" x14ac:dyDescent="0.25">
      <c r="C73" s="88"/>
      <c r="D73" s="88"/>
      <c r="E73" s="88"/>
      <c r="F73" s="88"/>
      <c r="G73" s="88"/>
      <c r="H73" s="88"/>
      <c r="I73" s="88"/>
      <c r="J73" s="88"/>
      <c r="K73" s="88"/>
      <c r="L73" s="88"/>
      <c r="M73" s="88"/>
      <c r="N73" s="88"/>
      <c r="O73" s="88"/>
    </row>
    <row r="74" spans="1:19" ht="20.100000000000001" customHeight="1" x14ac:dyDescent="0.25">
      <c r="D74" s="2" t="s">
        <v>368</v>
      </c>
      <c r="F74" s="106"/>
    </row>
    <row r="75" spans="1:19" ht="20.100000000000001" customHeight="1" x14ac:dyDescent="0.25">
      <c r="D75" s="78" t="str">
        <f>"From " &amp; $D$64</f>
        <v>From Milking shed</v>
      </c>
      <c r="O75" s="24"/>
    </row>
    <row r="76" spans="1:19" ht="20.100000000000001" customHeight="1" x14ac:dyDescent="0.25">
      <c r="O76" s="24"/>
    </row>
    <row r="77" spans="1:19" ht="20.100000000000001" customHeight="1" x14ac:dyDescent="0.25">
      <c r="D77" s="107" t="s">
        <v>369</v>
      </c>
      <c r="E77" s="81" t="s">
        <v>334</v>
      </c>
      <c r="F77" s="81" t="s">
        <v>335</v>
      </c>
      <c r="G77" s="81" t="s">
        <v>336</v>
      </c>
      <c r="H77" s="81" t="s">
        <v>337</v>
      </c>
      <c r="I77" s="81" t="s">
        <v>338</v>
      </c>
      <c r="J77" s="108" t="s">
        <v>370</v>
      </c>
      <c r="K77" s="108"/>
      <c r="L77" s="98" t="s">
        <v>371</v>
      </c>
      <c r="M77" s="98"/>
      <c r="N77" s="81"/>
      <c r="O77" s="24"/>
    </row>
    <row r="78" spans="1:19" ht="20.100000000000001" customHeight="1" x14ac:dyDescent="0.25">
      <c r="L78" s="109" t="s">
        <v>372</v>
      </c>
      <c r="M78" s="109" t="s">
        <v>373</v>
      </c>
      <c r="N78" s="109" t="s">
        <v>374</v>
      </c>
      <c r="O78" s="24"/>
    </row>
    <row r="79" spans="1:19" ht="20.100000000000001" customHeight="1" x14ac:dyDescent="0.25">
      <c r="D79" s="76" t="str">
        <f>'Constants - Dairy'!$D$8</f>
        <v>Anaerobic lagoon</v>
      </c>
      <c r="E79" s="18">
        <v>0.25</v>
      </c>
      <c r="F79" s="18">
        <v>0.25</v>
      </c>
      <c r="G79" s="18">
        <v>0.25</v>
      </c>
      <c r="H79" s="18">
        <v>0.25</v>
      </c>
      <c r="I79" s="18">
        <v>0.25</v>
      </c>
      <c r="J79" s="16" t="s">
        <v>365</v>
      </c>
      <c r="K79" s="16"/>
      <c r="L79" s="18">
        <v>0.25</v>
      </c>
      <c r="M79" s="18">
        <v>0.25</v>
      </c>
      <c r="N79" s="110">
        <f>1-SUM(L79:M79)</f>
        <v>0.5</v>
      </c>
      <c r="O79" s="24"/>
    </row>
    <row r="80" spans="1:19" ht="20.100000000000001" customHeight="1" x14ac:dyDescent="0.25">
      <c r="D80" s="111" t="str">
        <f>"Were solids separated from " &amp; D79 &amp; "?"</f>
        <v>Were solids separated from Anaerobic lagoon?</v>
      </c>
      <c r="E80" s="13" t="s">
        <v>375</v>
      </c>
      <c r="O80" s="24"/>
      <c r="S80" s="21"/>
    </row>
    <row r="81" spans="4:19" ht="20.100000000000001" customHeight="1" x14ac:dyDescent="0.25">
      <c r="D81" s="111" t="str">
        <f>"Percent solids separated from " &amp; D79 &amp; " (Method 1)"</f>
        <v>Percent solids separated from Anaerobic lagoon (Method 1)</v>
      </c>
      <c r="E81" s="110">
        <f>IF(X_Cell_Dairy_Stage1MMS_1_AnaerobicLagoon_SolidsSeparated="Yes", 20%, 0)</f>
        <v>0.2</v>
      </c>
      <c r="O81" s="24"/>
      <c r="S81" s="21"/>
    </row>
    <row r="82" spans="4:19" ht="20.100000000000001" customHeight="1" x14ac:dyDescent="0.25">
      <c r="D82" s="111" t="str">
        <f>"Percent solids separated from " &amp; D79 &amp; " (Method 2)"</f>
        <v>Percent solids separated from Anaerobic lagoon (Method 2)</v>
      </c>
      <c r="E82" s="18">
        <v>0.2</v>
      </c>
      <c r="O82" s="24"/>
      <c r="S82" s="21"/>
    </row>
    <row r="83" spans="4:19" ht="20.100000000000001" customHeight="1" x14ac:dyDescent="0.25">
      <c r="S83" s="21"/>
    </row>
    <row r="84" spans="4:19" ht="20.100000000000001" customHeight="1" x14ac:dyDescent="0.25">
      <c r="D84" s="76" t="str">
        <f>'Constants - Dairy'!$D$9</f>
        <v>Sump and dispersal system</v>
      </c>
      <c r="E84" s="18">
        <v>0.25</v>
      </c>
      <c r="F84" s="18">
        <v>0.25</v>
      </c>
      <c r="G84" s="18">
        <v>0.25</v>
      </c>
      <c r="H84" s="18">
        <v>0.25</v>
      </c>
      <c r="I84" s="18">
        <v>0.25</v>
      </c>
      <c r="J84" s="16" t="s">
        <v>365</v>
      </c>
      <c r="K84" s="16"/>
      <c r="L84" s="18">
        <v>0.25</v>
      </c>
      <c r="M84" s="18">
        <v>0.25</v>
      </c>
      <c r="N84" s="110">
        <f t="shared" ref="N84" si="1">1-SUM(L84:M84)</f>
        <v>0.5</v>
      </c>
      <c r="S84" s="21"/>
    </row>
    <row r="85" spans="4:19" ht="20.100000000000001" customHeight="1" x14ac:dyDescent="0.25">
      <c r="D85" s="111" t="str">
        <f>"Were solids separated from " &amp; D84 &amp; "?"</f>
        <v>Were solids separated from Sump and dispersal system?</v>
      </c>
      <c r="E85" s="13" t="s">
        <v>375</v>
      </c>
      <c r="S85" s="21"/>
    </row>
    <row r="86" spans="4:19" ht="20.100000000000001" customHeight="1" x14ac:dyDescent="0.25">
      <c r="D86" s="111" t="str">
        <f>"Percent solids separated from " &amp; D84 &amp; " (Method 1)"</f>
        <v>Percent solids separated from Sump and dispersal system (Method 1)</v>
      </c>
      <c r="E86" s="110">
        <f>IF(X_Cell_Dairy_Stage1MMS_1_SumpAndDispersal_SolidsSeparated="Yes", 20%, 0)</f>
        <v>0.2</v>
      </c>
      <c r="S86" s="21"/>
    </row>
    <row r="87" spans="4:19" ht="20.100000000000001" customHeight="1" x14ac:dyDescent="0.25">
      <c r="D87" s="111" t="str">
        <f>"Percent solids separated from " &amp; D84 &amp; " (Method 2)"</f>
        <v>Percent solids separated from Sump and dispersal system (Method 2)</v>
      </c>
      <c r="E87" s="18">
        <v>0.2</v>
      </c>
      <c r="S87" s="21"/>
    </row>
    <row r="88" spans="4:19" ht="20.100000000000001" customHeight="1" x14ac:dyDescent="0.25">
      <c r="S88" s="21"/>
    </row>
    <row r="89" spans="4:19" ht="20.100000000000001" customHeight="1" x14ac:dyDescent="0.25">
      <c r="D89" s="76" t="str">
        <f>'Constants - Dairy'!$D$10</f>
        <v>Drains to paddock</v>
      </c>
      <c r="E89" s="18">
        <v>0.25</v>
      </c>
      <c r="F89" s="18">
        <v>0.25</v>
      </c>
      <c r="G89" s="18">
        <v>0.25</v>
      </c>
      <c r="H89" s="18">
        <v>0.25</v>
      </c>
      <c r="I89" s="18">
        <v>0.25</v>
      </c>
      <c r="J89" s="16" t="s">
        <v>365</v>
      </c>
      <c r="K89" s="16"/>
      <c r="L89" s="18">
        <v>0.25</v>
      </c>
      <c r="M89" s="18">
        <v>0.25</v>
      </c>
      <c r="N89" s="110">
        <f>1-SUM(L89:M89)</f>
        <v>0.5</v>
      </c>
      <c r="S89" s="21"/>
    </row>
    <row r="90" spans="4:19" ht="20.100000000000001" customHeight="1" x14ac:dyDescent="0.25">
      <c r="D90" s="111" t="str">
        <f>"Were solids separated from " &amp; D89 &amp; "?"</f>
        <v>Were solids separated from Drains to paddock?</v>
      </c>
      <c r="E90" s="13" t="s">
        <v>375</v>
      </c>
      <c r="S90" s="21"/>
    </row>
    <row r="91" spans="4:19" ht="20.100000000000001" customHeight="1" x14ac:dyDescent="0.25">
      <c r="D91" s="111" t="str">
        <f>"Percent solids separated from " &amp; D89 &amp; " (Method 1)"</f>
        <v>Percent solids separated from Drains to paddock (Method 1)</v>
      </c>
      <c r="E91" s="110">
        <f>IF(X_Cell_Dairy_Stage1MMS_1_DrainsToPaddock_SolidsSeparated="Yes", 20%, 0)</f>
        <v>0.2</v>
      </c>
      <c r="S91" s="21"/>
    </row>
    <row r="92" spans="4:19" ht="20.100000000000001" customHeight="1" x14ac:dyDescent="0.25">
      <c r="D92" s="111" t="str">
        <f>"Percent solids separated from " &amp; D89 &amp; " (Method 2)"</f>
        <v>Percent solids separated from Drains to paddock (Method 2)</v>
      </c>
      <c r="E92" s="18">
        <v>0.2</v>
      </c>
      <c r="S92" s="21"/>
    </row>
    <row r="93" spans="4:19" ht="20.100000000000001" customHeight="1" x14ac:dyDescent="0.25">
      <c r="S93" s="21"/>
    </row>
    <row r="94" spans="4:19" ht="20.100000000000001" customHeight="1" x14ac:dyDescent="0.25">
      <c r="D94" s="76" t="str">
        <f>'Constants - Dairy'!$D$11 &amp; " (before solid separation)"</f>
        <v>Solid storage (before solid separation)</v>
      </c>
      <c r="E94" s="18">
        <v>0.25</v>
      </c>
      <c r="F94" s="18">
        <v>0.25</v>
      </c>
      <c r="G94" s="18">
        <v>0.25</v>
      </c>
      <c r="H94" s="18">
        <v>0.25</v>
      </c>
      <c r="I94" s="18">
        <v>0.25</v>
      </c>
      <c r="J94" s="16" t="s">
        <v>365</v>
      </c>
      <c r="K94" s="16"/>
      <c r="L94" s="18">
        <v>0.25</v>
      </c>
      <c r="M94" s="18">
        <v>0.25</v>
      </c>
      <c r="N94" s="110">
        <f t="shared" ref="N94" si="2">1-SUM(L94:M94)</f>
        <v>0.5</v>
      </c>
      <c r="S94" s="21"/>
    </row>
    <row r="95" spans="4:19" ht="20.100000000000001" customHeight="1" x14ac:dyDescent="0.25">
      <c r="D95" s="1" t="s">
        <v>376</v>
      </c>
      <c r="E95" s="110">
        <f>E94+(E79*X_Cell_Dairy_Stage1MMS_1_AnaerobicLagoon_AmountSeparated_Method1)+(E84*X_Cell_Dairy_Stage1MMS_1_SumpAndDispersal_AmountSeparated_Method1)+(E89*X_Cell_Dairy_Stage1MMS_1_DrainsToPaddock_AmountSeparated_Method1)</f>
        <v>0.39999999999999997</v>
      </c>
      <c r="F95" s="110">
        <f>F94+(F79*X_Cell_Dairy_Stage1MMS_1_AnaerobicLagoon_AmountSeparated_Method1)+(F84*X_Cell_Dairy_Stage1MMS_1_SumpAndDispersal_AmountSeparated_Method1)+(F89*X_Cell_Dairy_Stage1MMS_1_DrainsToPaddock_AmountSeparated_Method1)</f>
        <v>0.39999999999999997</v>
      </c>
      <c r="G95" s="110">
        <f>G94+(G79*X_Cell_Dairy_Stage1MMS_1_AnaerobicLagoon_AmountSeparated_Method1)+(G84*X_Cell_Dairy_Stage1MMS_1_SumpAndDispersal_AmountSeparated_Method1)+(G89*X_Cell_Dairy_Stage1MMS_1_DrainsToPaddock_AmountSeparated_Method1)</f>
        <v>0.39999999999999997</v>
      </c>
      <c r="H95" s="110">
        <f>H94+(H79*X_Cell_Dairy_Stage1MMS_1_AnaerobicLagoon_AmountSeparated_Method1)+(H84*X_Cell_Dairy_Stage1MMS_1_SumpAndDispersal_AmountSeparated_Method1)+(H89*X_Cell_Dairy_Stage1MMS_1_DrainsToPaddock_AmountSeparated_Method1)</f>
        <v>0.39999999999999997</v>
      </c>
      <c r="I95" s="110">
        <f>I94+(I79*X_Cell_Dairy_Stage1MMS_1_AnaerobicLagoon_AmountSeparated_Method1)+(I84*X_Cell_Dairy_Stage1MMS_1_SumpAndDispersal_AmountSeparated_Method1)+(I89*X_Cell_Dairy_Stage1MMS_1_DrainsToPaddock_AmountSeparated_Method1)</f>
        <v>0.39999999999999997</v>
      </c>
      <c r="J95" s="16" t="s">
        <v>365</v>
      </c>
      <c r="K95" s="16"/>
      <c r="L95" s="16"/>
      <c r="M95" s="16"/>
      <c r="N95" s="16"/>
      <c r="S95" s="21"/>
    </row>
    <row r="96" spans="4:19" ht="20.100000000000001" customHeight="1" x14ac:dyDescent="0.25">
      <c r="D96" s="1" t="s">
        <v>377</v>
      </c>
      <c r="E96" s="110">
        <f>E94+(E79*X_Cell_Dairy_Stage1MMS_1_AnaerobicLagoon_AmountSeparated_Method2)+(E84*X_Cell_Dairy_Stage1MMS_1_SumpAndDispersal_AmountSeparated_Method2)+(E89*X_Cell_Dairy_Stage1MMS_1_DrainsToPaddock_AmountSeparated_Method2)</f>
        <v>0.39999999999999997</v>
      </c>
      <c r="F96" s="110">
        <f>F94+(F79*X_Cell_Dairy_Stage1MMS_1_AnaerobicLagoon_AmountSeparated_Method2)+(F84*X_Cell_Dairy_Stage1MMS_1_SumpAndDispersal_AmountSeparated_Method2)+(F89*X_Cell_Dairy_Stage1MMS_1_DrainsToPaddock_AmountSeparated_Method2)</f>
        <v>0.39999999999999997</v>
      </c>
      <c r="G96" s="110">
        <f>G94+(G79*X_Cell_Dairy_Stage1MMS_1_AnaerobicLagoon_AmountSeparated_Method2)+(G84*X_Cell_Dairy_Stage1MMS_1_SumpAndDispersal_AmountSeparated_Method2)+(G89*X_Cell_Dairy_Stage1MMS_1_DrainsToPaddock_AmountSeparated_Method2)</f>
        <v>0.39999999999999997</v>
      </c>
      <c r="H96" s="110">
        <f>H94+(H79*X_Cell_Dairy_Stage1MMS_1_AnaerobicLagoon_AmountSeparated_Method2)+(H84*X_Cell_Dairy_Stage1MMS_1_SumpAndDispersal_AmountSeparated_Method2)+(H89*X_Cell_Dairy_Stage1MMS_1_DrainsToPaddock_AmountSeparated_Method2)</f>
        <v>0.39999999999999997</v>
      </c>
      <c r="I96" s="110">
        <f>I94+(I79*X_Cell_Dairy_Stage1MMS_1_AnaerobicLagoon_AmountSeparated_Method2)+(I84*X_Cell_Dairy_Stage1MMS_1_SumpAndDispersal_AmountSeparated_Method2)+(I89*X_Cell_Dairy_Stage1MMS_1_DrainsToPaddock_AmountSeparated_Method2)</f>
        <v>0.39999999999999997</v>
      </c>
      <c r="J96" s="16" t="s">
        <v>365</v>
      </c>
      <c r="K96" s="16"/>
      <c r="S96" s="21"/>
    </row>
    <row r="97" spans="4:19" ht="20.100000000000001" customHeight="1" x14ac:dyDescent="0.25">
      <c r="F97" s="16"/>
      <c r="S97" s="21"/>
    </row>
    <row r="98" spans="4:19" ht="20.100000000000001" customHeight="1" x14ac:dyDescent="0.25">
      <c r="F98" s="112"/>
      <c r="S98" s="21"/>
    </row>
    <row r="99" spans="4:19" ht="20.100000000000001" customHeight="1" x14ac:dyDescent="0.25">
      <c r="D99" s="78" t="str">
        <f>"From " &amp; $D$65</f>
        <v>From Feed pad</v>
      </c>
      <c r="S99" s="21"/>
    </row>
    <row r="100" spans="4:19" ht="20.100000000000001" customHeight="1" x14ac:dyDescent="0.25">
      <c r="S100" s="21"/>
    </row>
    <row r="101" spans="4:19" ht="20.100000000000001" customHeight="1" x14ac:dyDescent="0.25">
      <c r="D101" s="113" t="s">
        <v>369</v>
      </c>
      <c r="E101" s="81" t="s">
        <v>334</v>
      </c>
      <c r="F101" s="81" t="s">
        <v>335</v>
      </c>
      <c r="G101" s="81" t="s">
        <v>336</v>
      </c>
      <c r="H101" s="81" t="s">
        <v>337</v>
      </c>
      <c r="I101" s="81" t="s">
        <v>338</v>
      </c>
      <c r="J101" s="108" t="s">
        <v>370</v>
      </c>
      <c r="K101" s="108"/>
      <c r="L101" s="98" t="s">
        <v>371</v>
      </c>
      <c r="M101" s="98"/>
      <c r="N101" s="81"/>
      <c r="S101" s="21"/>
    </row>
    <row r="102" spans="4:19" ht="20.100000000000001" customHeight="1" x14ac:dyDescent="0.25">
      <c r="D102" s="114"/>
      <c r="L102" s="109" t="s">
        <v>372</v>
      </c>
      <c r="M102" s="109" t="s">
        <v>373</v>
      </c>
      <c r="N102" s="109" t="s">
        <v>374</v>
      </c>
      <c r="S102" s="21"/>
    </row>
    <row r="103" spans="4:19" ht="20.100000000000001" customHeight="1" x14ac:dyDescent="0.25">
      <c r="D103" s="115" t="str">
        <f>'Constants - Dairy'!$D$8</f>
        <v>Anaerobic lagoon</v>
      </c>
      <c r="E103" s="18">
        <v>0.25</v>
      </c>
      <c r="F103" s="18">
        <v>0.25</v>
      </c>
      <c r="G103" s="18">
        <v>0.25</v>
      </c>
      <c r="H103" s="18">
        <v>0.25</v>
      </c>
      <c r="I103" s="18">
        <v>0.25</v>
      </c>
      <c r="J103" s="16" t="s">
        <v>365</v>
      </c>
      <c r="K103" s="16"/>
      <c r="L103" s="18">
        <v>0.25</v>
      </c>
      <c r="M103" s="18">
        <v>0.25</v>
      </c>
      <c r="N103" s="110">
        <f>1-SUM(L103:M103)</f>
        <v>0.5</v>
      </c>
      <c r="S103" s="21"/>
    </row>
    <row r="104" spans="4:19" ht="20.100000000000001" customHeight="1" x14ac:dyDescent="0.25">
      <c r="D104" s="116" t="str">
        <f>"Were solids separated from " &amp; D103 &amp; "?"</f>
        <v>Were solids separated from Anaerobic lagoon?</v>
      </c>
      <c r="E104" s="13" t="s">
        <v>378</v>
      </c>
      <c r="S104" s="21"/>
    </row>
    <row r="105" spans="4:19" ht="20.100000000000001" customHeight="1" x14ac:dyDescent="0.25">
      <c r="D105" s="116" t="str">
        <f>"Percent solids separated from " &amp; D103 &amp; " (Method 1)"</f>
        <v>Percent solids separated from Anaerobic lagoon (Method 1)</v>
      </c>
      <c r="E105" s="110">
        <f>IF(X_Cell_Dairy_Stage1MMS_2_AnaerobicLagoon_SolidsSeparated="Yes", 20%, 0)</f>
        <v>0</v>
      </c>
      <c r="S105" s="21"/>
    </row>
    <row r="106" spans="4:19" ht="20.100000000000001" customHeight="1" x14ac:dyDescent="0.25">
      <c r="D106" s="116" t="str">
        <f>"Percent solids separated from " &amp; D103 &amp; " (Method 2)"</f>
        <v>Percent solids separated from Anaerobic lagoon (Method 2)</v>
      </c>
      <c r="E106" s="18">
        <f>IF(X_Cell_Dairy_Stage1MMS_2_AnaerobicLagoon_SolidsSeparated="Yes", 20%, 0)</f>
        <v>0</v>
      </c>
      <c r="S106" s="21"/>
    </row>
    <row r="107" spans="4:19" ht="20.100000000000001" customHeight="1" x14ac:dyDescent="0.25"/>
    <row r="108" spans="4:19" ht="20.100000000000001" customHeight="1" x14ac:dyDescent="0.25">
      <c r="D108" s="115" t="str">
        <f>'Constants - Dairy'!$D$9</f>
        <v>Sump and dispersal system</v>
      </c>
      <c r="E108" s="18">
        <v>0.25</v>
      </c>
      <c r="F108" s="18">
        <v>0.25</v>
      </c>
      <c r="G108" s="18">
        <v>0.25</v>
      </c>
      <c r="H108" s="18">
        <v>0.25</v>
      </c>
      <c r="I108" s="18">
        <v>0.25</v>
      </c>
      <c r="J108" s="16" t="s">
        <v>365</v>
      </c>
      <c r="K108" s="16"/>
      <c r="L108" s="18">
        <v>0.25</v>
      </c>
      <c r="M108" s="18">
        <v>0.25</v>
      </c>
      <c r="N108" s="110">
        <f t="shared" ref="N108" si="3">1-SUM(L108:M108)</f>
        <v>0.5</v>
      </c>
    </row>
    <row r="109" spans="4:19" ht="20.100000000000001" customHeight="1" x14ac:dyDescent="0.25">
      <c r="D109" s="116" t="str">
        <f>"Were solids separated from " &amp; D108 &amp; "?"</f>
        <v>Were solids separated from Sump and dispersal system?</v>
      </c>
      <c r="E109" s="13" t="s">
        <v>375</v>
      </c>
    </row>
    <row r="110" spans="4:19" ht="20.100000000000001" customHeight="1" x14ac:dyDescent="0.25">
      <c r="D110" s="116" t="str">
        <f>"Percent solids separated from " &amp; D108 &amp; " (Method 1)"</f>
        <v>Percent solids separated from Sump and dispersal system (Method 1)</v>
      </c>
      <c r="E110" s="110">
        <f>IF(X_Cell_Dairy_Stage1MMS_2_SumpAndDispersal_SolidsSeparated="Yes", 20%, 0)</f>
        <v>0.2</v>
      </c>
    </row>
    <row r="111" spans="4:19" ht="20.100000000000001" customHeight="1" x14ac:dyDescent="0.25">
      <c r="D111" s="116" t="str">
        <f>"Percent solids separated from " &amp; D108 &amp; " (Method 2)"</f>
        <v>Percent solids separated from Sump and dispersal system (Method 2)</v>
      </c>
      <c r="E111" s="18">
        <f>IF(X_Cell_Dairy_Stage1MMS_2_SumpAndDispersal_SolidsSeparated="Yes", 20%, 0)</f>
        <v>0.2</v>
      </c>
    </row>
    <row r="112" spans="4:19" ht="20.100000000000001" customHeight="1" x14ac:dyDescent="0.25"/>
    <row r="113" spans="4:14" ht="20.100000000000001" customHeight="1" x14ac:dyDescent="0.25">
      <c r="D113" s="115" t="str">
        <f>'Constants - Dairy'!$D$10</f>
        <v>Drains to paddock</v>
      </c>
      <c r="E113" s="18">
        <v>0.25</v>
      </c>
      <c r="F113" s="18">
        <v>0.25</v>
      </c>
      <c r="G113" s="18">
        <v>0.25</v>
      </c>
      <c r="H113" s="18">
        <v>0.25</v>
      </c>
      <c r="I113" s="18">
        <v>0.25</v>
      </c>
      <c r="J113" s="16" t="s">
        <v>365</v>
      </c>
      <c r="K113" s="16"/>
      <c r="L113" s="18">
        <v>0.25</v>
      </c>
      <c r="M113" s="18">
        <v>0.25</v>
      </c>
      <c r="N113" s="110">
        <f>1-SUM(L113:M113)</f>
        <v>0.5</v>
      </c>
    </row>
    <row r="114" spans="4:14" ht="20.100000000000001" customHeight="1" x14ac:dyDescent="0.25">
      <c r="D114" s="116" t="str">
        <f>"Were solids separated from " &amp; D113 &amp; "?"</f>
        <v>Were solids separated from Drains to paddock?</v>
      </c>
      <c r="E114" s="13" t="s">
        <v>375</v>
      </c>
    </row>
    <row r="115" spans="4:14" ht="20.100000000000001" customHeight="1" x14ac:dyDescent="0.25">
      <c r="D115" s="116" t="str">
        <f>"Percent solids separated from " &amp; D113 &amp; " (Method 1)"</f>
        <v>Percent solids separated from Drains to paddock (Method 1)</v>
      </c>
      <c r="E115" s="110">
        <f>IF(X_Cell_Dairy_Stage1MMS_2_DrainsToPaddock_SolidsSeparated="Yes", 20%, 0)</f>
        <v>0.2</v>
      </c>
    </row>
    <row r="116" spans="4:14" ht="20.100000000000001" customHeight="1" x14ac:dyDescent="0.25">
      <c r="D116" s="116" t="str">
        <f>"Percent solids separated from " &amp; D113 &amp; " (Method 2)"</f>
        <v>Percent solids separated from Drains to paddock (Method 2)</v>
      </c>
      <c r="E116" s="18">
        <f>IF(X_Cell_Dairy_Stage1MMS_2_DrainsToPaddock_SolidsSeparated="Yes", 20%, 0)</f>
        <v>0.2</v>
      </c>
    </row>
    <row r="117" spans="4:14" ht="20.100000000000001" customHeight="1" x14ac:dyDescent="0.25"/>
    <row r="118" spans="4:14" ht="20.100000000000001" customHeight="1" x14ac:dyDescent="0.25">
      <c r="D118" s="115" t="str">
        <f>'Constants - Dairy'!$D$11 &amp; " (before solid separation)"</f>
        <v>Solid storage (before solid separation)</v>
      </c>
      <c r="E118" s="18">
        <v>0.25</v>
      </c>
      <c r="F118" s="18">
        <v>0.25</v>
      </c>
      <c r="G118" s="18">
        <v>0.25</v>
      </c>
      <c r="H118" s="18">
        <v>0.25</v>
      </c>
      <c r="I118" s="18">
        <v>0.25</v>
      </c>
      <c r="J118" s="16" t="s">
        <v>365</v>
      </c>
      <c r="K118" s="16"/>
      <c r="L118" s="18">
        <v>0.25</v>
      </c>
      <c r="M118" s="18">
        <v>0.25</v>
      </c>
      <c r="N118" s="110">
        <f>1-SUM(L118:M118)</f>
        <v>0.5</v>
      </c>
    </row>
    <row r="119" spans="4:14" ht="20.100000000000001" customHeight="1" x14ac:dyDescent="0.25">
      <c r="D119" s="114" t="s">
        <v>376</v>
      </c>
      <c r="E119" s="110">
        <f>E118+(E103*X_Cell_Dairy_Stage1MMS_2_AnaerobicLagoon_AmountSeparated_Method1)+(E108*X_Cell_Dairy_Stage1MMS_2_SumpAndDispersal_AmountSeparated_Method1)+(E113*X_Cell_Dairy_Stage1MMS_2_DrainsToPaddock_AmountSeparated_Method1)</f>
        <v>0.35</v>
      </c>
      <c r="F119" s="110">
        <f>F118+(F103*X_Cell_Dairy_Stage1MMS_2_AnaerobicLagoon_AmountSeparated_Method1)+(F108*X_Cell_Dairy_Stage1MMS_2_SumpAndDispersal_AmountSeparated_Method1)+(F113*X_Cell_Dairy_Stage1MMS_2_DrainsToPaddock_AmountSeparated_Method1)</f>
        <v>0.35</v>
      </c>
      <c r="G119" s="110">
        <f>G118+(G103*X_Cell_Dairy_Stage1MMS_2_AnaerobicLagoon_AmountSeparated_Method1)+(G108*X_Cell_Dairy_Stage1MMS_2_SumpAndDispersal_AmountSeparated_Method1)+(G113*X_Cell_Dairy_Stage1MMS_2_DrainsToPaddock_AmountSeparated_Method1)</f>
        <v>0.35</v>
      </c>
      <c r="H119" s="110">
        <f>H118+(H103*X_Cell_Dairy_Stage1MMS_2_AnaerobicLagoon_AmountSeparated_Method1)+(H108*X_Cell_Dairy_Stage1MMS_2_SumpAndDispersal_AmountSeparated_Method1)+(H113*X_Cell_Dairy_Stage1MMS_2_DrainsToPaddock_AmountSeparated_Method1)</f>
        <v>0.35</v>
      </c>
      <c r="I119" s="110">
        <f>I118+(I103*X_Cell_Dairy_Stage1MMS_2_AnaerobicLagoon_AmountSeparated_Method1)+(I108*X_Cell_Dairy_Stage1MMS_2_SumpAndDispersal_AmountSeparated_Method1)+(I113*X_Cell_Dairy_Stage1MMS_2_DrainsToPaddock_AmountSeparated_Method1)</f>
        <v>0.35</v>
      </c>
      <c r="J119" s="16" t="s">
        <v>365</v>
      </c>
      <c r="K119" s="16"/>
      <c r="L119" s="16"/>
      <c r="M119" s="16"/>
      <c r="N119" s="16"/>
    </row>
    <row r="120" spans="4:14" ht="20.100000000000001" customHeight="1" x14ac:dyDescent="0.25">
      <c r="D120" s="114" t="s">
        <v>377</v>
      </c>
      <c r="E120" s="110">
        <f>E118+(E103*X_Cell_Dairy_Stage1MMS_2_AnaerobicLagoon_AmountSeparated_Method2)+(E108*X_Cell_Dairy_Stage1MMS_2_SumpAndDispersal_AmountSeparated_Method2)+(E113*X_Cell_Dairy_Stage1MMS_2_DrainsToPaddock_AmountSeparated_Method2)</f>
        <v>0.35</v>
      </c>
      <c r="F120" s="110">
        <f>F118+(F103*X_Cell_Dairy_Stage1MMS_2_AnaerobicLagoon_AmountSeparated_Method2)+(F108*X_Cell_Dairy_Stage1MMS_2_SumpAndDispersal_AmountSeparated_Method2)+(F113*X_Cell_Dairy_Stage1MMS_2_DrainsToPaddock_AmountSeparated_Method2)</f>
        <v>0.35</v>
      </c>
      <c r="G120" s="110">
        <f>G118+(G103*X_Cell_Dairy_Stage1MMS_2_AnaerobicLagoon_AmountSeparated_Method2)+(G108*X_Cell_Dairy_Stage1MMS_2_SumpAndDispersal_AmountSeparated_Method2)+(G113*X_Cell_Dairy_Stage1MMS_2_DrainsToPaddock_AmountSeparated_Method2)</f>
        <v>0.35</v>
      </c>
      <c r="H120" s="110">
        <f>H118+(H103*X_Cell_Dairy_Stage1MMS_2_AnaerobicLagoon_AmountSeparated_Method2)+(H108*X_Cell_Dairy_Stage1MMS_2_SumpAndDispersal_AmountSeparated_Method2)+(H113*X_Cell_Dairy_Stage1MMS_2_DrainsToPaddock_AmountSeparated_Method2)</f>
        <v>0.35</v>
      </c>
      <c r="I120" s="110">
        <f>I118+(I103*X_Cell_Dairy_Stage1MMS_2_AnaerobicLagoon_AmountSeparated_Method2)+(I108*X_Cell_Dairy_Stage1MMS_2_SumpAndDispersal_AmountSeparated_Method2)+(I113*X_Cell_Dairy_Stage1MMS_2_DrainsToPaddock_AmountSeparated_Method2)</f>
        <v>0.35</v>
      </c>
      <c r="J120" s="16" t="s">
        <v>365</v>
      </c>
      <c r="K120" s="16"/>
    </row>
    <row r="121" spans="4:14" ht="20.100000000000001" customHeight="1" x14ac:dyDescent="0.25"/>
    <row r="122" spans="4:14" ht="20.100000000000001" customHeight="1" x14ac:dyDescent="0.25"/>
    <row r="123" spans="4:14" ht="20.100000000000001" customHeight="1" x14ac:dyDescent="0.25">
      <c r="D123" s="1" t="s">
        <v>379</v>
      </c>
      <c r="E123" s="13" t="s">
        <v>162</v>
      </c>
      <c r="F123" s="16" t="s">
        <v>100</v>
      </c>
    </row>
    <row r="124" spans="4:14" ht="20.100000000000001" customHeight="1" x14ac:dyDescent="0.25">
      <c r="E124" s="13" t="s">
        <v>380</v>
      </c>
      <c r="F124" s="16" t="s">
        <v>100</v>
      </c>
      <c r="L124" s="16"/>
      <c r="M124" s="16"/>
      <c r="N124" s="16"/>
    </row>
    <row r="125" spans="4:14" ht="20.100000000000001" customHeight="1" x14ac:dyDescent="0.25"/>
    <row r="126" spans="4:14" ht="20.100000000000001" customHeight="1" x14ac:dyDescent="0.25"/>
    <row r="127" spans="4:14" ht="20.100000000000001" customHeight="1" x14ac:dyDescent="0.25"/>
    <row r="128" spans="4:14" ht="20.100000000000001" customHeight="1" x14ac:dyDescent="0.25"/>
    <row r="129" spans="13:14" ht="20.100000000000001" customHeight="1" x14ac:dyDescent="0.25"/>
    <row r="130" spans="13:14" ht="20.100000000000001" customHeight="1" x14ac:dyDescent="0.25"/>
    <row r="131" spans="13:14" ht="20.100000000000001" customHeight="1" x14ac:dyDescent="0.25"/>
    <row r="132" spans="13:14" ht="20.100000000000001" customHeight="1" x14ac:dyDescent="0.25"/>
    <row r="133" spans="13:14" ht="20.100000000000001" customHeight="1" x14ac:dyDescent="0.25"/>
    <row r="134" spans="13:14" ht="20.100000000000001" customHeight="1" x14ac:dyDescent="0.25"/>
    <row r="135" spans="13:14" ht="20.100000000000001" customHeight="1" x14ac:dyDescent="0.25"/>
    <row r="136" spans="13:14" ht="20.100000000000001" customHeight="1" x14ac:dyDescent="0.25"/>
    <row r="137" spans="13:14" ht="20.100000000000001" customHeight="1" x14ac:dyDescent="0.25"/>
    <row r="138" spans="13:14" ht="20.100000000000001" customHeight="1" x14ac:dyDescent="0.25"/>
    <row r="139" spans="13:14" ht="20.100000000000001" customHeight="1" x14ac:dyDescent="0.25"/>
    <row r="140" spans="13:14" ht="20.100000000000001" customHeight="1" x14ac:dyDescent="0.25"/>
    <row r="141" spans="13:14" ht="20.100000000000001" customHeight="1" x14ac:dyDescent="0.25"/>
    <row r="142" spans="13:14" ht="20.100000000000001" customHeight="1" x14ac:dyDescent="0.25">
      <c r="M142" s="16"/>
      <c r="N142" s="16"/>
    </row>
    <row r="143" spans="13:14" ht="20.100000000000001" customHeight="1" x14ac:dyDescent="0.25">
      <c r="M143" s="16"/>
      <c r="N143" s="16"/>
    </row>
    <row r="144" spans="13:14" ht="20.100000000000001" customHeight="1" x14ac:dyDescent="0.25">
      <c r="M144" s="16"/>
      <c r="N144" s="16"/>
    </row>
    <row r="145" spans="13:14" ht="20.100000000000001" customHeight="1" x14ac:dyDescent="0.25"/>
    <row r="146" spans="13:14" ht="20.100000000000001" customHeight="1" x14ac:dyDescent="0.25"/>
    <row r="147" spans="13:14" ht="20.100000000000001" customHeight="1" x14ac:dyDescent="0.25">
      <c r="M147" s="16"/>
      <c r="N147" s="16"/>
    </row>
    <row r="148" spans="13:14" ht="20.100000000000001" customHeight="1" x14ac:dyDescent="0.25">
      <c r="M148" s="16"/>
      <c r="N148" s="16"/>
    </row>
    <row r="149" spans="13:14" ht="20.100000000000001" customHeight="1" x14ac:dyDescent="0.25">
      <c r="M149" s="16"/>
      <c r="N149" s="16"/>
    </row>
    <row r="150" spans="13:14" ht="20.100000000000001" customHeight="1" x14ac:dyDescent="0.25"/>
    <row r="151" spans="13:14" ht="20.100000000000001" customHeight="1" x14ac:dyDescent="0.25"/>
    <row r="152" spans="13:14" ht="20.100000000000001" customHeight="1" x14ac:dyDescent="0.25">
      <c r="M152" s="16"/>
      <c r="N152" s="16"/>
    </row>
    <row r="153" spans="13:14" ht="20.100000000000001" customHeight="1" x14ac:dyDescent="0.25">
      <c r="M153" s="16"/>
      <c r="N153" s="16"/>
    </row>
    <row r="154" spans="13:14" ht="20.100000000000001" customHeight="1" x14ac:dyDescent="0.25">
      <c r="M154" s="16"/>
      <c r="N154" s="16"/>
    </row>
    <row r="155" spans="13:14" ht="20.100000000000001" customHeight="1" x14ac:dyDescent="0.25"/>
    <row r="156" spans="13:14" ht="20.100000000000001" customHeight="1" x14ac:dyDescent="0.25"/>
    <row r="157" spans="13:14" ht="20.100000000000001" customHeight="1" x14ac:dyDescent="0.25"/>
    <row r="158" spans="13:14" ht="20.100000000000001" customHeight="1" x14ac:dyDescent="0.25"/>
    <row r="159" spans="13:14" ht="20.100000000000001" customHeight="1" x14ac:dyDescent="0.25"/>
    <row r="160" spans="13:14" ht="20.100000000000001" customHeight="1" x14ac:dyDescent="0.25"/>
    <row r="161" spans="13:14" ht="20.100000000000001" customHeight="1" x14ac:dyDescent="0.25">
      <c r="M161" s="16"/>
      <c r="N161" s="16"/>
    </row>
    <row r="162" spans="13:14" ht="20.100000000000001" customHeight="1" x14ac:dyDescent="0.25">
      <c r="M162" s="16"/>
      <c r="N162" s="16"/>
    </row>
    <row r="163" spans="13:14" ht="20.100000000000001" customHeight="1" x14ac:dyDescent="0.25">
      <c r="M163" s="16"/>
      <c r="N163" s="16"/>
    </row>
    <row r="164" spans="13:14" ht="20.100000000000001" customHeight="1" x14ac:dyDescent="0.25"/>
    <row r="165" spans="13:14" ht="20.100000000000001" customHeight="1" x14ac:dyDescent="0.25"/>
    <row r="166" spans="13:14" x14ac:dyDescent="0.25">
      <c r="M166" s="16"/>
      <c r="N166" s="16"/>
    </row>
    <row r="167" spans="13:14" x14ac:dyDescent="0.25">
      <c r="M167" s="16"/>
      <c r="N167" s="16"/>
    </row>
    <row r="168" spans="13:14" x14ac:dyDescent="0.25">
      <c r="M168" s="16"/>
      <c r="N168" s="16"/>
    </row>
    <row r="171" spans="13:14" x14ac:dyDescent="0.25">
      <c r="M171" s="16"/>
      <c r="N171" s="16"/>
    </row>
    <row r="172" spans="13:14" x14ac:dyDescent="0.25">
      <c r="M172" s="16"/>
      <c r="N172" s="16"/>
    </row>
    <row r="173" spans="13:14" x14ac:dyDescent="0.25">
      <c r="M173" s="16"/>
      <c r="N173" s="16"/>
    </row>
    <row r="176" spans="13:14" x14ac:dyDescent="0.25">
      <c r="M176" s="16"/>
      <c r="N176" s="16"/>
    </row>
    <row r="177" spans="13:14" x14ac:dyDescent="0.25">
      <c r="M177" s="16"/>
      <c r="N177" s="16"/>
    </row>
    <row r="178" spans="13:14" x14ac:dyDescent="0.25">
      <c r="M178" s="16"/>
      <c r="N178" s="16"/>
    </row>
  </sheetData>
  <conditionalFormatting sqref="E10:N10 E24:N25 E28:N29 K36:L36 E36:J37 M36:N38 L37 K40 E40:J41 L41:L42 M42:N42 P43:Q43 J79:K79 J84:K84 F89 J89:K89 F94 J94:K96 L95:N95 F100 J103:K103 J108:K108 J113:K113 J118:K120 L119:N119 L124:N124">
    <cfRule type="cellIs" dxfId="96" priority="6" operator="lessThan">
      <formula>0</formula>
    </cfRule>
  </conditionalFormatting>
  <conditionalFormatting sqref="E14:N15">
    <cfRule type="cellIs" dxfId="95" priority="2" operator="lessThan">
      <formula>0</formula>
    </cfRule>
  </conditionalFormatting>
  <conditionalFormatting sqref="E18:N19">
    <cfRule type="cellIs" dxfId="94" priority="1" operator="lessThan">
      <formula>0</formula>
    </cfRule>
  </conditionalFormatting>
  <conditionalFormatting sqref="F97">
    <cfRule type="cellIs" dxfId="93" priority="3" operator="lessThan">
      <formula>0</formula>
    </cfRule>
  </conditionalFormatting>
  <conditionalFormatting sqref="J63:N65">
    <cfRule type="cellIs" dxfId="92" priority="5" operator="lessThan">
      <formula>0</formula>
    </cfRule>
  </conditionalFormatting>
  <conditionalFormatting sqref="J68:N70">
    <cfRule type="cellIs" dxfId="91" priority="4" operator="lessThan">
      <formula>0</formula>
    </cfRule>
  </conditionalFormatting>
  <dataValidations count="6">
    <dataValidation type="list" allowBlank="1" showInputMessage="1" showErrorMessage="1" sqref="E47" xr:uid="{A739669E-80C5-4720-8446-F4F50FC3B327}">
      <formula1>"Litres of milk, Milk solids"</formula1>
    </dataValidation>
    <dataValidation type="list" allowBlank="1" showInputMessage="1" showErrorMessage="1" sqref="E7" xr:uid="{3B944E01-A2E9-4232-A1B8-5A4881521696}">
      <formula1>INDIRECT("Table_SourceData_Dairy_WjCowsHeifers[Breed]")</formula1>
    </dataValidation>
    <dataValidation type="list" allowBlank="1" showInputMessage="1" showErrorMessage="1" sqref="E80 E85 E90 E104 E109 E114" xr:uid="{59D8A2E0-40B9-4A55-8806-FA1B49E0F618}">
      <formula1>"Yes, No"</formula1>
    </dataValidation>
    <dataValidation type="list" allowBlank="1" showInputMessage="1" showErrorMessage="1" sqref="E60" xr:uid="{A859D972-F88C-4776-AA40-56360D3281C4}">
      <formula1>INDIRECT("Table_SourceData_Dairy_ProductionSystemTemplates[Area]")</formula1>
    </dataValidation>
    <dataValidation type="list" allowBlank="1" showInputMessage="1" showErrorMessage="1" sqref="E124" xr:uid="{8A426041-4C2F-40B9-A695-EDE5F0FB22F9}">
      <formula1>INDIRECT("Table_SourceData_Dairy_IrrigationMethods[Irrigation method]")</formula1>
    </dataValidation>
    <dataValidation type="list" allowBlank="1" showInputMessage="1" showErrorMessage="1" sqref="E123" xr:uid="{F763C15C-C54A-4A64-A862-4F6DDE8CE8F9}">
      <formula1>INDIRECT("Table_SourceData_Dairy_CropProdSystems[Production system]")</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F1B67-59B8-47EB-891E-BAA3B5DA183C}">
  <sheetPr>
    <tabColor rgb="FFCC6600"/>
  </sheetPr>
  <dimension ref="A1:M68"/>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12" width="30.7109375" style="1" customWidth="1"/>
    <col min="13" max="13" width="4.7109375" style="1" customWidth="1"/>
  </cols>
  <sheetData>
    <row r="1" spans="1:13" s="10" customFormat="1" ht="25.5" x14ac:dyDescent="0.35">
      <c r="A1" s="10" t="e" vm="1">
        <v>#VALUE!</v>
      </c>
      <c r="C1" s="10" t="s">
        <v>172</v>
      </c>
    </row>
    <row r="2" spans="1:13" s="3" customFormat="1" x14ac:dyDescent="0.25">
      <c r="A2"/>
    </row>
    <row r="3" spans="1:13" ht="20.25" x14ac:dyDescent="0.25">
      <c r="A3" s="5" t="str">
        <f>HYPERLINK("#'Home'!A1", "Home")</f>
        <v>Home</v>
      </c>
      <c r="C3" s="28"/>
      <c r="D3" s="28"/>
      <c r="E3" s="28"/>
      <c r="F3" s="28"/>
      <c r="G3" s="28"/>
      <c r="H3" s="28"/>
      <c r="I3" s="28"/>
      <c r="J3" s="28"/>
      <c r="K3" s="28"/>
      <c r="L3" s="28"/>
      <c r="M3" s="28"/>
    </row>
    <row r="4" spans="1:13" x14ac:dyDescent="0.25">
      <c r="A4" s="5" t="str">
        <f>HYPERLINK("#'Results - Activity period'!A1", "Results - Activity period")</f>
        <v>Results - Activity period</v>
      </c>
    </row>
    <row r="5" spans="1:13" x14ac:dyDescent="0.25">
      <c r="A5" s="5" t="str">
        <f>HYPERLINK("#'Results - Product EI'!A1", "Results - Product Emissions Intensity")</f>
        <v>Results - Product Emissions Intensity</v>
      </c>
      <c r="D5" s="79" t="s">
        <v>173</v>
      </c>
    </row>
    <row r="6" spans="1:13" x14ac:dyDescent="0.25">
      <c r="A6" s="5" t="str">
        <f>HYPERLINK("#'Results'!A1", "Results")</f>
        <v>Results</v>
      </c>
      <c r="D6" s="19" t="s">
        <v>174</v>
      </c>
      <c r="E6" s="19" t="s">
        <v>175</v>
      </c>
      <c r="F6" s="19" t="s">
        <v>176</v>
      </c>
      <c r="G6" s="19" t="s">
        <v>177</v>
      </c>
      <c r="H6" s="19" t="s">
        <v>178</v>
      </c>
      <c r="I6" s="19" t="s">
        <v>179</v>
      </c>
    </row>
    <row r="7" spans="1:13" x14ac:dyDescent="0.25">
      <c r="D7" s="33"/>
      <c r="E7" s="13"/>
      <c r="F7" s="80">
        <v>45566</v>
      </c>
      <c r="G7" s="19">
        <v>10</v>
      </c>
      <c r="H7" s="19">
        <v>500</v>
      </c>
      <c r="I7" s="15">
        <f t="shared" ref="I7:I16" si="0">G7*H7</f>
        <v>5000</v>
      </c>
    </row>
    <row r="8" spans="1:13" x14ac:dyDescent="0.25">
      <c r="D8" s="33"/>
      <c r="E8" s="13"/>
      <c r="F8" s="80"/>
      <c r="G8" s="19"/>
      <c r="H8" s="19"/>
      <c r="I8" s="15">
        <f t="shared" si="0"/>
        <v>0</v>
      </c>
    </row>
    <row r="9" spans="1:13" x14ac:dyDescent="0.25">
      <c r="A9" s="7" t="s">
        <v>0</v>
      </c>
      <c r="D9" s="33"/>
      <c r="E9" s="13"/>
      <c r="F9" s="80"/>
      <c r="G9" s="19"/>
      <c r="H9" s="19"/>
      <c r="I9" s="15">
        <f t="shared" si="0"/>
        <v>0</v>
      </c>
    </row>
    <row r="10" spans="1:13" x14ac:dyDescent="0.25">
      <c r="A10" s="5" t="str">
        <f>HYPERLINK("#'Input - Enterprise'!A1", "Enterprise")</f>
        <v>Enterprise</v>
      </c>
      <c r="D10" s="33"/>
      <c r="E10" s="13"/>
      <c r="F10" s="80"/>
      <c r="G10" s="19"/>
      <c r="H10" s="19"/>
      <c r="I10" s="15">
        <f t="shared" si="0"/>
        <v>0</v>
      </c>
    </row>
    <row r="11" spans="1:13" x14ac:dyDescent="0.25">
      <c r="A11" s="5" t="str">
        <f>HYPERLINK("#'Input - Site'!A1", "Site")</f>
        <v>Site</v>
      </c>
      <c r="D11" s="33"/>
      <c r="E11" s="13"/>
      <c r="F11" s="80"/>
      <c r="G11" s="19"/>
      <c r="H11" s="19"/>
      <c r="I11" s="15">
        <f t="shared" si="0"/>
        <v>0</v>
      </c>
    </row>
    <row r="12" spans="1:13" x14ac:dyDescent="0.25">
      <c r="A12" s="5" t="str">
        <f>HYPERLINK("#'Input - Dairy'!A1", "Dairy")</f>
        <v>Dairy</v>
      </c>
      <c r="D12" s="33"/>
      <c r="E12" s="13"/>
      <c r="F12" s="80"/>
      <c r="G12" s="19"/>
      <c r="H12" s="19"/>
      <c r="I12" s="15">
        <f t="shared" si="0"/>
        <v>0</v>
      </c>
    </row>
    <row r="13" spans="1:13" x14ac:dyDescent="0.25">
      <c r="A13" s="99" t="str">
        <f>HYPERLINK("#'Input - Livestock sales'!A1", "Livestock sales")</f>
        <v>Livestock sales</v>
      </c>
      <c r="D13" s="33"/>
      <c r="E13" s="13"/>
      <c r="F13" s="80"/>
      <c r="G13" s="19"/>
      <c r="H13" s="19"/>
      <c r="I13" s="15">
        <f t="shared" si="0"/>
        <v>0</v>
      </c>
    </row>
    <row r="14" spans="1:13" x14ac:dyDescent="0.25">
      <c r="A14" s="5" t="str">
        <f>HYPERLINK("#'Input - Dairy cattle purchases'!A1", "Dairy cattle purchases")</f>
        <v>Dairy cattle purchases</v>
      </c>
      <c r="D14" s="33"/>
      <c r="E14" s="13"/>
      <c r="F14" s="80"/>
      <c r="G14" s="19"/>
      <c r="H14" s="19"/>
      <c r="I14" s="15">
        <f t="shared" si="0"/>
        <v>0</v>
      </c>
    </row>
    <row r="15" spans="1:13" x14ac:dyDescent="0.25">
      <c r="A15" s="5" t="str">
        <f>HYPERLINK("#'Input - Pasture'!A1", "Pasture")</f>
        <v>Pasture</v>
      </c>
      <c r="D15" s="33"/>
      <c r="E15" s="13"/>
      <c r="F15" s="80"/>
      <c r="G15" s="19"/>
      <c r="H15" s="19"/>
      <c r="I15" s="15">
        <f t="shared" si="0"/>
        <v>0</v>
      </c>
    </row>
    <row r="16" spans="1:13" x14ac:dyDescent="0.25">
      <c r="A16" s="5" t="str">
        <f>HYPERLINK("#'Input - Fert Prod System'!A1", "Fert Prod System")</f>
        <v>Fert Prod System</v>
      </c>
      <c r="D16" s="33"/>
      <c r="E16" s="13"/>
      <c r="F16" s="80"/>
      <c r="G16" s="19"/>
      <c r="H16" s="19"/>
      <c r="I16" s="15">
        <f t="shared" si="0"/>
        <v>0</v>
      </c>
    </row>
    <row r="17" spans="1:1" x14ac:dyDescent="0.25">
      <c r="A17" s="5" t="str">
        <f>HYPERLINK("#'Input - Fertiliser'!A1", "Fertiliser")</f>
        <v>Fertiliser</v>
      </c>
    </row>
    <row r="18" spans="1:1" x14ac:dyDescent="0.25">
      <c r="A18" s="5" t="str">
        <f>HYPERLINK("#'Input - Fuel'!A1", "Fuel")</f>
        <v>Fuel</v>
      </c>
    </row>
    <row r="19" spans="1:1" x14ac:dyDescent="0.25">
      <c r="A19" s="5" t="str">
        <f>HYPERLINK("#'Input - Electricity'!A1", "Electricity")</f>
        <v>Electricity</v>
      </c>
    </row>
    <row r="20" spans="1:1" x14ac:dyDescent="0.25">
      <c r="A20" s="5" t="str">
        <f>HYPERLINK("#'Input - Common farm inputs'!A1", "Common farm inputs")</f>
        <v>Common farm inputs</v>
      </c>
    </row>
    <row r="21" spans="1:1" x14ac:dyDescent="0.25">
      <c r="A21" s="5" t="str">
        <f>HYPERLINK("#'Input - Crop pasture farm input'!A1", "Crop pasture farm input")</f>
        <v>Crop pasture farm input</v>
      </c>
    </row>
    <row r="22" spans="1:1" x14ac:dyDescent="0.25">
      <c r="A22" s="5" t="str">
        <f>HYPERLINK("#'Input - Livestock farm Inputs'!A1", "Livestock farm Inputs")</f>
        <v>Livestock farm Inputs</v>
      </c>
    </row>
    <row r="23" spans="1:1" x14ac:dyDescent="0.25">
      <c r="A23" s="5" t="str">
        <f>HYPERLINK("#'Input - Freight'!A1", "Freight")</f>
        <v>Freight</v>
      </c>
    </row>
    <row r="24" spans="1:1" x14ac:dyDescent="0.25">
      <c r="A24" s="5" t="str">
        <f>HYPERLINK("#'Input - Solid waste'!A1", "Solid waste")</f>
        <v>Solid waste</v>
      </c>
    </row>
    <row r="25" spans="1:1" x14ac:dyDescent="0.25">
      <c r="A25" s="5" t="str">
        <f>HYPERLINK("#'Input - Manure sent off-site'!A1", "Manure sent off-site")</f>
        <v>Manure sent off-site</v>
      </c>
    </row>
    <row r="26" spans="1:1" x14ac:dyDescent="0.25">
      <c r="A26" s="5" t="str">
        <f>HYPERLINK("#'Input - Refrigerants'!A1", "Refrigerants")</f>
        <v>Refrigerants</v>
      </c>
    </row>
    <row r="27" spans="1:1" x14ac:dyDescent="0.25">
      <c r="A27" s="5" t="str">
        <f>HYPERLINK("#'Input - Data quality'!A1", "Data quality")</f>
        <v>Data quality</v>
      </c>
    </row>
    <row r="30" spans="1:1" x14ac:dyDescent="0.25">
      <c r="A30" s="6" t="s">
        <v>2</v>
      </c>
    </row>
    <row r="31" spans="1:1" x14ac:dyDescent="0.25">
      <c r="A31" s="5" t="str">
        <f>HYPERLINK("#'3.3.1.1-2 Enteric Methane'!A1", "3.3.1.1-2 Enteric methane")</f>
        <v>3.3.1.1-2 Enteric methane</v>
      </c>
    </row>
    <row r="32" spans="1:1" x14ac:dyDescent="0.25">
      <c r="A32" s="5" t="str">
        <f>HYPERLINK("#'4.3.1.1-2 Methane'!A1", "4.3.1.1-2 Manure methane")</f>
        <v>4.3.1.1-2 Manure methane</v>
      </c>
    </row>
    <row r="33" spans="1:1" x14ac:dyDescent="0.25">
      <c r="A33" s="5" t="str">
        <f>HYPERLINK("#'4.3.1.3-4 Direct N20'!A1", "4.3.1.3-4 Direct N20")</f>
        <v>4.3.1.3-4 Direct N20</v>
      </c>
    </row>
    <row r="34" spans="1:1" x14ac:dyDescent="0.25">
      <c r="A34" s="5" t="str">
        <f>HYPERLINK("#'4.3.1.5 Atmos deposition'!A1", "4.3.1.5 Atmos deposition")</f>
        <v>4.3.1.5 Atmos deposition</v>
      </c>
    </row>
    <row r="35" spans="1:1" x14ac:dyDescent="0.25">
      <c r="A35" s="5" t="str">
        <f>HYPERLINK("#'4.3.1.6-7 Leaching and runoff'!A1", "4.3.1.6-7 Leaching &amp; runoff")</f>
        <v>4.3.1.6-7 Leaching &amp; runoff</v>
      </c>
    </row>
    <row r="36" spans="1:1" x14ac:dyDescent="0.25">
      <c r="A36" s="5" t="str">
        <f>HYPERLINK("#'4.3.1.8 Manure applied to soils'!A1", "4.3.1.8 Manure applied to soils")</f>
        <v>4.3.1.8 Manure applied to soils</v>
      </c>
    </row>
    <row r="37" spans="1:1" x14ac:dyDescent="0.25">
      <c r="A37" s="5" t="str">
        <f>HYPERLINK("#'4.3.1.9 Soil direct N2O'!A1", "4.3.1.9 Soil direct N2O")</f>
        <v>4.3.1.9 Soil direct N2O</v>
      </c>
    </row>
    <row r="38" spans="1:1" x14ac:dyDescent="0.25">
      <c r="A38" s="5" t="str">
        <f>HYPERLINK("#'4.3.1.10-11 Soil Atmos Dep'!A1", "4.3.1.10-11 Soil Atmos Deposition")</f>
        <v>4.3.1.10-11 Soil Atmos Deposition</v>
      </c>
    </row>
    <row r="39" spans="1:1" x14ac:dyDescent="0.25">
      <c r="A39" s="5" t="str">
        <f>HYPERLINK("#'4.3.1.12-13 Soil leach runoff'!A1", "4.3.1.12-13 Soil leach &amp; runoff")</f>
        <v>4.3.1.12-13 Soil leach &amp; runoff</v>
      </c>
    </row>
    <row r="40" spans="1:1" x14ac:dyDescent="0.25">
      <c r="A40" s="5" t="str">
        <f>HYPERLINK("#'5.1.1.1-2 Inorganic fert N2O'!A1", "5.1.1.1-2 Inorganic fert N2O")</f>
        <v>5.1.1.1-2 Inorganic fert N2O</v>
      </c>
    </row>
    <row r="41" spans="1:1" x14ac:dyDescent="0.25">
      <c r="A41" s="5" t="str">
        <f>HYPERLINK("#'5.1.1.3-4 Inorganic fert CO2'!A1", "5.1.1.3-4 Inorganic fert CO2")</f>
        <v>5.1.1.3-4 Inorganic fert CO2</v>
      </c>
    </row>
    <row r="42" spans="1:1" x14ac:dyDescent="0.25">
      <c r="A42" s="5" t="str">
        <f>HYPERLINK("#'5.2.1.1-2 Organic Fert N2O'!A1", "5.2.1.1-2 Organic fert N2O")</f>
        <v>5.2.1.1-2 Organic fert N2O</v>
      </c>
    </row>
    <row r="43" spans="1:1" x14ac:dyDescent="0.25">
      <c r="A43" s="5" t="str">
        <f>HYPERLINK("#'5.3.1.1-2 Lime CO2'!A1", "5.3.1.1-2 Lime CO2")</f>
        <v>5.3.1.1-2 Lime CO2</v>
      </c>
    </row>
    <row r="44" spans="1:1" x14ac:dyDescent="0.25">
      <c r="A44" s="5" t="str">
        <f>HYPERLINK("#'5.4.1.1-4 Atmos deposition'!A1", "5.4.1.1-4 Atmos. deposition")</f>
        <v>5.4.1.1-4 Atmos. deposition</v>
      </c>
    </row>
    <row r="45" spans="1:1" x14ac:dyDescent="0.25">
      <c r="A45" s="5" t="str">
        <f>HYPERLINK("#'5.5.1.1-2 Leaching and runoff'!A1", "5.5.1.1-2 Leaching &amp; runoff")</f>
        <v>5.5.1.1-2 Leaching &amp; runoff</v>
      </c>
    </row>
    <row r="46" spans="1:1" x14ac:dyDescent="0.25">
      <c r="A46" s="5" t="str">
        <f>HYPERLINK("#'6.2.1.1-2 Pasture residue N2O'!A1", "6.2.1.1-2 Pasture residue N2O")</f>
        <v>6.2.1.1-2 Pasture residue N2O</v>
      </c>
    </row>
    <row r="47" spans="1:1" x14ac:dyDescent="0.25">
      <c r="A47" s="5" t="str">
        <f>HYPERLINK("#'6.3.1.1-2 Leach runoff pasture'!A1", "6.3.1.1-2 Leach &amp; runoff (pasture)")</f>
        <v>6.3.1.1-2 Leach &amp; runoff (pasture)</v>
      </c>
    </row>
    <row r="48" spans="1:1" x14ac:dyDescent="0.25">
      <c r="A48" s="5" t="str">
        <f>HYPERLINK("#'8.1.1.1-2 Transport fuel'!A1", "8.1.1.1-2 Transport fuel")</f>
        <v>8.1.1.1-2 Transport fuel</v>
      </c>
    </row>
    <row r="49" spans="1:1" x14ac:dyDescent="0.25">
      <c r="A49" s="5" t="str">
        <f>HYPERLINK("#'8.2.1.1-2 Stationary fuel'!A1", "8.2.1.1-2 Stationary fuel")</f>
        <v>8.2.1.1-2 Stationary fuel</v>
      </c>
    </row>
    <row r="50" spans="1:1" x14ac:dyDescent="0.25">
      <c r="A50" s="5" t="str">
        <f>HYPERLINK("#'9.1.1.1-2 Refrigerant use'!A1", "9.1.1.1-2 Refrigerant use")</f>
        <v>9.1.1.1-2 Refrigerant use</v>
      </c>
    </row>
    <row r="51" spans="1:1" x14ac:dyDescent="0.25">
      <c r="A51" s="5" t="str">
        <f>HYPERLINK("#'10.1.1-2 Solid waste treatment'!A1", "10.1.1.1-2 Solid waste")</f>
        <v>10.1.1.1-2 Solid waste</v>
      </c>
    </row>
    <row r="52" spans="1:1" x14ac:dyDescent="0.25">
      <c r="A52" s="5" t="str">
        <f>HYPERLINK("#'14.1.1-2 Purchased electricity'!A1", "14.1.1-2 Purchased electricity")</f>
        <v>14.1.1-2 Purchased electricity</v>
      </c>
    </row>
    <row r="53" spans="1:1" x14ac:dyDescent="0.25">
      <c r="A53" s="5" t="str">
        <f>HYPERLINK("#'15 Scope 3'!A1", "15 Scope 3")</f>
        <v>15 Scope 3</v>
      </c>
    </row>
    <row r="54" spans="1:1" x14ac:dyDescent="0.25">
      <c r="A54" s="5" t="str">
        <f>HYPERLINK("#'Calcs - Manure sent off-site'!A1", "Calcs - Manure sent off-site")</f>
        <v>Calcs - Manure sent off-site</v>
      </c>
    </row>
    <row r="57" spans="1:1" x14ac:dyDescent="0.25">
      <c r="A57" s="82" t="s">
        <v>1</v>
      </c>
    </row>
    <row r="58" spans="1:1" x14ac:dyDescent="0.25">
      <c r="A58" s="5" t="str">
        <f>HYPERLINK("#'Constants - Dairy'!A1", "Constants - Dairy")</f>
        <v>Constants - Dairy</v>
      </c>
    </row>
    <row r="59" spans="1:1" x14ac:dyDescent="0.25">
      <c r="A59" s="5" t="str">
        <f>HYPERLINK("#'Constants - Ag Residue'!A1", "Constants - Ag residue")</f>
        <v>Constants - Ag residue</v>
      </c>
    </row>
    <row r="60" spans="1:1" x14ac:dyDescent="0.25">
      <c r="A60" s="5" t="str">
        <f>HYPERLINK("#'Constants - Common Livestock'!A1", "Constants - Common Livestock")</f>
        <v>Constants - Common Livestock</v>
      </c>
    </row>
    <row r="61" spans="1:1" x14ac:dyDescent="0.25">
      <c r="A61" s="5" t="str">
        <f>HYPERLINK("#'Constants - Electricity'!A1", "Constants - Electricity")</f>
        <v>Constants - Electricity</v>
      </c>
    </row>
    <row r="62" spans="1:1" x14ac:dyDescent="0.25">
      <c r="A62" s="5" t="str">
        <f>HYPERLINK("#'Constants - Fertiliser'!A1", "Constants - Fertiliser")</f>
        <v>Constants - Fertiliser</v>
      </c>
    </row>
    <row r="63" spans="1:1" x14ac:dyDescent="0.25">
      <c r="A63" s="5" t="str">
        <f>HYPERLINK("#'Constants - Fuel'!A1", "Constants - Fuel")</f>
        <v>Constants - Fuel</v>
      </c>
    </row>
    <row r="64" spans="1:1" x14ac:dyDescent="0.25">
      <c r="A64" s="5" t="str">
        <f>HYPERLINK("#'Constants - Scope 3'!A1", "Constants - Scope 3")</f>
        <v>Constants - Scope 3</v>
      </c>
    </row>
    <row r="65" spans="1:1" x14ac:dyDescent="0.25">
      <c r="A65" s="5" t="str">
        <f>HYPERLINK("#'Constants - Common'!A1", "Constants - Common")</f>
        <v>Constants - Common</v>
      </c>
    </row>
    <row r="66" spans="1:1" x14ac:dyDescent="0.25">
      <c r="A66" s="5" t="str">
        <f>HYPERLINK("#'Constants - Refrigerants'!A1", "Constants - Refrigerants")</f>
        <v>Constants - Refrigerants</v>
      </c>
    </row>
    <row r="67" spans="1:1" x14ac:dyDescent="0.25">
      <c r="A67" s="5" t="str">
        <f>HYPERLINK("#'Constants - Solid Waste'!A1", "Constants - Solid Waste")</f>
        <v>Constants - Solid Waste</v>
      </c>
    </row>
    <row r="68" spans="1:1" x14ac:dyDescent="0.25">
      <c r="A68" s="5" t="str">
        <f>HYPERLINK("#'Acknowledgements'!A1", "Acknowledgements")</f>
        <v>Acknowledgements</v>
      </c>
    </row>
  </sheetData>
  <dataValidations disablePrompts="1" count="1">
    <dataValidation type="list" allowBlank="1" showInputMessage="1" showErrorMessage="1" sqref="E7:E16" xr:uid="{59D43099-548A-4C77-BC2D-53C0ECC78E95}">
      <formula1>INDIRECT("Table_LivestockClasses_Dairy[Livestock class]")</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FE723-5FF2-4687-83A5-310C73B0E99F}">
  <sheetPr>
    <tabColor theme="5" tint="-0.249977111117893"/>
  </sheetPr>
  <dimension ref="A1:J160"/>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style="259" customWidth="1"/>
    <col min="2" max="2" width="5.28515625" style="259" customWidth="1"/>
    <col min="3" max="3" width="5.28515625" style="1" customWidth="1"/>
    <col min="4" max="9" width="35" style="1" customWidth="1"/>
    <col min="10" max="10" width="5.28515625" style="1" customWidth="1"/>
    <col min="11" max="16384" width="9.140625" style="259"/>
  </cols>
  <sheetData>
    <row r="1" spans="1:10" ht="25.5" x14ac:dyDescent="0.35">
      <c r="A1" s="10" t="e" vm="1">
        <v>#VALUE!</v>
      </c>
      <c r="C1" s="10" t="s">
        <v>1189</v>
      </c>
      <c r="D1" s="10"/>
      <c r="E1" s="10"/>
      <c r="F1" s="10"/>
      <c r="G1" s="10"/>
      <c r="H1" s="10"/>
      <c r="I1" s="10"/>
      <c r="J1" s="10"/>
    </row>
    <row r="2" spans="1:10" x14ac:dyDescent="0.25">
      <c r="A2"/>
      <c r="C2" s="3"/>
      <c r="D2" s="3"/>
      <c r="E2" s="3"/>
      <c r="F2" s="3"/>
      <c r="G2" s="3"/>
      <c r="H2" s="3"/>
      <c r="I2" s="3"/>
      <c r="J2" s="3"/>
    </row>
    <row r="3" spans="1:10" ht="20.25" x14ac:dyDescent="0.25">
      <c r="A3" s="5" t="str">
        <f>HYPERLINK("#'Home'!A1", "Home")</f>
        <v>Home</v>
      </c>
      <c r="C3" s="28"/>
      <c r="D3" s="28"/>
      <c r="E3" s="28"/>
      <c r="F3" s="28"/>
      <c r="G3" s="28"/>
      <c r="H3" s="28"/>
      <c r="I3" s="28"/>
      <c r="J3" s="28"/>
    </row>
    <row r="4" spans="1:10" x14ac:dyDescent="0.25">
      <c r="A4" s="5" t="str">
        <f>HYPERLINK("#'Results - Activity period'!A1", "Results - Activity period")</f>
        <v>Results - Activity period</v>
      </c>
    </row>
    <row r="5" spans="1:10" x14ac:dyDescent="0.25">
      <c r="A5" s="5" t="str">
        <f>HYPERLINK("#'Results - Product EI'!A1", "Results - Product Emissions Intensity")</f>
        <v>Results - Product Emissions Intensity</v>
      </c>
      <c r="D5" s="79" t="s">
        <v>1190</v>
      </c>
      <c r="E5" s="246"/>
      <c r="F5" s="246"/>
      <c r="G5" s="246"/>
      <c r="H5" s="246"/>
      <c r="I5" s="246"/>
    </row>
    <row r="6" spans="1:10" x14ac:dyDescent="0.25">
      <c r="A6" s="5" t="str">
        <f>HYPERLINK("#'Results'!A1", "Results")</f>
        <v>Results</v>
      </c>
      <c r="D6" s="260" t="s">
        <v>174</v>
      </c>
      <c r="E6" s="260" t="s">
        <v>175</v>
      </c>
      <c r="F6" s="260" t="s">
        <v>1191</v>
      </c>
      <c r="G6" s="260" t="s">
        <v>1192</v>
      </c>
      <c r="H6" s="260" t="s">
        <v>1193</v>
      </c>
      <c r="I6" s="260" t="s">
        <v>1194</v>
      </c>
    </row>
    <row r="7" spans="1:10" x14ac:dyDescent="0.25">
      <c r="A7"/>
      <c r="D7" s="33" t="s">
        <v>1195</v>
      </c>
      <c r="E7" s="13" t="s">
        <v>627</v>
      </c>
      <c r="F7" s="13" t="s">
        <v>1196</v>
      </c>
      <c r="G7" s="75">
        <v>100</v>
      </c>
      <c r="H7" s="15" cm="1">
        <f t="array" ref="H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130</v>
      </c>
      <c r="I7" s="75">
        <v>350</v>
      </c>
    </row>
    <row r="8" spans="1:10" x14ac:dyDescent="0.25">
      <c r="A8"/>
      <c r="D8" s="33"/>
      <c r="E8" s="96" t="s">
        <v>334</v>
      </c>
      <c r="F8" s="13" t="s">
        <v>1197</v>
      </c>
      <c r="G8" s="75">
        <v>100</v>
      </c>
      <c r="H8" s="15" cm="1">
        <f t="array" ref="H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540</v>
      </c>
      <c r="I8" s="75">
        <v>625</v>
      </c>
    </row>
    <row r="9" spans="1:10" x14ac:dyDescent="0.25">
      <c r="A9" s="7" t="s">
        <v>0</v>
      </c>
      <c r="D9" s="33"/>
      <c r="E9" s="96" t="s">
        <v>626</v>
      </c>
      <c r="F9" s="13" t="s">
        <v>1196</v>
      </c>
      <c r="G9" s="75"/>
      <c r="H9" s="15" cm="1">
        <f t="array" ref="H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315</v>
      </c>
      <c r="I9" s="75"/>
    </row>
    <row r="10" spans="1:10" x14ac:dyDescent="0.25">
      <c r="A10" s="5" t="str">
        <f>HYPERLINK("#'Input - Enterprise'!A1", "Enterprise")</f>
        <v>Enterprise</v>
      </c>
      <c r="D10" s="33"/>
      <c r="E10" s="96"/>
      <c r="F10" s="13"/>
      <c r="G10" s="75"/>
      <c r="H10" s="15" cm="1">
        <f t="array" ref="H1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0" s="75"/>
    </row>
    <row r="11" spans="1:10" x14ac:dyDescent="0.25">
      <c r="A11" s="5" t="str">
        <f>HYPERLINK("#'Input - Site'!A1", "Site")</f>
        <v>Site</v>
      </c>
      <c r="D11" s="33"/>
      <c r="E11" s="96"/>
      <c r="F11" s="13"/>
      <c r="G11" s="75"/>
      <c r="H11" s="15" cm="1">
        <f t="array" ref="H1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1" s="75"/>
    </row>
    <row r="12" spans="1:10" x14ac:dyDescent="0.25">
      <c r="A12" s="5" t="str">
        <f>HYPERLINK("#'Input - Dairy'!A1", "Dairy")</f>
        <v>Dairy</v>
      </c>
      <c r="D12" s="33"/>
      <c r="E12" s="96"/>
      <c r="F12" s="13"/>
      <c r="G12" s="75"/>
      <c r="H12" s="15" cm="1">
        <f t="array" ref="H1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2" s="75"/>
    </row>
    <row r="13" spans="1:10" x14ac:dyDescent="0.25">
      <c r="A13" s="5" t="str">
        <f>HYPERLINK("#'Input - Livestock sales'!A1", "Livestock sales")</f>
        <v>Livestock sales</v>
      </c>
      <c r="D13" s="33"/>
      <c r="E13" s="96"/>
      <c r="F13" s="13"/>
      <c r="G13" s="75"/>
      <c r="H13" s="15" cm="1">
        <f t="array" ref="H1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3" s="75"/>
    </row>
    <row r="14" spans="1:10" x14ac:dyDescent="0.25">
      <c r="A14" s="99" t="str">
        <f>HYPERLINK("#'Input - Dairy cattle purchases'!A1", "Dairy cattle purchases")</f>
        <v>Dairy cattle purchases</v>
      </c>
      <c r="D14" s="33"/>
      <c r="E14" s="96"/>
      <c r="F14" s="13"/>
      <c r="G14" s="75"/>
      <c r="H14" s="15" cm="1">
        <f t="array" ref="H1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4" s="75"/>
    </row>
    <row r="15" spans="1:10" x14ac:dyDescent="0.25">
      <c r="A15" s="5" t="str">
        <f>HYPERLINK("#'Input - Pasture'!A1", "Pasture")</f>
        <v>Pasture</v>
      </c>
      <c r="D15" s="33"/>
      <c r="E15" s="96"/>
      <c r="F15" s="13"/>
      <c r="G15" s="75"/>
      <c r="H15" s="15" cm="1">
        <f t="array" ref="H1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5" s="75"/>
    </row>
    <row r="16" spans="1:10" x14ac:dyDescent="0.25">
      <c r="A16" s="5" t="str">
        <f>HYPERLINK("#'Input - Fert Prod System'!A1", "Fert Prod System")</f>
        <v>Fert Prod System</v>
      </c>
      <c r="D16" s="33"/>
      <c r="E16" s="96"/>
      <c r="F16" s="13"/>
      <c r="G16" s="75"/>
      <c r="H16" s="15" cm="1">
        <f t="array" ref="H1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6" s="75"/>
    </row>
    <row r="17" spans="1:1" x14ac:dyDescent="0.25">
      <c r="A17" s="5" t="str">
        <f>HYPERLINK("#'Input - Fertiliser'!A1", "Fertiliser")</f>
        <v>Fertiliser</v>
      </c>
    </row>
    <row r="18" spans="1:1" x14ac:dyDescent="0.25">
      <c r="A18" s="5" t="str">
        <f>HYPERLINK("#'Input - Fuel'!A1", "Fuel")</f>
        <v>Fuel</v>
      </c>
    </row>
    <row r="19" spans="1:1" x14ac:dyDescent="0.25">
      <c r="A19" s="5" t="str">
        <f>HYPERLINK("#'Input - Electricity'!A1", "Electricity")</f>
        <v>Electricity</v>
      </c>
    </row>
    <row r="20" spans="1:1" x14ac:dyDescent="0.25">
      <c r="A20" s="5" t="str">
        <f>HYPERLINK("#'Input - Common farm inputs'!A1", "Common farm inputs")</f>
        <v>Common farm inputs</v>
      </c>
    </row>
    <row r="21" spans="1:1" x14ac:dyDescent="0.25">
      <c r="A21" s="5" t="str">
        <f>HYPERLINK("#'Input - Crop pasture farm input'!A1", "Crop pasture farm input")</f>
        <v>Crop pasture farm input</v>
      </c>
    </row>
    <row r="22" spans="1:1" x14ac:dyDescent="0.25">
      <c r="A22" s="5" t="str">
        <f>HYPERLINK("#'Input - Livestock farm Inputs'!A1", "Livestock farm Inputs")</f>
        <v>Livestock farm Inputs</v>
      </c>
    </row>
    <row r="23" spans="1:1" x14ac:dyDescent="0.25">
      <c r="A23" s="5" t="str">
        <f>HYPERLINK("#'Input - Freight'!A1", "Freight")</f>
        <v>Freight</v>
      </c>
    </row>
    <row r="24" spans="1:1" x14ac:dyDescent="0.25">
      <c r="A24" s="5" t="str">
        <f>HYPERLINK("#'Input - Solid waste'!A1", "Solid waste")</f>
        <v>Solid waste</v>
      </c>
    </row>
    <row r="25" spans="1:1" x14ac:dyDescent="0.25">
      <c r="A25" s="5" t="str">
        <f>HYPERLINK("#'Input - Manure sent off-site'!A1", "Manure sent off-site")</f>
        <v>Manure sent off-site</v>
      </c>
    </row>
    <row r="26" spans="1:1" x14ac:dyDescent="0.25">
      <c r="A26" s="5" t="str">
        <f>HYPERLINK("#'Input - Refrigerants'!A1", "Refrigerants")</f>
        <v>Refrigerants</v>
      </c>
    </row>
    <row r="27" spans="1:1" x14ac:dyDescent="0.25">
      <c r="A27" s="5" t="str">
        <f>HYPERLINK("#'Input - Data quality'!A1", "Data quality")</f>
        <v>Data quality</v>
      </c>
    </row>
    <row r="28" spans="1:1" x14ac:dyDescent="0.25">
      <c r="A28"/>
    </row>
    <row r="29" spans="1:1" x14ac:dyDescent="0.25">
      <c r="A29"/>
    </row>
    <row r="30" spans="1:1" x14ac:dyDescent="0.25">
      <c r="A30" s="6" t="s">
        <v>2</v>
      </c>
    </row>
    <row r="31" spans="1:1" x14ac:dyDescent="0.25">
      <c r="A31" s="5" t="str">
        <f>HYPERLINK("#'3.3.1.1-2 Enteric Methane'!A1", "3.3.1.1-2 Enteric methane")</f>
        <v>3.3.1.1-2 Enteric methane</v>
      </c>
    </row>
    <row r="32" spans="1:1" x14ac:dyDescent="0.25">
      <c r="A32" s="5" t="str">
        <f>HYPERLINK("#'4.3.1.1-2 Methane'!A1", "4.3.1.1-2 Manure methane")</f>
        <v>4.3.1.1-2 Manure methane</v>
      </c>
    </row>
    <row r="33" spans="1:1" x14ac:dyDescent="0.25">
      <c r="A33" s="5" t="str">
        <f>HYPERLINK("#'4.3.1.3-4 Direct N20'!A1", "4.3.1.3-4 Direct N20")</f>
        <v>4.3.1.3-4 Direct N20</v>
      </c>
    </row>
    <row r="34" spans="1:1" x14ac:dyDescent="0.25">
      <c r="A34" s="5" t="str">
        <f>HYPERLINK("#'4.3.1.5 Atmos deposition'!A1", "4.3.1.5 Atmos deposition")</f>
        <v>4.3.1.5 Atmos deposition</v>
      </c>
    </row>
    <row r="35" spans="1:1" x14ac:dyDescent="0.25">
      <c r="A35" s="5" t="str">
        <f>HYPERLINK("#'4.3.1.6-7 Leaching and runoff'!A1", "4.3.1.6-7 Leaching &amp; runoff")</f>
        <v>4.3.1.6-7 Leaching &amp; runoff</v>
      </c>
    </row>
    <row r="36" spans="1:1" x14ac:dyDescent="0.25">
      <c r="A36" s="5" t="str">
        <f>HYPERLINK("#'4.3.1.8 Manure applied to soils'!A1", "4.3.1.8 Manure applied to soils")</f>
        <v>4.3.1.8 Manure applied to soils</v>
      </c>
    </row>
    <row r="37" spans="1:1" x14ac:dyDescent="0.25">
      <c r="A37" s="5" t="str">
        <f>HYPERLINK("#'4.3.1.9 Soil direct N2O'!A1", "4.3.1.9 Soil direct N2O")</f>
        <v>4.3.1.9 Soil direct N2O</v>
      </c>
    </row>
    <row r="38" spans="1:1" x14ac:dyDescent="0.25">
      <c r="A38" s="5" t="str">
        <f>HYPERLINK("#'4.3.1.10-11 Soil Atmos Dep'!A1", "4.3.1.10-11 Soil Atmos Deposition")</f>
        <v>4.3.1.10-11 Soil Atmos Deposition</v>
      </c>
    </row>
    <row r="39" spans="1:1" x14ac:dyDescent="0.25">
      <c r="A39" s="5" t="str">
        <f>HYPERLINK("#'4.3.1.12-13 Soil leach runoff'!A1", "4.3.1.12-13 Soil leach &amp; runoff")</f>
        <v>4.3.1.12-13 Soil leach &amp; runoff</v>
      </c>
    </row>
    <row r="40" spans="1:1" x14ac:dyDescent="0.25">
      <c r="A40" s="5" t="str">
        <f>HYPERLINK("#'5.1.1.1-2 Inorganic fert N2O'!A1", "5.1.1.1-2 Inorganic fert N2O")</f>
        <v>5.1.1.1-2 Inorganic fert N2O</v>
      </c>
    </row>
    <row r="41" spans="1:1" x14ac:dyDescent="0.25">
      <c r="A41" s="5" t="str">
        <f>HYPERLINK("#'5.1.1.3-4 Inorganic fert CO2'!A1", "5.1.1.3-4 Inorganic fert CO2")</f>
        <v>5.1.1.3-4 Inorganic fert CO2</v>
      </c>
    </row>
    <row r="42" spans="1:1" x14ac:dyDescent="0.25">
      <c r="A42" s="5" t="str">
        <f>HYPERLINK("#'5.2.1.1-2 Organic Fert N2O'!A1", "5.2.1.1-2 Organic fert N2O")</f>
        <v>5.2.1.1-2 Organic fert N2O</v>
      </c>
    </row>
    <row r="43" spans="1:1" x14ac:dyDescent="0.25">
      <c r="A43" s="5" t="str">
        <f>HYPERLINK("#'5.3.1.1-2 Lime CO2'!A1", "5.3.1.1-2 Lime CO2")</f>
        <v>5.3.1.1-2 Lime CO2</v>
      </c>
    </row>
    <row r="44" spans="1:1" x14ac:dyDescent="0.25">
      <c r="A44" s="5" t="str">
        <f>HYPERLINK("#'5.4.1.1-4 Atmos deposition'!A1", "5.4.1.1-4 Atmos. deposition")</f>
        <v>5.4.1.1-4 Atmos. deposition</v>
      </c>
    </row>
    <row r="45" spans="1:1" x14ac:dyDescent="0.25">
      <c r="A45" s="5" t="str">
        <f>HYPERLINK("#'5.5.1.1-2 Leaching and runoff'!A1", "5.5.1.1-2 Leaching &amp; runoff")</f>
        <v>5.5.1.1-2 Leaching &amp; runoff</v>
      </c>
    </row>
    <row r="46" spans="1:1" x14ac:dyDescent="0.25">
      <c r="A46" s="5" t="str">
        <f>HYPERLINK("#'6.2.1.1-2 Pasture residue N2O'!A1", "6.2.1.1-2 Pasture residue N2O")</f>
        <v>6.2.1.1-2 Pasture residue N2O</v>
      </c>
    </row>
    <row r="47" spans="1:1" x14ac:dyDescent="0.25">
      <c r="A47" s="5" t="str">
        <f>HYPERLINK("#'6.3.1.1-2 Leach runoff pasture'!A1", "6.3.1.1-2 Leach &amp; runoff (pasture)")</f>
        <v>6.3.1.1-2 Leach &amp; runoff (pasture)</v>
      </c>
    </row>
    <row r="48" spans="1:1" x14ac:dyDescent="0.25">
      <c r="A48" s="5" t="str">
        <f>HYPERLINK("#'8.1.1.1-2 Transport fuel'!A1", "8.1.1.1-2 Transport fuel")</f>
        <v>8.1.1.1-2 Transport fuel</v>
      </c>
    </row>
    <row r="49" spans="1:1" x14ac:dyDescent="0.25">
      <c r="A49" s="5" t="str">
        <f>HYPERLINK("#'8.2.1.1-2 Stationary fuel'!A1", "8.2.1.1-2 Stationary fuel")</f>
        <v>8.2.1.1-2 Stationary fuel</v>
      </c>
    </row>
    <row r="50" spans="1:1" x14ac:dyDescent="0.25">
      <c r="A50" s="5" t="str">
        <f>HYPERLINK("#'9.1.1.1-2 Refrigerant use'!A1", "9.1.1.1-2 Refrigerant use")</f>
        <v>9.1.1.1-2 Refrigerant use</v>
      </c>
    </row>
    <row r="51" spans="1:1" x14ac:dyDescent="0.25">
      <c r="A51" s="5" t="str">
        <f>HYPERLINK("#'10.1.1-2 Solid waste treatment'!A1", "10.1.1.1-2 Solid waste")</f>
        <v>10.1.1.1-2 Solid waste</v>
      </c>
    </row>
    <row r="52" spans="1:1" x14ac:dyDescent="0.25">
      <c r="A52" s="5" t="str">
        <f>HYPERLINK("#'14.1.1-2 Purchased electricity'!A1", "14.1.1-2 Purchased electricity")</f>
        <v>14.1.1-2 Purchased electricity</v>
      </c>
    </row>
    <row r="53" spans="1:1" x14ac:dyDescent="0.25">
      <c r="A53" s="5" t="str">
        <f>HYPERLINK("#'15 Scope 3'!A1", "15 Scope 3")</f>
        <v>15 Scope 3</v>
      </c>
    </row>
    <row r="54" spans="1:1" x14ac:dyDescent="0.25">
      <c r="A54" s="5" t="str">
        <f>HYPERLINK("#'Calcs - Manure sent off-site'!A1", "Calcs - Manure sent off-site")</f>
        <v>Calcs - Manure sent off-site</v>
      </c>
    </row>
    <row r="55" spans="1:1" x14ac:dyDescent="0.25">
      <c r="A55"/>
    </row>
    <row r="56" spans="1:1" x14ac:dyDescent="0.25">
      <c r="A56"/>
    </row>
    <row r="57" spans="1:1" x14ac:dyDescent="0.25">
      <c r="A57" s="82" t="s">
        <v>1</v>
      </c>
    </row>
    <row r="58" spans="1:1" x14ac:dyDescent="0.25">
      <c r="A58" s="5" t="str">
        <f>HYPERLINK("#'Constants - Dairy'!A1", "Constants - Dairy")</f>
        <v>Constants - Dairy</v>
      </c>
    </row>
    <row r="59" spans="1:1" x14ac:dyDescent="0.25">
      <c r="A59" s="5" t="str">
        <f>HYPERLINK("#'Constants - Ag Residue'!A1", "Constants - Ag residue")</f>
        <v>Constants - Ag residue</v>
      </c>
    </row>
    <row r="60" spans="1:1" x14ac:dyDescent="0.25">
      <c r="A60" s="5" t="str">
        <f>HYPERLINK("#'Constants - Common Livestock'!A1", "Constants - Common Livestock")</f>
        <v>Constants - Common Livestock</v>
      </c>
    </row>
    <row r="61" spans="1:1" x14ac:dyDescent="0.25">
      <c r="A61" s="5" t="str">
        <f>HYPERLINK("#'Constants - Electricity'!A1", "Constants - Electricity")</f>
        <v>Constants - Electricity</v>
      </c>
    </row>
    <row r="62" spans="1:1" x14ac:dyDescent="0.25">
      <c r="A62" s="5" t="str">
        <f>HYPERLINK("#'Constants - Fertiliser'!A1", "Constants - Fertiliser")</f>
        <v>Constants - Fertiliser</v>
      </c>
    </row>
    <row r="63" spans="1:1" x14ac:dyDescent="0.25">
      <c r="A63" s="5" t="str">
        <f>HYPERLINK("#'Constants - Fuel'!A1", "Constants - Fuel")</f>
        <v>Constants - Fuel</v>
      </c>
    </row>
    <row r="64" spans="1:1" x14ac:dyDescent="0.25">
      <c r="A64" s="5" t="str">
        <f>HYPERLINK("#'Constants - Scope 3'!A1", "Constants - Scope 3")</f>
        <v>Constants - Scope 3</v>
      </c>
    </row>
    <row r="65" spans="1:1" x14ac:dyDescent="0.25">
      <c r="A65" s="5" t="str">
        <f>HYPERLINK("#'Constants - Common'!A1", "Constants - Common")</f>
        <v>Constants - Common</v>
      </c>
    </row>
    <row r="66" spans="1:1" x14ac:dyDescent="0.25">
      <c r="A66" s="5" t="str">
        <f>HYPERLINK("#'Constants - Refrigerants'!A1", "Constants - Refrigerants")</f>
        <v>Constants - Refrigerants</v>
      </c>
    </row>
    <row r="67" spans="1:1" x14ac:dyDescent="0.25">
      <c r="A67" s="5" t="str">
        <f>HYPERLINK("#'Constants - Solid Waste'!A1", "Constants - Solid Waste")</f>
        <v>Constants - Solid Waste</v>
      </c>
    </row>
    <row r="68" spans="1:1" x14ac:dyDescent="0.25">
      <c r="A68" s="5" t="str">
        <f>HYPERLINK("#'Acknowledgements'!A1", "Acknowledgements")</f>
        <v>Acknowledgements</v>
      </c>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2">
    <dataValidation type="list" allowBlank="1" showInputMessage="1" showErrorMessage="1" sqref="E7:E16" xr:uid="{36BECF1A-3D56-4912-8E57-550A78F94C9A}">
      <formula1>INDIRECT("Table_SourceData_Dairy_WjCowsHeifers[[#Headers],[Milking cows]:[Heifers &lt; 1 (weaned)]]")</formula1>
    </dataValidation>
    <dataValidation type="list" allowBlank="1" showInputMessage="1" showErrorMessage="1" sqref="F7:F16" xr:uid="{3E886F9D-B136-4F2E-84DF-7A0E90291E94}">
      <formula1>INDIRECT("Table_SourceData_Dairy_WjCowsHeifers[Breed]")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0F0E-079B-449E-844C-1309116A44A4}">
  <sheetPr>
    <tabColor theme="5" tint="-0.249977111117893"/>
  </sheetPr>
  <dimension ref="A1:G68"/>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10" t="e" vm="1">
        <v>#VALUE!</v>
      </c>
      <c r="C1" s="10" t="s">
        <v>1128</v>
      </c>
      <c r="D1" s="10"/>
      <c r="E1" s="10"/>
      <c r="F1" s="10"/>
      <c r="G1" s="10"/>
    </row>
    <row r="2" spans="1:7" ht="20.100000000000001" customHeight="1" x14ac:dyDescent="0.25">
      <c r="C2" s="3"/>
      <c r="D2" s="3"/>
      <c r="E2" s="3"/>
      <c r="F2" s="3"/>
      <c r="G2" s="3"/>
    </row>
    <row r="3" spans="1:7" ht="20.100000000000001" customHeight="1" x14ac:dyDescent="0.25">
      <c r="A3" s="5" t="str">
        <f>HYPERLINK("#'Home'!A1", "Home")</f>
        <v>Home</v>
      </c>
      <c r="C3" s="28"/>
      <c r="D3" s="28"/>
      <c r="E3" s="28"/>
      <c r="F3" s="28"/>
      <c r="G3" s="28"/>
    </row>
    <row r="4" spans="1:7" ht="20.100000000000001" customHeight="1" x14ac:dyDescent="0.25">
      <c r="A4" s="5" t="str">
        <f>HYPERLINK("#'Results - Activity period'!A1", "Results - Activity period")</f>
        <v>Results - Activity period</v>
      </c>
    </row>
    <row r="5" spans="1:7" ht="20.100000000000001" customHeight="1" x14ac:dyDescent="0.25">
      <c r="A5" s="5" t="str">
        <f>HYPERLINK("#'Results - Product EI'!A1", "Results - Product Emissions Intensity")</f>
        <v>Results - Product Emissions Intensity</v>
      </c>
      <c r="D5" s="2" t="s">
        <v>648</v>
      </c>
    </row>
    <row r="6" spans="1:7" ht="20.100000000000001" customHeight="1" x14ac:dyDescent="0.25">
      <c r="A6" s="5" t="str">
        <f>HYPERLINK("#'Results'!A1", "Results")</f>
        <v>Results</v>
      </c>
    </row>
    <row r="7" spans="1:7" ht="20.100000000000001" customHeight="1" x14ac:dyDescent="0.25">
      <c r="D7" s="69" t="s">
        <v>1129</v>
      </c>
      <c r="E7" s="69"/>
      <c r="F7" s="69"/>
    </row>
    <row r="8" spans="1:7" ht="20.100000000000001" customHeight="1" x14ac:dyDescent="0.25"/>
    <row r="9" spans="1:7" ht="20.100000000000001" customHeight="1" x14ac:dyDescent="0.25">
      <c r="A9" s="7" t="s">
        <v>0</v>
      </c>
      <c r="D9" s="1" t="s">
        <v>1130</v>
      </c>
      <c r="E9" s="13" t="s">
        <v>1131</v>
      </c>
      <c r="F9" s="16" t="s">
        <v>1132</v>
      </c>
    </row>
    <row r="10" spans="1:7" ht="20.100000000000001" customHeight="1" x14ac:dyDescent="0.25">
      <c r="A10" s="5" t="str">
        <f>HYPERLINK("#'Input - Enterprise'!A1", "Enterprise")</f>
        <v>Enterprise</v>
      </c>
      <c r="D10" s="1" t="s">
        <v>63</v>
      </c>
      <c r="E10" s="13" t="s">
        <v>624</v>
      </c>
      <c r="F10" s="16" t="s">
        <v>1132</v>
      </c>
    </row>
    <row r="11" spans="1:7" ht="20.100000000000001" customHeight="1" x14ac:dyDescent="0.25">
      <c r="A11" s="5" t="str">
        <f>HYPERLINK("#'Input - Site'!A1", "Site")</f>
        <v>Site</v>
      </c>
    </row>
    <row r="12" spans="1:7" ht="20.100000000000001" customHeight="1" x14ac:dyDescent="0.25">
      <c r="A12" s="5" t="str">
        <f>HYPERLINK("#'Input - Dairy'!A1", "Dairy")</f>
        <v>Dairy</v>
      </c>
      <c r="D12" s="1" t="s">
        <v>1133</v>
      </c>
      <c r="E12" s="75">
        <v>1000</v>
      </c>
      <c r="F12" s="16" t="s">
        <v>1134</v>
      </c>
    </row>
    <row r="13" spans="1:7" ht="20.100000000000001" customHeight="1" x14ac:dyDescent="0.25">
      <c r="A13" s="5" t="str">
        <f>HYPERLINK("#'Input - Livestock sales'!A1", "Livestock sales")</f>
        <v>Livestock sales</v>
      </c>
    </row>
    <row r="14" spans="1:7" ht="20.100000000000001" customHeight="1" x14ac:dyDescent="0.25">
      <c r="A14" s="5" t="str">
        <f>HYPERLINK("#'Input - Dairy cattle purchases'!A1", "Dairy cattle purchases")</f>
        <v>Dairy cattle purchases</v>
      </c>
      <c r="D14" s="2" t="s">
        <v>1135</v>
      </c>
    </row>
    <row r="15" spans="1:7" ht="20.100000000000001" customHeight="1" x14ac:dyDescent="0.25">
      <c r="A15" s="99" t="str">
        <f>HYPERLINK("#'Input - Pasture'!A1", "Pasture")</f>
        <v>Pasture</v>
      </c>
    </row>
    <row r="16" spans="1:7" ht="20.100000000000001" customHeight="1" x14ac:dyDescent="0.25">
      <c r="A16" s="5" t="str">
        <f>HYPERLINK("#'Input - Fert Prod System'!A1", "Fert Prod System")</f>
        <v>Fert Prod System</v>
      </c>
      <c r="D16" s="252" t="s">
        <v>1136</v>
      </c>
      <c r="E16" s="43"/>
      <c r="F16" s="44"/>
    </row>
    <row r="17" spans="1:6" ht="20.100000000000001" customHeight="1" x14ac:dyDescent="0.25">
      <c r="A17" s="5" t="str">
        <f>HYPERLINK("#'Input - Fertiliser'!A1", "Fertiliser")</f>
        <v>Fertiliser</v>
      </c>
      <c r="D17" s="45" t="s">
        <v>1137</v>
      </c>
      <c r="E17" s="46"/>
      <c r="F17" s="47"/>
    </row>
    <row r="18" spans="1:6" ht="20.100000000000001" customHeight="1" x14ac:dyDescent="0.25">
      <c r="A18" s="5" t="str">
        <f>HYPERLINK("#'Input - Fuel'!A1", "Fuel")</f>
        <v>Fuel</v>
      </c>
    </row>
    <row r="19" spans="1:6" ht="20.100000000000001" customHeight="1" x14ac:dyDescent="0.25">
      <c r="A19" s="5" t="str">
        <f>HYPERLINK("#'Input - Electricity'!A1", "Electricity")</f>
        <v>Electricity</v>
      </c>
      <c r="D19" s="1" t="s">
        <v>1138</v>
      </c>
      <c r="E19" s="75">
        <f>_xlfn.XLOOKUP(X_Cell_Pasture_PastureType, Table_SourceData_PastureAttributes[Pasture type],Table_SourceData_PastureAttributes[Average Yield (t DM ha) Yp])</f>
        <v>8.34</v>
      </c>
      <c r="F19" s="16" t="s">
        <v>1139</v>
      </c>
    </row>
    <row r="20" spans="1:6" ht="20.100000000000001" customHeight="1" x14ac:dyDescent="0.25">
      <c r="A20" s="5" t="str">
        <f>HYPERLINK("#'Input - Common farm inputs'!A1", "Common farm inputs")</f>
        <v>Common farm inputs</v>
      </c>
      <c r="D20" s="1" t="s">
        <v>1140</v>
      </c>
      <c r="E20" s="15">
        <f>X_Cell_Pasture_AreaUnderPasture*X_Cell_Pasture_YieldPerHectare</f>
        <v>8340</v>
      </c>
      <c r="F20" s="16" t="s">
        <v>1141</v>
      </c>
    </row>
    <row r="21" spans="1:6" ht="20.100000000000001" customHeight="1" x14ac:dyDescent="0.25">
      <c r="A21" s="5" t="str">
        <f>HYPERLINK("#'Input - Crop pasture farm input'!A1", "Crop pasture farm input")</f>
        <v>Crop pasture farm input</v>
      </c>
    </row>
    <row r="22" spans="1:6" ht="20.100000000000001" customHeight="1" x14ac:dyDescent="0.25">
      <c r="A22" s="5" t="str">
        <f>HYPERLINK("#'Input - Livestock farm Inputs'!A1", "Livestock farm Inputs")</f>
        <v>Livestock farm Inputs</v>
      </c>
    </row>
    <row r="23" spans="1:6" ht="20.100000000000001" customHeight="1" x14ac:dyDescent="0.25">
      <c r="A23" s="5" t="str">
        <f>HYPERLINK("#'Input - Freight'!A1", "Freight")</f>
        <v>Freight</v>
      </c>
      <c r="D23" s="2" t="s">
        <v>1142</v>
      </c>
    </row>
    <row r="24" spans="1:6" ht="20.100000000000001" customHeight="1" x14ac:dyDescent="0.25">
      <c r="A24" s="5" t="str">
        <f>HYPERLINK("#'Input - Solid waste'!A1", "Solid waste")</f>
        <v>Solid waste</v>
      </c>
    </row>
    <row r="25" spans="1:6" ht="20.100000000000001" customHeight="1" x14ac:dyDescent="0.25">
      <c r="A25" s="5" t="str">
        <f>HYPERLINK("#'Input - Manure sent off-site'!A1", "Manure sent off-site")</f>
        <v>Manure sent off-site</v>
      </c>
      <c r="D25" s="1" t="s">
        <v>1143</v>
      </c>
      <c r="E25" s="75">
        <v>500</v>
      </c>
      <c r="F25" s="16" t="s">
        <v>1134</v>
      </c>
    </row>
    <row r="26" spans="1:6" ht="20.100000000000001" customHeight="1" x14ac:dyDescent="0.25">
      <c r="A26" s="5" t="str">
        <f>HYPERLINK("#'Input - Refrigerants'!A1", "Refrigerants")</f>
        <v>Refrigerants</v>
      </c>
    </row>
    <row r="27" spans="1:6" ht="20.100000000000001" customHeight="1" x14ac:dyDescent="0.25">
      <c r="A27" s="5" t="str">
        <f>HYPERLINK("#'Input - Data quality'!A1", "Data quality")</f>
        <v>Data quality</v>
      </c>
    </row>
    <row r="28" spans="1:6" ht="20.100000000000001" customHeight="1" x14ac:dyDescent="0.25"/>
    <row r="29" spans="1:6" ht="20.100000000000001" customHeight="1" x14ac:dyDescent="0.25"/>
    <row r="30" spans="1:6" ht="20.100000000000001" customHeight="1" x14ac:dyDescent="0.25">
      <c r="A30" s="6" t="s">
        <v>2</v>
      </c>
    </row>
    <row r="31" spans="1:6" ht="20.100000000000001" customHeight="1" x14ac:dyDescent="0.25">
      <c r="A31" s="5" t="str">
        <f>HYPERLINK("#'3.3.1.1-2 Enteric Methane'!A1", "3.3.1.1-2 Enteric methane")</f>
        <v>3.3.1.1-2 Enteric methane</v>
      </c>
    </row>
    <row r="32" spans="1:6" ht="20.100000000000001" customHeight="1" x14ac:dyDescent="0.25">
      <c r="A32" s="5" t="str">
        <f>HYPERLINK("#'4.3.1.1-2 Methane'!A1", "4.3.1.1-2 Manure methane")</f>
        <v>4.3.1.1-2 Manure methane</v>
      </c>
    </row>
    <row r="33" spans="1:1" ht="20.100000000000001" customHeight="1" x14ac:dyDescent="0.25">
      <c r="A33" s="5" t="str">
        <f>HYPERLINK("#'4.3.1.3-4 Direct N20'!A1", "4.3.1.3-4 Direct N20")</f>
        <v>4.3.1.3-4 Direct N20</v>
      </c>
    </row>
    <row r="34" spans="1:1" ht="20.100000000000001" customHeight="1" x14ac:dyDescent="0.25">
      <c r="A34" s="5" t="str">
        <f>HYPERLINK("#'4.3.1.5 Atmos deposition'!A1", "4.3.1.5 Atmos deposition")</f>
        <v>4.3.1.5 Atmos deposition</v>
      </c>
    </row>
    <row r="35" spans="1:1" ht="20.100000000000001" customHeight="1" x14ac:dyDescent="0.25">
      <c r="A35" s="5" t="str">
        <f>HYPERLINK("#'4.3.1.6-7 Leaching and runoff'!A1", "4.3.1.6-7 Leaching &amp; runoff")</f>
        <v>4.3.1.6-7 Leaching &amp; runoff</v>
      </c>
    </row>
    <row r="36" spans="1:1" ht="20.100000000000001" customHeight="1" x14ac:dyDescent="0.25">
      <c r="A36" s="5" t="str">
        <f>HYPERLINK("#'4.3.1.8 Manure applied to soils'!A1", "4.3.1.8 Manure applied to soils")</f>
        <v>4.3.1.8 Manure applied to soils</v>
      </c>
    </row>
    <row r="37" spans="1:1" ht="20.100000000000001" customHeight="1" x14ac:dyDescent="0.25">
      <c r="A37" s="5" t="str">
        <f>HYPERLINK("#'4.3.1.9 Soil direct N2O'!A1", "4.3.1.9 Soil direct N2O")</f>
        <v>4.3.1.9 Soil direct N2O</v>
      </c>
    </row>
    <row r="38" spans="1:1" ht="20.100000000000001" customHeight="1" x14ac:dyDescent="0.25">
      <c r="A38" s="5" t="str">
        <f>HYPERLINK("#'4.3.1.10-11 Soil Atmos Dep'!A1", "4.3.1.10-11 Soil Atmos Deposition")</f>
        <v>4.3.1.10-11 Soil Atmos Deposition</v>
      </c>
    </row>
    <row r="39" spans="1:1" ht="20.100000000000001" customHeight="1" x14ac:dyDescent="0.25">
      <c r="A39" s="5" t="str">
        <f>HYPERLINK("#'4.3.1.12-13 Soil leach runoff'!A1", "4.3.1.12-13 Soil leach &amp; runoff")</f>
        <v>4.3.1.12-13 Soil leach &amp; runoff</v>
      </c>
    </row>
    <row r="40" spans="1:1" x14ac:dyDescent="0.25">
      <c r="A40" s="5" t="str">
        <f>HYPERLINK("#'5.1.1.1-2 Inorganic fert N2O'!A1", "5.1.1.1-2 Inorganic fert N2O")</f>
        <v>5.1.1.1-2 Inorganic fert N2O</v>
      </c>
    </row>
    <row r="41" spans="1:1" x14ac:dyDescent="0.25">
      <c r="A41" s="5" t="str">
        <f>HYPERLINK("#'5.1.1.3-4 Inorganic fert CO2'!A1", "5.1.1.3-4 Inorganic fert CO2")</f>
        <v>5.1.1.3-4 Inorganic fert CO2</v>
      </c>
    </row>
    <row r="42" spans="1:1" x14ac:dyDescent="0.25">
      <c r="A42" s="5" t="str">
        <f>HYPERLINK("#'5.2.1.1-2 Organic Fert N2O'!A1", "5.2.1.1-2 Organic fert N2O")</f>
        <v>5.2.1.1-2 Organic fert N2O</v>
      </c>
    </row>
    <row r="43" spans="1:1" x14ac:dyDescent="0.25">
      <c r="A43" s="5" t="str">
        <f>HYPERLINK("#'5.3.1.1-2 Lime CO2'!A1", "5.3.1.1-2 Lime CO2")</f>
        <v>5.3.1.1-2 Lime CO2</v>
      </c>
    </row>
    <row r="44" spans="1:1" x14ac:dyDescent="0.25">
      <c r="A44" s="5" t="str">
        <f>HYPERLINK("#'5.4.1.1-4 Atmos deposition'!A1", "5.4.1.1-4 Atmos. deposition")</f>
        <v>5.4.1.1-4 Atmos. deposition</v>
      </c>
    </row>
    <row r="45" spans="1:1" x14ac:dyDescent="0.25">
      <c r="A45" s="5" t="str">
        <f>HYPERLINK("#'5.5.1.1-2 Leaching and runoff'!A1", "5.5.1.1-2 Leaching &amp; runoff")</f>
        <v>5.5.1.1-2 Leaching &amp; runoff</v>
      </c>
    </row>
    <row r="46" spans="1:1" x14ac:dyDescent="0.25">
      <c r="A46" s="5" t="str">
        <f>HYPERLINK("#'6.2.1.1-2 Pasture residue N2O'!A1", "6.2.1.1-2 Pasture residue N2O")</f>
        <v>6.2.1.1-2 Pasture residue N2O</v>
      </c>
    </row>
    <row r="47" spans="1:1" x14ac:dyDescent="0.25">
      <c r="A47" s="5" t="str">
        <f>HYPERLINK("#'6.3.1.1-2 Leach runoff pasture'!A1", "6.3.1.1-2 Leach &amp; runoff (pasture)")</f>
        <v>6.3.1.1-2 Leach &amp; runoff (pasture)</v>
      </c>
    </row>
    <row r="48" spans="1:1" x14ac:dyDescent="0.25">
      <c r="A48" s="5" t="str">
        <f>HYPERLINK("#'8.1.1.1-2 Transport fuel'!A1", "8.1.1.1-2 Transport fuel")</f>
        <v>8.1.1.1-2 Transport fuel</v>
      </c>
    </row>
    <row r="49" spans="1:1" x14ac:dyDescent="0.25">
      <c r="A49" s="5" t="str">
        <f>HYPERLINK("#'8.2.1.1-2 Stationary fuel'!A1", "8.2.1.1-2 Stationary fuel")</f>
        <v>8.2.1.1-2 Stationary fuel</v>
      </c>
    </row>
    <row r="50" spans="1:1" x14ac:dyDescent="0.25">
      <c r="A50" s="5" t="str">
        <f>HYPERLINK("#'9.1.1.1-2 Refrigerant use'!A1", "9.1.1.1-2 Refrigerant use")</f>
        <v>9.1.1.1-2 Refrigerant use</v>
      </c>
    </row>
    <row r="51" spans="1:1" x14ac:dyDescent="0.25">
      <c r="A51" s="5" t="str">
        <f>HYPERLINK("#'10.1.1-2 Solid waste treatment'!A1", "10.1.1.1-2 Solid waste")</f>
        <v>10.1.1.1-2 Solid waste</v>
      </c>
    </row>
    <row r="52" spans="1:1" x14ac:dyDescent="0.25">
      <c r="A52" s="5" t="str">
        <f>HYPERLINK("#'14.1.1-2 Purchased electricity'!A1", "14.1.1-2 Purchased electricity")</f>
        <v>14.1.1-2 Purchased electricity</v>
      </c>
    </row>
    <row r="53" spans="1:1" x14ac:dyDescent="0.25">
      <c r="A53" s="5" t="str">
        <f>HYPERLINK("#'15 Scope 3'!A1", "15 Scope 3")</f>
        <v>15 Scope 3</v>
      </c>
    </row>
    <row r="54" spans="1:1" x14ac:dyDescent="0.25">
      <c r="A54" s="5" t="str">
        <f>HYPERLINK("#'Calcs - Manure sent off-site'!A1", "Calcs - Manure sent off-site")</f>
        <v>Calcs - Manure sent off-site</v>
      </c>
    </row>
    <row r="57" spans="1:1" x14ac:dyDescent="0.25">
      <c r="A57" s="82" t="s">
        <v>1</v>
      </c>
    </row>
    <row r="58" spans="1:1" x14ac:dyDescent="0.25">
      <c r="A58" s="5" t="str">
        <f>HYPERLINK("#'Constants - Dairy'!A1", "Constants - Dairy")</f>
        <v>Constants - Dairy</v>
      </c>
    </row>
    <row r="59" spans="1:1" x14ac:dyDescent="0.25">
      <c r="A59" s="5" t="str">
        <f>HYPERLINK("#'Constants - Ag Residue'!A1", "Constants - Ag residue")</f>
        <v>Constants - Ag residue</v>
      </c>
    </row>
    <row r="60" spans="1:1" x14ac:dyDescent="0.25">
      <c r="A60" s="5" t="str">
        <f>HYPERLINK("#'Constants - Common Livestock'!A1", "Constants - Common Livestock")</f>
        <v>Constants - Common Livestock</v>
      </c>
    </row>
    <row r="61" spans="1:1" x14ac:dyDescent="0.25">
      <c r="A61" s="5" t="str">
        <f>HYPERLINK("#'Constants - Electricity'!A1", "Constants - Electricity")</f>
        <v>Constants - Electricity</v>
      </c>
    </row>
    <row r="62" spans="1:1" x14ac:dyDescent="0.25">
      <c r="A62" s="5" t="str">
        <f>HYPERLINK("#'Constants - Fertiliser'!A1", "Constants - Fertiliser")</f>
        <v>Constants - Fertiliser</v>
      </c>
    </row>
    <row r="63" spans="1:1" x14ac:dyDescent="0.25">
      <c r="A63" s="5" t="str">
        <f>HYPERLINK("#'Constants - Fuel'!A1", "Constants - Fuel")</f>
        <v>Constants - Fuel</v>
      </c>
    </row>
    <row r="64" spans="1:1" x14ac:dyDescent="0.25">
      <c r="A64" s="5" t="str">
        <f>HYPERLINK("#'Constants - Scope 3'!A1", "Constants - Scope 3")</f>
        <v>Constants - Scope 3</v>
      </c>
    </row>
    <row r="65" spans="1:1" x14ac:dyDescent="0.25">
      <c r="A65" s="5" t="str">
        <f>HYPERLINK("#'Constants - Common'!A1", "Constants - Common")</f>
        <v>Constants - Common</v>
      </c>
    </row>
    <row r="66" spans="1:1" x14ac:dyDescent="0.25">
      <c r="A66" s="5" t="str">
        <f>HYPERLINK("#'Constants - Refrigerants'!A1", "Constants - Refrigerants")</f>
        <v>Constants - Refrigerants</v>
      </c>
    </row>
    <row r="67" spans="1:1" x14ac:dyDescent="0.25">
      <c r="A67" s="5" t="str">
        <f>HYPERLINK("#'Constants - Solid Waste'!A1", "Constants - Solid Waste")</f>
        <v>Constants - Solid Waste</v>
      </c>
    </row>
    <row r="68" spans="1:1" x14ac:dyDescent="0.25">
      <c r="A68" s="5" t="str">
        <f>HYPERLINK("#'Acknowledgements'!A1", "Acknowledgements")</f>
        <v>Acknowledgements</v>
      </c>
    </row>
  </sheetData>
  <conditionalFormatting sqref="D16:G16">
    <cfRule type="expression" dxfId="90" priority="1">
      <formula>$D$24&gt;$D$11</formula>
    </cfRule>
  </conditionalFormatting>
  <dataValidations count="2">
    <dataValidation type="list" allowBlank="1" showInputMessage="1" showErrorMessage="1" sqref="E10" xr:uid="{65B18AE8-55A9-480C-9CDF-B78459911475}">
      <formula1>INDIRECT("Table_SourceData_Fertiliser_IrrigationMethods[Irrigation method]")</formula1>
    </dataValidation>
    <dataValidation type="list" allowBlank="1" showInputMessage="1" showErrorMessage="1" sqref="E9" xr:uid="{7E2453CF-FBBA-4D86-8D07-0D0C517A6EAB}">
      <formula1>INDIRECT("Table_SourceData_PastureAttributes[Pasture type]")</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DB01-675B-437E-9BE1-C7A5D3E87BF1}">
  <sheetPr>
    <tabColor rgb="FFCC6600"/>
  </sheetPr>
  <dimension ref="A1:K68"/>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s>
  <sheetData>
    <row r="1" spans="1:11" s="10" customFormat="1" ht="25.5" x14ac:dyDescent="0.35">
      <c r="A1" s="10" t="e" vm="1">
        <v>#VALUE!</v>
      </c>
      <c r="C1" s="10" t="s">
        <v>158</v>
      </c>
    </row>
    <row r="2" spans="1:11" s="3" customFormat="1" x14ac:dyDescent="0.25">
      <c r="A2"/>
    </row>
    <row r="3" spans="1:11" ht="20.25" x14ac:dyDescent="0.25">
      <c r="A3" s="5" t="str">
        <f>HYPERLINK("#'Home'!A1", "Home")</f>
        <v>Home</v>
      </c>
      <c r="C3" s="28"/>
      <c r="D3" s="28"/>
      <c r="E3" s="28"/>
      <c r="F3" s="28"/>
      <c r="G3" s="28"/>
      <c r="H3" s="28"/>
      <c r="I3" s="28"/>
      <c r="J3" s="28"/>
      <c r="K3" s="28"/>
    </row>
    <row r="4" spans="1:11" x14ac:dyDescent="0.25">
      <c r="A4" s="5" t="str">
        <f>HYPERLINK("#'Results - Activity period'!A1", "Results - Activity period")</f>
        <v>Results - Activity period</v>
      </c>
    </row>
    <row r="5" spans="1:11" x14ac:dyDescent="0.25">
      <c r="A5" s="5" t="str">
        <f>HYPERLINK("#'Results - Product EI'!A1", "Results - Product Emissions Intensity")</f>
        <v>Results - Product Emissions Intensity</v>
      </c>
      <c r="D5" s="69" t="s">
        <v>163</v>
      </c>
      <c r="E5" s="69"/>
      <c r="F5" s="69"/>
      <c r="G5" s="69"/>
    </row>
    <row r="6" spans="1:11" x14ac:dyDescent="0.25">
      <c r="A6" s="5" t="str">
        <f>HYPERLINK("#'Results'!A1", "Results")</f>
        <v>Results</v>
      </c>
      <c r="F6" s="16"/>
    </row>
    <row r="7" spans="1:11" x14ac:dyDescent="0.25">
      <c r="D7" s="1" t="s">
        <v>159</v>
      </c>
      <c r="E7" s="15" t="s">
        <v>162</v>
      </c>
      <c r="F7" s="16"/>
    </row>
    <row r="8" spans="1:11" x14ac:dyDescent="0.25">
      <c r="D8" s="1" t="s">
        <v>160</v>
      </c>
      <c r="E8" s="15" t="s">
        <v>162</v>
      </c>
      <c r="F8" s="16"/>
    </row>
    <row r="9" spans="1:11" x14ac:dyDescent="0.25">
      <c r="A9" s="7" t="s">
        <v>0</v>
      </c>
      <c r="D9" s="1" t="s">
        <v>63</v>
      </c>
      <c r="E9" s="15" t="str" cm="1">
        <f t="array" ref="E9">X_Cell_Pasture_IrrigationMethod</f>
        <v>Surface irrigation</v>
      </c>
    </row>
    <row r="10" spans="1:11" x14ac:dyDescent="0.25">
      <c r="A10" s="5" t="str">
        <f>HYPERLINK("#'Input - Enterprise'!A1", "Enterprise")</f>
        <v>Enterprise</v>
      </c>
      <c r="D10" s="1" t="s">
        <v>161</v>
      </c>
      <c r="E10" s="15" cm="1">
        <f t="array" ref="E10">X_Cell_Pasture_AreaUnderPasture</f>
        <v>1000</v>
      </c>
    </row>
    <row r="11" spans="1:11" x14ac:dyDescent="0.25">
      <c r="A11" s="5" t="str">
        <f>HYPERLINK("#'Input - Site'!A1", "Site")</f>
        <v>Site</v>
      </c>
    </row>
    <row r="12" spans="1:11" x14ac:dyDescent="0.25">
      <c r="A12" s="5" t="str">
        <f>HYPERLINK("#'Input - Dairy'!A1", "Dairy")</f>
        <v>Dairy</v>
      </c>
    </row>
    <row r="13" spans="1:11" x14ac:dyDescent="0.25">
      <c r="A13" s="5" t="str">
        <f>HYPERLINK("#'Input - Livestock sales'!A1", "Livestock sales")</f>
        <v>Livestock sales</v>
      </c>
    </row>
    <row r="14" spans="1:11" x14ac:dyDescent="0.25">
      <c r="A14" s="5" t="str">
        <f>HYPERLINK("#'Input - Dairy cattle purchases'!A1", "Dairy cattle purchases")</f>
        <v>Dairy cattle purchases</v>
      </c>
    </row>
    <row r="15" spans="1:11" x14ac:dyDescent="0.25">
      <c r="A15" s="5" t="str">
        <f>HYPERLINK("#'Input - Pasture'!A1", "Pasture")</f>
        <v>Pasture</v>
      </c>
    </row>
    <row r="16" spans="1:11" x14ac:dyDescent="0.25">
      <c r="A16" s="99" t="str">
        <f>HYPERLINK("#'Input - Fert Prod System'!A1", "Fert Prod System")</f>
        <v>Fert Prod System</v>
      </c>
    </row>
    <row r="17" spans="1:1" x14ac:dyDescent="0.25">
      <c r="A17" s="5" t="str">
        <f>HYPERLINK("#'Input - Fertiliser'!A1", "Fertiliser")</f>
        <v>Fertiliser</v>
      </c>
    </row>
    <row r="18" spans="1:1" x14ac:dyDescent="0.25">
      <c r="A18" s="5" t="str">
        <f>HYPERLINK("#'Input - Fuel'!A1", "Fuel")</f>
        <v>Fuel</v>
      </c>
    </row>
    <row r="19" spans="1:1" x14ac:dyDescent="0.25">
      <c r="A19" s="5" t="str">
        <f>HYPERLINK("#'Input - Electricity'!A1", "Electricity")</f>
        <v>Electricity</v>
      </c>
    </row>
    <row r="20" spans="1:1" x14ac:dyDescent="0.25">
      <c r="A20" s="5" t="str">
        <f>HYPERLINK("#'Input - Common farm inputs'!A1", "Common farm inputs")</f>
        <v>Common farm inputs</v>
      </c>
    </row>
    <row r="21" spans="1:1" x14ac:dyDescent="0.25">
      <c r="A21" s="5" t="str">
        <f>HYPERLINK("#'Input - Crop pasture farm input'!A1", "Crop pasture farm input")</f>
        <v>Crop pasture farm input</v>
      </c>
    </row>
    <row r="22" spans="1:1" x14ac:dyDescent="0.25">
      <c r="A22" s="5" t="str">
        <f>HYPERLINK("#'Input - Livestock farm Inputs'!A1", "Livestock farm Inputs")</f>
        <v>Livestock farm Inputs</v>
      </c>
    </row>
    <row r="23" spans="1:1" x14ac:dyDescent="0.25">
      <c r="A23" s="5" t="str">
        <f>HYPERLINK("#'Input - Freight'!A1", "Freight")</f>
        <v>Freight</v>
      </c>
    </row>
    <row r="24" spans="1:1" x14ac:dyDescent="0.25">
      <c r="A24" s="5" t="str">
        <f>HYPERLINK("#'Input - Solid waste'!A1", "Solid waste")</f>
        <v>Solid waste</v>
      </c>
    </row>
    <row r="25" spans="1:1" x14ac:dyDescent="0.25">
      <c r="A25" s="5" t="str">
        <f>HYPERLINK("#'Input - Manure sent off-site'!A1", "Manure sent off-site")</f>
        <v>Manure sent off-site</v>
      </c>
    </row>
    <row r="26" spans="1:1" x14ac:dyDescent="0.25">
      <c r="A26" s="5" t="str">
        <f>HYPERLINK("#'Input - Refrigerants'!A1", "Refrigerants")</f>
        <v>Refrigerants</v>
      </c>
    </row>
    <row r="27" spans="1:1" x14ac:dyDescent="0.25">
      <c r="A27" s="5" t="str">
        <f>HYPERLINK("#'Input - Data quality'!A1", "Data quality")</f>
        <v>Data quality</v>
      </c>
    </row>
    <row r="30" spans="1:1" x14ac:dyDescent="0.25">
      <c r="A30" s="6" t="s">
        <v>2</v>
      </c>
    </row>
    <row r="31" spans="1:1" x14ac:dyDescent="0.25">
      <c r="A31" s="5" t="str">
        <f>HYPERLINK("#'3.3.1.1-2 Enteric Methane'!A1", "3.3.1.1-2 Enteric methane")</f>
        <v>3.3.1.1-2 Enteric methane</v>
      </c>
    </row>
    <row r="32" spans="1:1" x14ac:dyDescent="0.25">
      <c r="A32" s="5" t="str">
        <f>HYPERLINK("#'4.3.1.1-2 Methane'!A1", "4.3.1.1-2 Manure methane")</f>
        <v>4.3.1.1-2 Manure methane</v>
      </c>
    </row>
    <row r="33" spans="1:1" x14ac:dyDescent="0.25">
      <c r="A33" s="5" t="str">
        <f>HYPERLINK("#'4.3.1.3-4 Direct N20'!A1", "4.3.1.3-4 Direct N20")</f>
        <v>4.3.1.3-4 Direct N20</v>
      </c>
    </row>
    <row r="34" spans="1:1" x14ac:dyDescent="0.25">
      <c r="A34" s="5" t="str">
        <f>HYPERLINK("#'4.3.1.5 Atmos deposition'!A1", "4.3.1.5 Atmos deposition")</f>
        <v>4.3.1.5 Atmos deposition</v>
      </c>
    </row>
    <row r="35" spans="1:1" x14ac:dyDescent="0.25">
      <c r="A35" s="5" t="str">
        <f>HYPERLINK("#'4.3.1.6-7 Leaching and runoff'!A1", "4.3.1.6-7 Leaching &amp; runoff")</f>
        <v>4.3.1.6-7 Leaching &amp; runoff</v>
      </c>
    </row>
    <row r="36" spans="1:1" x14ac:dyDescent="0.25">
      <c r="A36" s="5" t="str">
        <f>HYPERLINK("#'4.3.1.8 Manure applied to soils'!A1", "4.3.1.8 Manure applied to soils")</f>
        <v>4.3.1.8 Manure applied to soils</v>
      </c>
    </row>
    <row r="37" spans="1:1" x14ac:dyDescent="0.25">
      <c r="A37" s="5" t="str">
        <f>HYPERLINK("#'4.3.1.9 Soil direct N2O'!A1", "4.3.1.9 Soil direct N2O")</f>
        <v>4.3.1.9 Soil direct N2O</v>
      </c>
    </row>
    <row r="38" spans="1:1" x14ac:dyDescent="0.25">
      <c r="A38" s="5" t="str">
        <f>HYPERLINK("#'4.3.1.10-11 Soil Atmos Dep'!A1", "4.3.1.10-11 Soil Atmos Deposition")</f>
        <v>4.3.1.10-11 Soil Atmos Deposition</v>
      </c>
    </row>
    <row r="39" spans="1:1" x14ac:dyDescent="0.25">
      <c r="A39" s="5" t="str">
        <f>HYPERLINK("#'4.3.1.12-13 Soil leach runoff'!A1", "4.3.1.12-13 Soil leach &amp; runoff")</f>
        <v>4.3.1.12-13 Soil leach &amp; runoff</v>
      </c>
    </row>
    <row r="40" spans="1:1" x14ac:dyDescent="0.25">
      <c r="A40" s="5" t="str">
        <f>HYPERLINK("#'5.1.1.1-2 Inorganic fert N2O'!A1", "5.1.1.1-2 Inorganic fert N2O")</f>
        <v>5.1.1.1-2 Inorganic fert N2O</v>
      </c>
    </row>
    <row r="41" spans="1:1" x14ac:dyDescent="0.25">
      <c r="A41" s="5" t="str">
        <f>HYPERLINK("#'5.1.1.3-4 Inorganic fert CO2'!A1", "5.1.1.3-4 Inorganic fert CO2")</f>
        <v>5.1.1.3-4 Inorganic fert CO2</v>
      </c>
    </row>
    <row r="42" spans="1:1" x14ac:dyDescent="0.25">
      <c r="A42" s="5" t="str">
        <f>HYPERLINK("#'5.2.1.1-2 Organic Fert N2O'!A1", "5.2.1.1-2 Organic fert N2O")</f>
        <v>5.2.1.1-2 Organic fert N2O</v>
      </c>
    </row>
    <row r="43" spans="1:1" x14ac:dyDescent="0.25">
      <c r="A43" s="5" t="str">
        <f>HYPERLINK("#'5.3.1.1-2 Lime CO2'!A1", "5.3.1.1-2 Lime CO2")</f>
        <v>5.3.1.1-2 Lime CO2</v>
      </c>
    </row>
    <row r="44" spans="1:1" x14ac:dyDescent="0.25">
      <c r="A44" s="5" t="str">
        <f>HYPERLINK("#'5.4.1.1-4 Atmos deposition'!A1", "5.4.1.1-4 Atmos. deposition")</f>
        <v>5.4.1.1-4 Atmos. deposition</v>
      </c>
    </row>
    <row r="45" spans="1:1" x14ac:dyDescent="0.25">
      <c r="A45" s="5" t="str">
        <f>HYPERLINK("#'5.5.1.1-2 Leaching and runoff'!A1", "5.5.1.1-2 Leaching &amp; runoff")</f>
        <v>5.5.1.1-2 Leaching &amp; runoff</v>
      </c>
    </row>
    <row r="46" spans="1:1" x14ac:dyDescent="0.25">
      <c r="A46" s="5" t="str">
        <f>HYPERLINK("#'6.2.1.1-2 Pasture residue N2O'!A1", "6.2.1.1-2 Pasture residue N2O")</f>
        <v>6.2.1.1-2 Pasture residue N2O</v>
      </c>
    </row>
    <row r="47" spans="1:1" x14ac:dyDescent="0.25">
      <c r="A47" s="5" t="str">
        <f>HYPERLINK("#'6.3.1.1-2 Leach runoff pasture'!A1", "6.3.1.1-2 Leach &amp; runoff (pasture)")</f>
        <v>6.3.1.1-2 Leach &amp; runoff (pasture)</v>
      </c>
    </row>
    <row r="48" spans="1:1" x14ac:dyDescent="0.25">
      <c r="A48" s="5" t="str">
        <f>HYPERLINK("#'8.1.1.1-2 Transport fuel'!A1", "8.1.1.1-2 Transport fuel")</f>
        <v>8.1.1.1-2 Transport fuel</v>
      </c>
    </row>
    <row r="49" spans="1:1" x14ac:dyDescent="0.25">
      <c r="A49" s="5" t="str">
        <f>HYPERLINK("#'8.2.1.1-2 Stationary fuel'!A1", "8.2.1.1-2 Stationary fuel")</f>
        <v>8.2.1.1-2 Stationary fuel</v>
      </c>
    </row>
    <row r="50" spans="1:1" x14ac:dyDescent="0.25">
      <c r="A50" s="5" t="str">
        <f>HYPERLINK("#'9.1.1.1-2 Refrigerant use'!A1", "9.1.1.1-2 Refrigerant use")</f>
        <v>9.1.1.1-2 Refrigerant use</v>
      </c>
    </row>
    <row r="51" spans="1:1" x14ac:dyDescent="0.25">
      <c r="A51" s="5" t="str">
        <f>HYPERLINK("#'10.1.1-2 Solid waste treatment'!A1", "10.1.1.1-2 Solid waste")</f>
        <v>10.1.1.1-2 Solid waste</v>
      </c>
    </row>
    <row r="52" spans="1:1" x14ac:dyDescent="0.25">
      <c r="A52" s="5" t="str">
        <f>HYPERLINK("#'14.1.1-2 Purchased electricity'!A1", "14.1.1-2 Purchased electricity")</f>
        <v>14.1.1-2 Purchased electricity</v>
      </c>
    </row>
    <row r="53" spans="1:1" x14ac:dyDescent="0.25">
      <c r="A53" s="5" t="str">
        <f>HYPERLINK("#'15 Scope 3'!A1", "15 Scope 3")</f>
        <v>15 Scope 3</v>
      </c>
    </row>
    <row r="54" spans="1:1" x14ac:dyDescent="0.25">
      <c r="A54" s="5" t="str">
        <f>HYPERLINK("#'Calcs - Manure sent off-site'!A1", "Calcs - Manure sent off-site")</f>
        <v>Calcs - Manure sent off-site</v>
      </c>
    </row>
    <row r="57" spans="1:1" x14ac:dyDescent="0.25">
      <c r="A57" s="82" t="s">
        <v>1</v>
      </c>
    </row>
    <row r="58" spans="1:1" x14ac:dyDescent="0.25">
      <c r="A58" s="5" t="str">
        <f>HYPERLINK("#'Constants - Dairy'!A1", "Constants - Dairy")</f>
        <v>Constants - Dairy</v>
      </c>
    </row>
    <row r="59" spans="1:1" x14ac:dyDescent="0.25">
      <c r="A59" s="5" t="str">
        <f>HYPERLINK("#'Constants - Ag Residue'!A1", "Constants - Ag residue")</f>
        <v>Constants - Ag residue</v>
      </c>
    </row>
    <row r="60" spans="1:1" x14ac:dyDescent="0.25">
      <c r="A60" s="5" t="str">
        <f>HYPERLINK("#'Constants - Common Livestock'!A1", "Constants - Common Livestock")</f>
        <v>Constants - Common Livestock</v>
      </c>
    </row>
    <row r="61" spans="1:1" x14ac:dyDescent="0.25">
      <c r="A61" s="5" t="str">
        <f>HYPERLINK("#'Constants - Electricity'!A1", "Constants - Electricity")</f>
        <v>Constants - Electricity</v>
      </c>
    </row>
    <row r="62" spans="1:1" x14ac:dyDescent="0.25">
      <c r="A62" s="5" t="str">
        <f>HYPERLINK("#'Constants - Fertiliser'!A1", "Constants - Fertiliser")</f>
        <v>Constants - Fertiliser</v>
      </c>
    </row>
    <row r="63" spans="1:1" x14ac:dyDescent="0.25">
      <c r="A63" s="5" t="str">
        <f>HYPERLINK("#'Constants - Fuel'!A1", "Constants - Fuel")</f>
        <v>Constants - Fuel</v>
      </c>
    </row>
    <row r="64" spans="1:1" x14ac:dyDescent="0.25">
      <c r="A64" s="5" t="str">
        <f>HYPERLINK("#'Constants - Scope 3'!A1", "Constants - Scope 3")</f>
        <v>Constants - Scope 3</v>
      </c>
    </row>
    <row r="65" spans="1:1" x14ac:dyDescent="0.25">
      <c r="A65" s="5" t="str">
        <f>HYPERLINK("#'Constants - Common'!A1", "Constants - Common")</f>
        <v>Constants - Common</v>
      </c>
    </row>
    <row r="66" spans="1:1" x14ac:dyDescent="0.25">
      <c r="A66" s="5" t="str">
        <f>HYPERLINK("#'Constants - Refrigerants'!A1", "Constants - Refrigerants")</f>
        <v>Constants - Refrigerants</v>
      </c>
    </row>
    <row r="67" spans="1:1" x14ac:dyDescent="0.25">
      <c r="A67" s="5" t="str">
        <f>HYPERLINK("#'Constants - Solid Waste'!A1", "Constants - Solid Waste")</f>
        <v>Constants - Solid Waste</v>
      </c>
    </row>
    <row r="68" spans="1:1" x14ac:dyDescent="0.25">
      <c r="A68" s="5" t="str">
        <f>HYPERLINK("#'Acknowledgements'!A1", "Acknowledgements")</f>
        <v>Acknowledgements</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87C42-D6D4-43F7-8309-1133E80A8729}">
  <sheetPr>
    <tabColor theme="5" tint="-0.249977111117893"/>
  </sheetPr>
  <dimension ref="A1:AA378"/>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10" customFormat="1" ht="30" customHeight="1" x14ac:dyDescent="0.35">
      <c r="A1" s="10" t="e" vm="1">
        <v>#VALUE!</v>
      </c>
      <c r="C1" s="10" t="s">
        <v>669</v>
      </c>
    </row>
    <row r="2" spans="1:27" s="3" customFormat="1" ht="20.100000000000001" customHeight="1" x14ac:dyDescent="0.25">
      <c r="A2"/>
    </row>
    <row r="3" spans="1:27" ht="20.100000000000001" customHeight="1" x14ac:dyDescent="0.25">
      <c r="A3" s="5" t="str">
        <f>HYPERLINK("#'Home'!A1", "Home")</f>
        <v>Home</v>
      </c>
      <c r="C3" s="28"/>
      <c r="D3" s="28"/>
      <c r="E3" s="28"/>
      <c r="F3" s="28"/>
      <c r="G3" s="28"/>
      <c r="H3" s="28"/>
      <c r="I3" s="28"/>
      <c r="J3" s="28"/>
      <c r="K3" s="28"/>
      <c r="L3" s="28"/>
      <c r="M3" s="28"/>
      <c r="N3" s="28"/>
      <c r="O3" s="28"/>
      <c r="P3" s="28"/>
      <c r="Q3" s="28"/>
      <c r="R3" s="28"/>
      <c r="S3" s="28"/>
      <c r="T3" s="28"/>
      <c r="U3" s="28"/>
      <c r="V3" s="28"/>
      <c r="W3" s="28"/>
      <c r="X3" s="28"/>
      <c r="Y3" s="28"/>
      <c r="Z3" s="28"/>
      <c r="AA3" s="28"/>
    </row>
    <row r="4" spans="1:27" ht="20.100000000000001" customHeight="1" x14ac:dyDescent="0.25">
      <c r="A4" s="5" t="str">
        <f>HYPERLINK("#'Results - Activity period'!A1", "Results - Activity period")</f>
        <v>Results - Activity period</v>
      </c>
    </row>
    <row r="5" spans="1:27" ht="20.100000000000001" customHeight="1" x14ac:dyDescent="0.25">
      <c r="A5" s="5" t="str">
        <f>HYPERLINK("#'Results - Product EI'!A1", "Results - Product Emissions Intensity")</f>
        <v>Results - Product Emissions Intensity</v>
      </c>
      <c r="D5" s="2" t="s">
        <v>670</v>
      </c>
      <c r="E5" s="24"/>
      <c r="F5" s="24"/>
      <c r="G5" s="24"/>
      <c r="H5" s="24"/>
      <c r="I5" s="24"/>
      <c r="J5" s="24"/>
      <c r="K5" s="24"/>
      <c r="L5" s="24"/>
      <c r="M5" s="24"/>
    </row>
    <row r="6" spans="1:27" ht="20.100000000000001" customHeight="1" x14ac:dyDescent="0.25">
      <c r="A6" s="5" t="str">
        <f>HYPERLINK("#'Results'!A1", "Results")</f>
        <v>Results</v>
      </c>
      <c r="D6" s="8"/>
      <c r="E6" s="8"/>
      <c r="F6" s="8"/>
      <c r="G6" s="8"/>
      <c r="H6" s="8"/>
      <c r="I6" s="8"/>
      <c r="J6" s="8"/>
      <c r="K6" s="8"/>
      <c r="L6" s="8"/>
      <c r="M6" s="8"/>
    </row>
    <row r="7" spans="1:27" ht="20.100000000000001" customHeight="1" x14ac:dyDescent="0.25">
      <c r="D7" s="139" t="s">
        <v>671</v>
      </c>
      <c r="E7" s="43"/>
      <c r="F7" s="43"/>
      <c r="G7" s="43"/>
      <c r="H7" s="44"/>
      <c r="I7" s="144"/>
      <c r="J7" s="145"/>
      <c r="K7" s="146"/>
      <c r="L7" s="146"/>
      <c r="M7" s="146"/>
    </row>
    <row r="8" spans="1:27" ht="20.100000000000001" customHeight="1" x14ac:dyDescent="0.25">
      <c r="D8" s="45" t="s">
        <v>672</v>
      </c>
      <c r="E8" s="46"/>
      <c r="F8" s="46"/>
      <c r="G8" s="46"/>
      <c r="H8" s="47"/>
      <c r="I8" s="8"/>
      <c r="J8" s="8"/>
      <c r="K8" s="8"/>
      <c r="L8" s="8"/>
      <c r="M8" s="8"/>
    </row>
    <row r="9" spans="1:27" ht="20.100000000000001" customHeight="1" x14ac:dyDescent="0.25">
      <c r="A9" s="7" t="s">
        <v>0</v>
      </c>
      <c r="D9" s="8"/>
      <c r="E9" s="8"/>
      <c r="F9" s="8"/>
      <c r="G9" s="8"/>
      <c r="H9" s="8"/>
      <c r="I9" s="8"/>
      <c r="J9" s="8"/>
      <c r="K9" s="8"/>
      <c r="L9" s="8"/>
      <c r="M9" s="8"/>
    </row>
    <row r="10" spans="1:27" ht="20.100000000000001" customHeight="1" x14ac:dyDescent="0.25">
      <c r="A10" s="5" t="str">
        <f>HYPERLINK("#'Input - Enterprise'!A1", "Enterprise")</f>
        <v>Enterprise</v>
      </c>
      <c r="D10" s="78" t="s">
        <v>673</v>
      </c>
      <c r="E10" s="8"/>
      <c r="F10" s="8"/>
      <c r="G10" s="8"/>
      <c r="H10" s="8"/>
      <c r="I10" s="8"/>
      <c r="J10" s="8"/>
      <c r="K10" s="8"/>
      <c r="L10" s="8"/>
      <c r="M10" s="8"/>
    </row>
    <row r="11" spans="1:27" ht="20.100000000000001" customHeight="1" x14ac:dyDescent="0.25">
      <c r="A11" s="5" t="str">
        <f>HYPERLINK("#'Input - Site'!A1", "Site")</f>
        <v>Site</v>
      </c>
      <c r="D11" s="147" t="s">
        <v>674</v>
      </c>
      <c r="E11" s="148" t="s">
        <v>675</v>
      </c>
      <c r="F11" s="149" t="s">
        <v>676</v>
      </c>
      <c r="G11" s="148" t="s">
        <v>677</v>
      </c>
      <c r="H11" s="149" t="s">
        <v>678</v>
      </c>
      <c r="I11" s="148" t="s">
        <v>679</v>
      </c>
      <c r="J11" s="147" t="s">
        <v>680</v>
      </c>
      <c r="K11" s="147" t="s">
        <v>681</v>
      </c>
      <c r="L11" s="147" t="s">
        <v>682</v>
      </c>
      <c r="M11" s="147" t="s">
        <v>683</v>
      </c>
      <c r="N11" s="147" t="s">
        <v>684</v>
      </c>
      <c r="O11" s="147" t="s">
        <v>685</v>
      </c>
      <c r="P11" s="147" t="s">
        <v>686</v>
      </c>
      <c r="Q11" s="147" t="s">
        <v>687</v>
      </c>
      <c r="R11" s="147" t="s">
        <v>688</v>
      </c>
      <c r="S11" s="147" t="s">
        <v>689</v>
      </c>
      <c r="T11" s="147" t="s">
        <v>690</v>
      </c>
      <c r="U11" s="147" t="s">
        <v>691</v>
      </c>
      <c r="V11" s="147" t="s">
        <v>692</v>
      </c>
      <c r="W11" s="147" t="s">
        <v>693</v>
      </c>
      <c r="X11" s="147" t="s">
        <v>694</v>
      </c>
      <c r="Y11" s="147" t="s">
        <v>695</v>
      </c>
      <c r="Z11" s="147" t="s">
        <v>696</v>
      </c>
    </row>
    <row r="12" spans="1:27" ht="20.100000000000001" customHeight="1" x14ac:dyDescent="0.25">
      <c r="A12" s="5" t="str">
        <f>HYPERLINK("#'Input - Dairy'!A1", "Dairy")</f>
        <v>Dairy</v>
      </c>
      <c r="D12" s="150" t="s">
        <v>697</v>
      </c>
      <c r="E12" s="151">
        <v>100</v>
      </c>
      <c r="F12" s="15" t="str">
        <f>IFERROR(_xlfn.XLOOKUP(Table_Input_InorganicFertiliser_Brands[[#This Row],[Product (select)]],FertiliserProducts[Product],FertiliserProducts[Unit]), "kg")</f>
        <v>kg</v>
      </c>
      <c r="G12" s="151">
        <f t="shared" ref="G12" si="0">X_Cell_Fertiliser_AreaUnderCropping</f>
        <v>1000</v>
      </c>
      <c r="H12" s="152">
        <f>IFERROR(_xlfn.XLOOKUP(Table_Input_InorganicFertiliser_Brands[[#This Row],[Product (select)]],FertiliserProducts[Product],FertiliserProducts[Density]), 1)</f>
        <v>1</v>
      </c>
      <c r="I12" s="153">
        <f>(Table_Input_InorganicFertiliser_Brands[[#This Row],[Amount applied per hectare]]*Table_Input_InorganicFertiliser_Brands[[#This Row],[Density]])*Table_Input_InorganicFertiliser_Brands[[#This Row],[Application area (ha)]]</f>
        <v>100000</v>
      </c>
      <c r="J12" s="153"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153"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153"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153"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153"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153"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153"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153"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153"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153"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153"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153"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153" cm="1">
        <f t="array" ref="W12">IFERROR(Fertiliser_InputFunctions.Fertiliser_FertiliserProductLookup(Table_Input_InorganicFertiliser_Brands[[#This Row],[Product (select)]], "N declared", FertiliserProducts[#Data], FertiliserProducts[Product], FertiliserProducts[#Headers])*0.01, 0)</f>
        <v>0.46</v>
      </c>
      <c r="X12"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153" t="str">
        <f>IFERROR(_xlfn.XLOOKUP(Table_Input_InorganicFertiliser_Brands[[#This Row],[Product (select)]],FertiliserProducts[Product],FertiliserProducts[Urea source]), "")</f>
        <v/>
      </c>
      <c r="Z12" s="153" t="str">
        <f>IFERROR(_xlfn.XLOOKUP(Table_Input_InorganicFertiliser_Brands[[#This Row],[Product (select)]],FertiliserProducts[Product],FertiliserProducts[Ammonia source]), "")</f>
        <v/>
      </c>
    </row>
    <row r="13" spans="1:27" ht="20.100000000000001" customHeight="1" x14ac:dyDescent="0.25">
      <c r="A13" s="5" t="str">
        <f>HYPERLINK("#'Input - Livestock sales'!A1", "Livestock sales")</f>
        <v>Livestock sales</v>
      </c>
      <c r="D13" s="150" t="s">
        <v>698</v>
      </c>
      <c r="E13" s="151">
        <v>100</v>
      </c>
      <c r="F13" s="15" t="str">
        <f>IFERROR(_xlfn.XLOOKUP(Table_Input_InorganicFertiliser_Brands[[#This Row],[Product (select)]],FertiliserProducts[Product],FertiliserProducts[Unit]), "kg")</f>
        <v>kg</v>
      </c>
      <c r="G13" s="151">
        <f t="shared" ref="G13" si="1">X_Cell_Fertiliser_AreaUnderCropping</f>
        <v>1000</v>
      </c>
      <c r="H13" s="152">
        <f>IFERROR(_xlfn.XLOOKUP(Table_Input_InorganicFertiliser_Brands[[#This Row],[Product (select)]],FertiliserProducts[Product],FertiliserProducts[Density]), 1)</f>
        <v>1</v>
      </c>
      <c r="I13" s="153">
        <f>(Table_Input_InorganicFertiliser_Brands[[#This Row],[Amount applied per hectare]]*Table_Input_InorganicFertiliser_Brands[[#This Row],[Density]])*Table_Input_InorganicFertiliser_Brands[[#This Row],[Application area (ha)]]</f>
        <v>100000</v>
      </c>
      <c r="J13" s="153"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153"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153"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153"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153"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153"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153"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153"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153"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153"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153"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153"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154" cm="1">
        <f t="array" ref="W13">IFERROR(Fertiliser_InputFunctions.Fertiliser_FertiliserProductLookup(Table_Input_InorganicFertiliser_Brands[[#This Row],[Product (select)]], "N declared", FertiliserProducts[#Data], FertiliserProducts[Product], FertiliserProducts[#Headers])*0.01, 0)</f>
        <v>0.24</v>
      </c>
      <c r="X13"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153" t="str">
        <f>IFERROR(_xlfn.XLOOKUP(Table_Input_InorganicFertiliser_Brands[[#This Row],[Product (select)]],FertiliserProducts[Product],FertiliserProducts[Urea source]), "")</f>
        <v/>
      </c>
      <c r="Z13" s="153" t="str">
        <f>IFERROR(_xlfn.XLOOKUP(Table_Input_InorganicFertiliser_Brands[[#This Row],[Product (select)]],FertiliserProducts[Product],FertiliserProducts[Ammonia source]), "")</f>
        <v/>
      </c>
    </row>
    <row r="14" spans="1:27" ht="20.100000000000001" customHeight="1" x14ac:dyDescent="0.25">
      <c r="A14" s="5" t="str">
        <f>HYPERLINK("#'Input - Dairy cattle purchases'!A1", "Dairy cattle purchases")</f>
        <v>Dairy cattle purchases</v>
      </c>
      <c r="D14" s="150" t="s">
        <v>699</v>
      </c>
      <c r="E14" s="151">
        <v>100</v>
      </c>
      <c r="F14" s="15" t="str">
        <f>IFERROR(_xlfn.XLOOKUP(Table_Input_InorganicFertiliser_Brands[[#This Row],[Product (select)]],FertiliserProducts[Product],FertiliserProducts[Unit]), "kg")</f>
        <v>kg</v>
      </c>
      <c r="G14" s="151">
        <f t="shared" ref="G14" si="2">X_Cell_Fertiliser_AreaUnderCropping</f>
        <v>1000</v>
      </c>
      <c r="H14" s="152">
        <f>IFERROR(_xlfn.XLOOKUP(Table_Input_InorganicFertiliser_Brands[[#This Row],[Product (select)]],FertiliserProducts[Product],FertiliserProducts[Density]), 1)</f>
        <v>1</v>
      </c>
      <c r="I14" s="153">
        <f>(Table_Input_InorganicFertiliser_Brands[[#This Row],[Amount applied per hectare]]*Table_Input_InorganicFertiliser_Brands[[#This Row],[Density]])*Table_Input_InorganicFertiliser_Brands[[#This Row],[Application area (ha)]]</f>
        <v>100000</v>
      </c>
      <c r="J14" s="153"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153"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153"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153"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153"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153"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153"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153"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153"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153"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153"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153"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154" cm="1">
        <f t="array" ref="W14">IFERROR(Fertiliser_InputFunctions.Fertiliser_FertiliserProductLookup(Table_Input_InorganicFertiliser_Brands[[#This Row],[Product (select)]], "N declared", FertiliserProducts[#Data], FertiliserProducts[Product], FertiliserProducts[#Headers])*0.01, 0)</f>
        <v>0.17899999999999999</v>
      </c>
      <c r="X14"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153" t="str">
        <f>IFERROR(_xlfn.XLOOKUP(Table_Input_InorganicFertiliser_Brands[[#This Row],[Product (select)]],FertiliserProducts[Product],FertiliserProducts[Urea source]), "")</f>
        <v/>
      </c>
      <c r="Z14" s="153" t="str">
        <f>IFERROR(_xlfn.XLOOKUP(Table_Input_InorganicFertiliser_Brands[[#This Row],[Product (select)]],FertiliserProducts[Product],FertiliserProducts[Ammonia source]), "")</f>
        <v/>
      </c>
    </row>
    <row r="15" spans="1:27" ht="20.100000000000001" customHeight="1" x14ac:dyDescent="0.25">
      <c r="A15" s="5" t="str">
        <f>HYPERLINK("#'Input - Pasture'!A1", "Pasture")</f>
        <v>Pasture</v>
      </c>
      <c r="D15" s="150"/>
      <c r="E15" s="151"/>
      <c r="F15" s="15" t="str">
        <f>IFERROR(_xlfn.XLOOKUP(Table_Input_InorganicFertiliser_Brands[[#This Row],[Product (select)]],FertiliserProducts[Product],FertiliserProducts[Unit]), "kg")</f>
        <v>kg</v>
      </c>
      <c r="G15" s="151">
        <f t="shared" ref="G15" si="3">X_Cell_Fertiliser_AreaUnderCropping</f>
        <v>1000</v>
      </c>
      <c r="H15" s="152">
        <f>IFERROR(_xlfn.XLOOKUP(Table_Input_InorganicFertiliser_Brands[[#This Row],[Product (select)]],FertiliserProducts[Product],FertiliserProducts[Density]), 1)</f>
        <v>1</v>
      </c>
      <c r="I15" s="153">
        <f>(Table_Input_InorganicFertiliser_Brands[[#This Row],[Amount applied per hectare]]*Table_Input_InorganicFertiliser_Brands[[#This Row],[Density]])*Table_Input_InorganicFertiliser_Brands[[#This Row],[Application area (ha)]]</f>
        <v>0</v>
      </c>
      <c r="J15" s="153"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153"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153"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153"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153"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153"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153"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153"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153"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153"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153"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153"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154" cm="1">
        <f t="array" ref="W15">IFERROR(Fertiliser_InputFunctions.Fertiliser_FertiliserProductLookup(Table_Input_InorganicFertiliser_Brands[[#This Row],[Product (select)]], "N declared", FertiliserProducts[#Data], FertiliserProducts[Product], FertiliserProducts[#Headers])*0.01, 0)</f>
        <v>0</v>
      </c>
      <c r="X15"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153" t="str">
        <f>IFERROR(_xlfn.XLOOKUP(Table_Input_InorganicFertiliser_Brands[[#This Row],[Product (select)]],FertiliserProducts[Product],FertiliserProducts[Urea source]), "")</f>
        <v/>
      </c>
      <c r="Z15" s="153" t="str">
        <f>IFERROR(_xlfn.XLOOKUP(Table_Input_InorganicFertiliser_Brands[[#This Row],[Product (select)]],FertiliserProducts[Product],FertiliserProducts[Ammonia source]), "")</f>
        <v/>
      </c>
    </row>
    <row r="16" spans="1:27" ht="20.100000000000001" customHeight="1" x14ac:dyDescent="0.25">
      <c r="A16" s="5" t="str">
        <f>HYPERLINK("#'Input - Fert Prod System'!A1", "Fert Prod System")</f>
        <v>Fert Prod System</v>
      </c>
      <c r="D16" s="150"/>
      <c r="E16" s="151"/>
      <c r="F16" s="15" t="str">
        <f>IFERROR(_xlfn.XLOOKUP(Table_Input_InorganicFertiliser_Brands[[#This Row],[Product (select)]],FertiliserProducts[Product],FertiliserProducts[Unit]), "kg")</f>
        <v>kg</v>
      </c>
      <c r="G16" s="151">
        <f t="shared" ref="G16" si="4">X_Cell_Fertiliser_AreaUnderCropping</f>
        <v>1000</v>
      </c>
      <c r="H16" s="152">
        <f>IFERROR(_xlfn.XLOOKUP(Table_Input_InorganicFertiliser_Brands[[#This Row],[Product (select)]],FertiliserProducts[Product],FertiliserProducts[Density]), 1)</f>
        <v>1</v>
      </c>
      <c r="I16" s="153">
        <f>(Table_Input_InorganicFertiliser_Brands[[#This Row],[Amount applied per hectare]]*Table_Input_InorganicFertiliser_Brands[[#This Row],[Density]])*Table_Input_InorganicFertiliser_Brands[[#This Row],[Application area (ha)]]</f>
        <v>0</v>
      </c>
      <c r="J16" s="153"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153"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153"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153"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153"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153"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153"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153"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153"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153"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153"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153"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154" cm="1">
        <f t="array" ref="W16">IFERROR(Fertiliser_InputFunctions.Fertiliser_FertiliserProductLookup(Table_Input_InorganicFertiliser_Brands[[#This Row],[Product (select)]], "N declared", FertiliserProducts[#Data], FertiliserProducts[Product], FertiliserProducts[#Headers])*0.01, 0)</f>
        <v>0</v>
      </c>
      <c r="X16"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153" t="str">
        <f>IFERROR(_xlfn.XLOOKUP(Table_Input_InorganicFertiliser_Brands[[#This Row],[Product (select)]],FertiliserProducts[Product],FertiliserProducts[Urea source]), "")</f>
        <v/>
      </c>
      <c r="Z16" s="153" t="str">
        <f>IFERROR(_xlfn.XLOOKUP(Table_Input_InorganicFertiliser_Brands[[#This Row],[Product (select)]],FertiliserProducts[Product],FertiliserProducts[Ammonia source]), "")</f>
        <v/>
      </c>
    </row>
    <row r="17" spans="1:26" ht="20.100000000000001" customHeight="1" x14ac:dyDescent="0.25">
      <c r="A17" s="99" t="str">
        <f>HYPERLINK("#'Input - Fertiliser'!A1", "Fertiliser")</f>
        <v>Fertiliser</v>
      </c>
      <c r="D17" s="150"/>
      <c r="E17" s="151"/>
      <c r="F17" s="15" t="str">
        <f>IFERROR(_xlfn.XLOOKUP(Table_Input_InorganicFertiliser_Brands[[#This Row],[Product (select)]],FertiliserProducts[Product],FertiliserProducts[Unit]), "kg")</f>
        <v>kg</v>
      </c>
      <c r="G17" s="151">
        <f t="shared" ref="G17" si="5">X_Cell_Fertiliser_AreaUnderCropping</f>
        <v>1000</v>
      </c>
      <c r="H17" s="152">
        <f>IFERROR(_xlfn.XLOOKUP(Table_Input_InorganicFertiliser_Brands[[#This Row],[Product (select)]],FertiliserProducts[Product],FertiliserProducts[Density]), 1)</f>
        <v>1</v>
      </c>
      <c r="I17" s="153">
        <f>(Table_Input_InorganicFertiliser_Brands[[#This Row],[Amount applied per hectare]]*Table_Input_InorganicFertiliser_Brands[[#This Row],[Density]])*Table_Input_InorganicFertiliser_Brands[[#This Row],[Application area (ha)]]</f>
        <v>0</v>
      </c>
      <c r="J17" s="153"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153"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153"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153"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153"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153"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153"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153"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153"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153"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153"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153"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154" cm="1">
        <f t="array" ref="W17">IFERROR(Fertiliser_InputFunctions.Fertiliser_FertiliserProductLookup(Table_Input_InorganicFertiliser_Brands[[#This Row],[Product (select)]], "N declared", FertiliserProducts[#Data], FertiliserProducts[Product], FertiliserProducts[#Headers])*0.01, 0)</f>
        <v>0</v>
      </c>
      <c r="X17"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153" t="str">
        <f>IFERROR(_xlfn.XLOOKUP(Table_Input_InorganicFertiliser_Brands[[#This Row],[Product (select)]],FertiliserProducts[Product],FertiliserProducts[Urea source]), "")</f>
        <v/>
      </c>
      <c r="Z17" s="153" t="str">
        <f>IFERROR(_xlfn.XLOOKUP(Table_Input_InorganicFertiliser_Brands[[#This Row],[Product (select)]],FertiliserProducts[Product],FertiliserProducts[Ammonia source]), "")</f>
        <v/>
      </c>
    </row>
    <row r="18" spans="1:26" ht="20.100000000000001" customHeight="1" x14ac:dyDescent="0.25">
      <c r="A18" s="5" t="str">
        <f>HYPERLINK("#'Input - Fuel'!A1", "Fuel")</f>
        <v>Fuel</v>
      </c>
      <c r="D18" s="150"/>
      <c r="E18" s="151"/>
      <c r="F18" s="15" t="str">
        <f>IFERROR(_xlfn.XLOOKUP(Table_Input_InorganicFertiliser_Brands[[#This Row],[Product (select)]],FertiliserProducts[Product],FertiliserProducts[Unit]), "kg")</f>
        <v>kg</v>
      </c>
      <c r="G18" s="151">
        <f t="shared" ref="G18" si="6">X_Cell_Fertiliser_AreaUnderCropping</f>
        <v>1000</v>
      </c>
      <c r="H18" s="152">
        <f>IFERROR(_xlfn.XLOOKUP(Table_Input_InorganicFertiliser_Brands[[#This Row],[Product (select)]],FertiliserProducts[Product],FertiliserProducts[Density]), 1)</f>
        <v>1</v>
      </c>
      <c r="I18" s="153">
        <f>(Table_Input_InorganicFertiliser_Brands[[#This Row],[Amount applied per hectare]]*Table_Input_InorganicFertiliser_Brands[[#This Row],[Density]])*Table_Input_InorganicFertiliser_Brands[[#This Row],[Application area (ha)]]</f>
        <v>0</v>
      </c>
      <c r="J18" s="153"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153"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153"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153"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153"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153"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153"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153"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153"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153"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153"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153"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154" cm="1">
        <f t="array" ref="W18">IFERROR(Fertiliser_InputFunctions.Fertiliser_FertiliserProductLookup(Table_Input_InorganicFertiliser_Brands[[#This Row],[Product (select)]], "N declared", FertiliserProducts[#Data], FertiliserProducts[Product], FertiliserProducts[#Headers])*0.01, 0)</f>
        <v>0</v>
      </c>
      <c r="X18"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153" t="str">
        <f>IFERROR(_xlfn.XLOOKUP(Table_Input_InorganicFertiliser_Brands[[#This Row],[Product (select)]],FertiliserProducts[Product],FertiliserProducts[Urea source]), "")</f>
        <v/>
      </c>
      <c r="Z18" s="153" t="str">
        <f>IFERROR(_xlfn.XLOOKUP(Table_Input_InorganicFertiliser_Brands[[#This Row],[Product (select)]],FertiliserProducts[Product],FertiliserProducts[Ammonia source]), "")</f>
        <v/>
      </c>
    </row>
    <row r="19" spans="1:26" ht="20.100000000000001" customHeight="1" x14ac:dyDescent="0.25">
      <c r="A19" s="5" t="str">
        <f>HYPERLINK("#'Input - Electricity'!A1", "Electricity")</f>
        <v>Electricity</v>
      </c>
      <c r="D19" s="150"/>
      <c r="E19" s="151"/>
      <c r="F19" s="15" t="str">
        <f>IFERROR(_xlfn.XLOOKUP(Table_Input_InorganicFertiliser_Brands[[#This Row],[Product (select)]],FertiliserProducts[Product],FertiliserProducts[Unit]), "kg")</f>
        <v>kg</v>
      </c>
      <c r="G19" s="151">
        <f t="shared" ref="G19" si="7">X_Cell_Fertiliser_AreaUnderCropping</f>
        <v>1000</v>
      </c>
      <c r="H19" s="152">
        <f>IFERROR(_xlfn.XLOOKUP(Table_Input_InorganicFertiliser_Brands[[#This Row],[Product (select)]],FertiliserProducts[Product],FertiliserProducts[Density]), 1)</f>
        <v>1</v>
      </c>
      <c r="I19" s="153">
        <f>(Table_Input_InorganicFertiliser_Brands[[#This Row],[Amount applied per hectare]]*Table_Input_InorganicFertiliser_Brands[[#This Row],[Density]])*Table_Input_InorganicFertiliser_Brands[[#This Row],[Application area (ha)]]</f>
        <v>0</v>
      </c>
      <c r="J19" s="153"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153"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153"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153"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153"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153"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153"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153"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153"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153"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153"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153"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54" cm="1">
        <f t="array" ref="W19">IFERROR(Fertiliser_InputFunctions.Fertiliser_FertiliserProductLookup(Table_Input_InorganicFertiliser_Brands[[#This Row],[Product (select)]], "N declared", FertiliserProducts[#Data], FertiliserProducts[Product], FertiliserProducts[#Headers])*0.01, 0)</f>
        <v>0</v>
      </c>
      <c r="X19"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153" t="str">
        <f>IFERROR(_xlfn.XLOOKUP(Table_Input_InorganicFertiliser_Brands[[#This Row],[Product (select)]],FertiliserProducts[Product],FertiliserProducts[Urea source]), "")</f>
        <v/>
      </c>
      <c r="Z19" s="153" t="str">
        <f>IFERROR(_xlfn.XLOOKUP(Table_Input_InorganicFertiliser_Brands[[#This Row],[Product (select)]],FertiliserProducts[Product],FertiliserProducts[Ammonia source]), "")</f>
        <v/>
      </c>
    </row>
    <row r="20" spans="1:26" ht="20.100000000000001" customHeight="1" x14ac:dyDescent="0.25">
      <c r="A20" s="5" t="str">
        <f>HYPERLINK("#'Input - Common farm inputs'!A1", "Common farm inputs")</f>
        <v>Common farm inputs</v>
      </c>
      <c r="D20" s="150"/>
      <c r="E20" s="151"/>
      <c r="F20" s="15" t="str">
        <f>IFERROR(_xlfn.XLOOKUP(Table_Input_InorganicFertiliser_Brands[[#This Row],[Product (select)]],FertiliserProducts[Product],FertiliserProducts[Unit]), "kg")</f>
        <v>kg</v>
      </c>
      <c r="G20" s="151">
        <f t="shared" ref="G20" si="8">X_Cell_Fertiliser_AreaUnderCropping</f>
        <v>1000</v>
      </c>
      <c r="H20" s="152">
        <f>IFERROR(_xlfn.XLOOKUP(Table_Input_InorganicFertiliser_Brands[[#This Row],[Product (select)]],FertiliserProducts[Product],FertiliserProducts[Density]), 1)</f>
        <v>1</v>
      </c>
      <c r="I20" s="153">
        <f>(Table_Input_InorganicFertiliser_Brands[[#This Row],[Amount applied per hectare]]*Table_Input_InorganicFertiliser_Brands[[#This Row],[Density]])*Table_Input_InorganicFertiliser_Brands[[#This Row],[Application area (ha)]]</f>
        <v>0</v>
      </c>
      <c r="J20" s="153"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153"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153"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153"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153"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153"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153"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153"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153"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153"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153"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153"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54" cm="1">
        <f t="array" ref="W20">IFERROR(Fertiliser_InputFunctions.Fertiliser_FertiliserProductLookup(Table_Input_InorganicFertiliser_Brands[[#This Row],[Product (select)]], "N declared", FertiliserProducts[#Data], FertiliserProducts[Product], FertiliserProducts[#Headers])*0.01, 0)</f>
        <v>0</v>
      </c>
      <c r="X20"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153" t="str">
        <f>IFERROR(_xlfn.XLOOKUP(Table_Input_InorganicFertiliser_Brands[[#This Row],[Product (select)]],FertiliserProducts[Product],FertiliserProducts[Urea source]), "")</f>
        <v/>
      </c>
      <c r="Z20" s="153" t="str">
        <f>IFERROR(_xlfn.XLOOKUP(Table_Input_InorganicFertiliser_Brands[[#This Row],[Product (select)]],FertiliserProducts[Product],FertiliserProducts[Ammonia source]), "")</f>
        <v/>
      </c>
    </row>
    <row r="21" spans="1:26" ht="20.100000000000001" customHeight="1" x14ac:dyDescent="0.25">
      <c r="A21" s="5" t="str">
        <f>HYPERLINK("#'Input - Crop pasture farm input'!A1", "Crop pasture farm input")</f>
        <v>Crop pasture farm input</v>
      </c>
      <c r="D21" s="150"/>
      <c r="E21" s="151"/>
      <c r="F21" s="15" t="str">
        <f>IFERROR(_xlfn.XLOOKUP(Table_Input_InorganicFertiliser_Brands[[#This Row],[Product (select)]],FertiliserProducts[Product],FertiliserProducts[Unit]), "kg")</f>
        <v>kg</v>
      </c>
      <c r="G21" s="151">
        <f t="shared" ref="G21" si="9">X_Cell_Fertiliser_AreaUnderCropping</f>
        <v>1000</v>
      </c>
      <c r="H21" s="152">
        <f>IFERROR(_xlfn.XLOOKUP(Table_Input_InorganicFertiliser_Brands[[#This Row],[Product (select)]],FertiliserProducts[Product],FertiliserProducts[Density]), 1)</f>
        <v>1</v>
      </c>
      <c r="I21" s="153">
        <f>(Table_Input_InorganicFertiliser_Brands[[#This Row],[Amount applied per hectare]]*Table_Input_InorganicFertiliser_Brands[[#This Row],[Density]])*Table_Input_InorganicFertiliser_Brands[[#This Row],[Application area (ha)]]</f>
        <v>0</v>
      </c>
      <c r="J21" s="153"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153"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153"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153"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153"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153"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153"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153"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153"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153"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153"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153"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154" cm="1">
        <f t="array" ref="W21">IFERROR(Fertiliser_InputFunctions.Fertiliser_FertiliserProductLookup(Table_Input_InorganicFertiliser_Brands[[#This Row],[Product (select)]], "N declared", FertiliserProducts[#Data], FertiliserProducts[Product], FertiliserProducts[#Headers])*0.01, 0)</f>
        <v>0</v>
      </c>
      <c r="X21"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153" t="str">
        <f>IFERROR(_xlfn.XLOOKUP(Table_Input_InorganicFertiliser_Brands[[#This Row],[Product (select)]],FertiliserProducts[Product],FertiliserProducts[Urea source]), "")</f>
        <v/>
      </c>
      <c r="Z21" s="153" t="str">
        <f>IFERROR(_xlfn.XLOOKUP(Table_Input_InorganicFertiliser_Brands[[#This Row],[Product (select)]],FertiliserProducts[Product],FertiliserProducts[Ammonia source]), "")</f>
        <v/>
      </c>
    </row>
    <row r="22" spans="1:26" ht="20.100000000000001" customHeight="1" x14ac:dyDescent="0.25">
      <c r="A22" s="5" t="str">
        <f>HYPERLINK("#'Input - Livestock farm Inputs'!A1", "Livestock farm Inputs")</f>
        <v>Livestock farm Inputs</v>
      </c>
      <c r="D22" s="155"/>
      <c r="E22" s="156"/>
      <c r="F22" s="157"/>
      <c r="G22" s="157"/>
      <c r="H22" s="157"/>
      <c r="I22" s="157"/>
      <c r="J22" s="158"/>
      <c r="K22" s="158"/>
      <c r="L22" s="159"/>
      <c r="M22" s="159"/>
      <c r="N22" s="160"/>
      <c r="O22" s="160"/>
      <c r="P22" s="160"/>
      <c r="Q22" s="160"/>
      <c r="R22" s="160"/>
      <c r="S22" s="160"/>
      <c r="T22" s="160"/>
      <c r="U22" s="160"/>
      <c r="V22" s="160"/>
      <c r="W22" s="160"/>
      <c r="X22" s="160"/>
    </row>
    <row r="23" spans="1:26" ht="20.100000000000001" customHeight="1" x14ac:dyDescent="0.25">
      <c r="A23" s="5" t="str">
        <f>HYPERLINK("#'Input - Freight'!A1", "Freight")</f>
        <v>Freight</v>
      </c>
      <c r="D23" s="161" t="s">
        <v>700</v>
      </c>
      <c r="E23" s="162"/>
      <c r="F23" s="162"/>
      <c r="G23" s="162"/>
      <c r="H23" s="162"/>
      <c r="I23" s="162"/>
      <c r="J23" s="162"/>
      <c r="K23" s="162"/>
      <c r="L23" s="162"/>
      <c r="M23" s="162"/>
      <c r="N23" s="160"/>
      <c r="O23" s="160"/>
      <c r="P23" s="160"/>
      <c r="Q23" s="160"/>
      <c r="R23" s="160"/>
      <c r="S23" s="160"/>
      <c r="T23" s="160"/>
      <c r="V23" s="160"/>
      <c r="W23" s="160"/>
      <c r="X23" s="160"/>
    </row>
    <row r="24" spans="1:26" ht="20.100000000000001" customHeight="1" x14ac:dyDescent="0.25">
      <c r="A24" s="5" t="str">
        <f>HYPERLINK("#'Input - Solid waste'!A1", "Solid waste")</f>
        <v>Solid waste</v>
      </c>
      <c r="D24" s="148" t="s">
        <v>701</v>
      </c>
      <c r="E24" s="148" t="s">
        <v>702</v>
      </c>
      <c r="F24" s="148" t="s">
        <v>677</v>
      </c>
      <c r="G24" s="148" t="s">
        <v>679</v>
      </c>
      <c r="H24" s="148" t="s">
        <v>703</v>
      </c>
      <c r="I24" s="148" t="s">
        <v>681</v>
      </c>
      <c r="J24" s="148" t="s">
        <v>682</v>
      </c>
      <c r="K24" s="148" t="s">
        <v>683</v>
      </c>
      <c r="L24" s="148" t="s">
        <v>684</v>
      </c>
      <c r="M24" s="148" t="s">
        <v>685</v>
      </c>
      <c r="N24" s="148" t="s">
        <v>686</v>
      </c>
      <c r="O24" s="148" t="s">
        <v>687</v>
      </c>
      <c r="P24" s="148" t="s">
        <v>694</v>
      </c>
      <c r="Q24" s="163" t="s">
        <v>704</v>
      </c>
      <c r="R24" s="163" t="s">
        <v>705</v>
      </c>
      <c r="S24" s="160"/>
      <c r="T24" s="160"/>
      <c r="V24" s="160"/>
      <c r="W24" s="160"/>
      <c r="X24" s="160"/>
    </row>
    <row r="25" spans="1:26" ht="20.100000000000001" customHeight="1" x14ac:dyDescent="0.25">
      <c r="A25" s="5" t="str">
        <f>HYPERLINK("#'Input - Manure sent off-site'!A1", "Manure sent off-site")</f>
        <v>Manure sent off-site</v>
      </c>
      <c r="D25" s="33" t="s">
        <v>706</v>
      </c>
      <c r="E25" s="148">
        <v>100</v>
      </c>
      <c r="F25" s="151">
        <f t="shared" ref="F25:F34" si="10">X_Cell_Fertiliser_AreaUnderCropping</f>
        <v>1000</v>
      </c>
      <c r="G25" s="153">
        <f>Table_Input_InorganicFertiliser_Custom[[#This Row],[Amount applied (kg / ha)]]*Table_Input_InorganicFertiliser_Custom[[#This Row],[Application area (ha)]]</f>
        <v>100000</v>
      </c>
      <c r="H25" s="164" t="s">
        <v>707</v>
      </c>
      <c r="I25" s="165">
        <v>0.5</v>
      </c>
      <c r="J25" s="164" t="s">
        <v>708</v>
      </c>
      <c r="K25" s="165">
        <v>0.2</v>
      </c>
      <c r="L25" s="164" t="s">
        <v>709</v>
      </c>
      <c r="M25" s="165">
        <v>0.2</v>
      </c>
      <c r="N25" s="166" t="s">
        <v>710</v>
      </c>
      <c r="O25" s="18">
        <v>0.1</v>
      </c>
      <c r="P25"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13"/>
      <c r="R25" s="13"/>
      <c r="T25" s="76"/>
      <c r="V25" s="160"/>
    </row>
    <row r="26" spans="1:26" ht="20.100000000000001" customHeight="1" x14ac:dyDescent="0.25">
      <c r="A26" s="5" t="str">
        <f>HYPERLINK("#'Input - Refrigerants'!A1", "Refrigerants")</f>
        <v>Refrigerants</v>
      </c>
      <c r="D26" s="33" t="s">
        <v>711</v>
      </c>
      <c r="E26" s="148">
        <v>100</v>
      </c>
      <c r="F26" s="151">
        <f t="shared" si="10"/>
        <v>1000</v>
      </c>
      <c r="G26" s="153">
        <f>Table_Input_InorganicFertiliser_Custom[[#This Row],[Amount applied (kg / ha)]]*Table_Input_InorganicFertiliser_Custom[[#This Row],[Application area (ha)]]</f>
        <v>100000</v>
      </c>
      <c r="H26" s="164" t="s">
        <v>697</v>
      </c>
      <c r="I26" s="167">
        <v>1</v>
      </c>
      <c r="J26" s="164"/>
      <c r="K26" s="167"/>
      <c r="L26" s="164"/>
      <c r="M26" s="167"/>
      <c r="N26" s="166"/>
      <c r="O26" s="18"/>
      <c r="P26"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13"/>
      <c r="R26" s="13"/>
      <c r="V26" s="160"/>
      <c r="W26" s="76"/>
    </row>
    <row r="27" spans="1:26" ht="20.100000000000001" customHeight="1" x14ac:dyDescent="0.25">
      <c r="A27" s="5" t="str">
        <f>HYPERLINK("#'Input - Data quality'!A1", "Data quality")</f>
        <v>Data quality</v>
      </c>
      <c r="D27" s="33" t="s">
        <v>712</v>
      </c>
      <c r="E27" s="148">
        <v>100</v>
      </c>
      <c r="F27" s="151">
        <f t="shared" si="10"/>
        <v>1000</v>
      </c>
      <c r="G27" s="153">
        <f>Table_Input_InorganicFertiliser_Custom[[#This Row],[Amount applied (kg / ha)]]*Table_Input_InorganicFertiliser_Custom[[#This Row],[Application area (ha)]]</f>
        <v>100000</v>
      </c>
      <c r="H27" s="164" t="s">
        <v>713</v>
      </c>
      <c r="I27" s="167">
        <v>0.5</v>
      </c>
      <c r="J27" s="164"/>
      <c r="K27" s="167"/>
      <c r="L27" s="164"/>
      <c r="M27" s="167"/>
      <c r="N27" s="166"/>
      <c r="O27" s="18"/>
      <c r="P27"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13"/>
      <c r="R27" s="13"/>
      <c r="V27" s="160"/>
    </row>
    <row r="28" spans="1:26" ht="20.100000000000001" customHeight="1" x14ac:dyDescent="0.25">
      <c r="D28" s="33"/>
      <c r="E28" s="148"/>
      <c r="F28" s="168">
        <f t="shared" si="10"/>
        <v>1000</v>
      </c>
      <c r="G28" s="153">
        <f>Table_Input_InorganicFertiliser_Custom[[#This Row],[Amount applied (kg / ha)]]*Table_Input_InorganicFertiliser_Custom[[#This Row],[Application area (ha)]]</f>
        <v>0</v>
      </c>
      <c r="H28" s="164"/>
      <c r="I28" s="167"/>
      <c r="J28" s="164"/>
      <c r="K28" s="167"/>
      <c r="L28" s="164"/>
      <c r="M28" s="167"/>
      <c r="N28" s="166"/>
      <c r="O28" s="18"/>
      <c r="P28"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13"/>
      <c r="R28" s="13"/>
      <c r="V28" s="76"/>
    </row>
    <row r="29" spans="1:26" ht="20.100000000000001" customHeight="1" x14ac:dyDescent="0.25">
      <c r="D29" s="33"/>
      <c r="E29" s="148"/>
      <c r="F29" s="168">
        <f t="shared" si="10"/>
        <v>1000</v>
      </c>
      <c r="G29" s="153">
        <f>Table_Input_InorganicFertiliser_Custom[[#This Row],[Amount applied (kg / ha)]]*Table_Input_InorganicFertiliser_Custom[[#This Row],[Application area (ha)]]</f>
        <v>0</v>
      </c>
      <c r="H29" s="164"/>
      <c r="I29" s="167"/>
      <c r="J29" s="164"/>
      <c r="K29" s="167"/>
      <c r="L29" s="164"/>
      <c r="M29" s="167"/>
      <c r="N29" s="166"/>
      <c r="O29" s="18"/>
      <c r="P29"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13"/>
      <c r="R29" s="13"/>
    </row>
    <row r="30" spans="1:26" ht="20.100000000000001" customHeight="1" x14ac:dyDescent="0.25">
      <c r="A30" s="6" t="s">
        <v>2</v>
      </c>
      <c r="D30" s="33"/>
      <c r="E30" s="148"/>
      <c r="F30" s="168">
        <f t="shared" si="10"/>
        <v>1000</v>
      </c>
      <c r="G30" s="153">
        <f>Table_Input_InorganicFertiliser_Custom[[#This Row],[Amount applied (kg / ha)]]*Table_Input_InorganicFertiliser_Custom[[#This Row],[Application area (ha)]]</f>
        <v>0</v>
      </c>
      <c r="H30" s="164"/>
      <c r="I30" s="167"/>
      <c r="J30" s="164"/>
      <c r="K30" s="167"/>
      <c r="L30" s="164"/>
      <c r="M30" s="167"/>
      <c r="N30" s="166"/>
      <c r="O30" s="18"/>
      <c r="P30"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13"/>
      <c r="R30" s="13"/>
    </row>
    <row r="31" spans="1:26" ht="20.100000000000001" customHeight="1" x14ac:dyDescent="0.25">
      <c r="A31" s="5" t="str">
        <f>HYPERLINK("#'3.3.1.1-2 Enteric Methane'!A1", "3.3.1.1-2 Enteric methane")</f>
        <v>3.3.1.1-2 Enteric methane</v>
      </c>
      <c r="D31" s="33"/>
      <c r="E31" s="148"/>
      <c r="F31" s="168">
        <f t="shared" si="10"/>
        <v>1000</v>
      </c>
      <c r="G31" s="153">
        <f>Table_Input_InorganicFertiliser_Custom[[#This Row],[Amount applied (kg / ha)]]*Table_Input_InorganicFertiliser_Custom[[#This Row],[Application area (ha)]]</f>
        <v>0</v>
      </c>
      <c r="H31" s="164"/>
      <c r="I31" s="167"/>
      <c r="J31" s="164"/>
      <c r="K31" s="167"/>
      <c r="L31" s="164"/>
      <c r="M31" s="167"/>
      <c r="N31" s="166"/>
      <c r="O31" s="18"/>
      <c r="P31"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13"/>
      <c r="R31" s="13"/>
    </row>
    <row r="32" spans="1:26" ht="20.100000000000001" customHeight="1" x14ac:dyDescent="0.25">
      <c r="A32" s="5" t="str">
        <f>HYPERLINK("#'4.3.1.1-2 Methane'!A1", "4.3.1.1-2 Manure methane")</f>
        <v>4.3.1.1-2 Manure methane</v>
      </c>
      <c r="D32" s="33"/>
      <c r="E32" s="148"/>
      <c r="F32" s="168">
        <f t="shared" si="10"/>
        <v>1000</v>
      </c>
      <c r="G32" s="153">
        <f>Table_Input_InorganicFertiliser_Custom[[#This Row],[Amount applied (kg / ha)]]*Table_Input_InorganicFertiliser_Custom[[#This Row],[Application area (ha)]]</f>
        <v>0</v>
      </c>
      <c r="H32" s="164"/>
      <c r="I32" s="167"/>
      <c r="J32" s="164"/>
      <c r="K32" s="167"/>
      <c r="L32" s="164"/>
      <c r="M32" s="167"/>
      <c r="N32" s="166"/>
      <c r="O32" s="18"/>
      <c r="P32"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13"/>
      <c r="R32" s="13"/>
    </row>
    <row r="33" spans="1:27" ht="20.100000000000001" customHeight="1" x14ac:dyDescent="0.25">
      <c r="A33" s="5" t="str">
        <f>HYPERLINK("#'4.3.1.3-4 Direct N20'!A1", "4.3.1.3-4 Direct N20")</f>
        <v>4.3.1.3-4 Direct N20</v>
      </c>
      <c r="D33" s="33"/>
      <c r="E33" s="148"/>
      <c r="F33" s="168">
        <f t="shared" si="10"/>
        <v>1000</v>
      </c>
      <c r="G33" s="153">
        <f>Table_Input_InorganicFertiliser_Custom[[#This Row],[Amount applied (kg / ha)]]*Table_Input_InorganicFertiliser_Custom[[#This Row],[Application area (ha)]]</f>
        <v>0</v>
      </c>
      <c r="H33" s="164"/>
      <c r="I33" s="167"/>
      <c r="J33" s="164"/>
      <c r="K33" s="167"/>
      <c r="L33" s="164"/>
      <c r="M33" s="167"/>
      <c r="N33" s="166"/>
      <c r="O33" s="18"/>
      <c r="P33"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13"/>
      <c r="R33" s="13"/>
    </row>
    <row r="34" spans="1:27" ht="20.100000000000001" customHeight="1" x14ac:dyDescent="0.25">
      <c r="A34" s="5" t="str">
        <f>HYPERLINK("#'4.3.1.5 Atmos deposition'!A1", "4.3.1.5 Atmos deposition")</f>
        <v>4.3.1.5 Atmos deposition</v>
      </c>
      <c r="D34" s="33"/>
      <c r="E34" s="148"/>
      <c r="F34" s="168">
        <f t="shared" si="10"/>
        <v>1000</v>
      </c>
      <c r="G34" s="153">
        <f>Table_Input_InorganicFertiliser_Custom[[#This Row],[Amount applied (kg / ha)]]*Table_Input_InorganicFertiliser_Custom[[#This Row],[Application area (ha)]]</f>
        <v>0</v>
      </c>
      <c r="H34" s="164"/>
      <c r="I34" s="167"/>
      <c r="J34" s="164"/>
      <c r="K34" s="167"/>
      <c r="L34" s="164"/>
      <c r="M34" s="167"/>
      <c r="N34" s="166"/>
      <c r="O34" s="18"/>
      <c r="P34"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13"/>
      <c r="R34" s="13"/>
    </row>
    <row r="35" spans="1:27" ht="20.100000000000001" customHeight="1" x14ac:dyDescent="0.25">
      <c r="A35" s="5" t="str">
        <f>HYPERLINK("#'4.3.1.6-7 Leaching and runoff'!A1", "4.3.1.6-7 Leaching &amp; runoff")</f>
        <v>4.3.1.6-7 Leaching &amp; runoff</v>
      </c>
    </row>
    <row r="36" spans="1:27" ht="20.100000000000001" customHeight="1" x14ac:dyDescent="0.25">
      <c r="A36" s="5" t="str">
        <f>HYPERLINK("#'4.3.1.8 Manure applied to soils'!A1", "4.3.1.8 Manure applied to soils")</f>
        <v>4.3.1.8 Manure applied to soils</v>
      </c>
      <c r="D36" s="2" t="s">
        <v>714</v>
      </c>
      <c r="E36" s="24"/>
      <c r="F36" s="24"/>
      <c r="G36" s="24"/>
      <c r="H36" s="24"/>
      <c r="I36" s="24"/>
      <c r="J36" s="24"/>
      <c r="K36" s="8"/>
      <c r="L36" s="8"/>
      <c r="M36" s="8"/>
    </row>
    <row r="37" spans="1:27" ht="20.100000000000001" customHeight="1" x14ac:dyDescent="0.25">
      <c r="A37" s="5" t="str">
        <f>HYPERLINK("#'4.3.1.9 Soil direct N2O'!A1", "4.3.1.9 Soil direct N2O")</f>
        <v>4.3.1.9 Soil direct N2O</v>
      </c>
      <c r="D37" s="139" t="s">
        <v>715</v>
      </c>
      <c r="E37" s="43"/>
      <c r="F37" s="44"/>
      <c r="G37" s="139"/>
      <c r="H37" s="44"/>
      <c r="I37" s="24"/>
      <c r="J37" s="24"/>
      <c r="K37" s="8"/>
      <c r="L37" s="8"/>
      <c r="M37" s="24"/>
    </row>
    <row r="38" spans="1:27" ht="20.100000000000001" customHeight="1" x14ac:dyDescent="0.25">
      <c r="A38" s="5" t="str">
        <f>HYPERLINK("#'4.3.1.10-11 Soil Atmos Dep'!A1", "4.3.1.10-11 Soil Atmos Deposition")</f>
        <v>4.3.1.10-11 Soil Atmos Deposition</v>
      </c>
      <c r="C38" s="160"/>
      <c r="D38" s="169" t="s">
        <v>716</v>
      </c>
      <c r="E38" s="170"/>
      <c r="F38" s="171"/>
      <c r="G38" s="169"/>
      <c r="H38" s="171"/>
      <c r="I38" s="8"/>
      <c r="J38" s="8"/>
      <c r="K38" s="8"/>
      <c r="L38" s="8"/>
      <c r="M38" s="8"/>
    </row>
    <row r="39" spans="1:27" ht="20.100000000000001" customHeight="1" x14ac:dyDescent="0.25">
      <c r="A39" s="5" t="str">
        <f>HYPERLINK("#'4.3.1.12-13 Soil leach runoff'!A1", "4.3.1.12-13 Soil leach &amp; runoff")</f>
        <v>4.3.1.12-13 Soil leach &amp; runoff</v>
      </c>
      <c r="C39" s="160"/>
      <c r="D39" s="45" t="s">
        <v>672</v>
      </c>
      <c r="E39" s="46"/>
      <c r="F39" s="46"/>
      <c r="G39" s="46"/>
      <c r="H39" s="47"/>
      <c r="I39" s="8"/>
      <c r="J39" s="8"/>
      <c r="K39" s="8"/>
      <c r="L39" s="8"/>
      <c r="M39" s="24"/>
    </row>
    <row r="40" spans="1:27" s="172" customFormat="1" ht="20.100000000000001" customHeight="1" x14ac:dyDescent="0.25">
      <c r="A40" s="5" t="str">
        <f>HYPERLINK("#'5.1.1.1-2 Inorganic fert N2O'!A1", "5.1.1.1-2 Inorganic fert N2O")</f>
        <v>5.1.1.1-2 Inorganic fert N2O</v>
      </c>
      <c r="C40" s="1"/>
      <c r="D40" s="79" t="str">
        <f>IF(MAX(Table_Input_Lime[Total]) &gt; 1, "There can not be more than 100% ingredients in a product. Check the table below.", "")</f>
        <v/>
      </c>
      <c r="E40" s="1"/>
      <c r="F40" s="1"/>
      <c r="G40" s="1"/>
      <c r="H40" s="1"/>
      <c r="I40" s="1"/>
      <c r="J40" s="1"/>
      <c r="K40" s="1"/>
      <c r="L40" s="8"/>
      <c r="M40" s="24"/>
      <c r="N40" s="1"/>
      <c r="O40" s="1"/>
      <c r="P40" s="1"/>
      <c r="Q40" s="1"/>
      <c r="R40" s="1"/>
      <c r="S40" s="1"/>
      <c r="T40" s="1"/>
      <c r="U40" s="1"/>
      <c r="V40" s="1"/>
      <c r="W40" s="1"/>
      <c r="X40" s="1"/>
      <c r="Y40" s="1"/>
      <c r="Z40" s="1"/>
      <c r="AA40" s="1"/>
    </row>
    <row r="41" spans="1:27" s="172" customFormat="1" ht="20.100000000000001" customHeight="1" x14ac:dyDescent="0.25">
      <c r="A41" s="5" t="str">
        <f>HYPERLINK("#'5.1.1.3-4 Inorganic fert CO2'!A1", "5.1.1.3-4 Inorganic fert CO2")</f>
        <v>5.1.1.3-4 Inorganic fert CO2</v>
      </c>
      <c r="C41" s="1"/>
      <c r="D41" s="173" t="s">
        <v>131</v>
      </c>
      <c r="E41" s="173" t="s">
        <v>717</v>
      </c>
      <c r="F41" s="173" t="s">
        <v>677</v>
      </c>
      <c r="G41" s="173" t="s">
        <v>718</v>
      </c>
      <c r="H41" s="173" t="s">
        <v>719</v>
      </c>
      <c r="I41" s="173" t="s">
        <v>720</v>
      </c>
      <c r="J41" s="173" t="s">
        <v>721</v>
      </c>
      <c r="K41" s="173" t="s">
        <v>722</v>
      </c>
      <c r="L41" s="1"/>
      <c r="M41" s="1"/>
      <c r="N41" s="1"/>
      <c r="O41" s="1"/>
      <c r="P41" s="1"/>
      <c r="Q41" s="1"/>
      <c r="R41" s="1"/>
      <c r="S41" s="160"/>
      <c r="T41" s="1"/>
      <c r="U41" s="1"/>
      <c r="V41" s="1"/>
      <c r="W41" s="1"/>
      <c r="X41" s="1"/>
      <c r="Y41" s="1"/>
      <c r="Z41" s="1"/>
      <c r="AA41" s="1"/>
    </row>
    <row r="42" spans="1:27" ht="20.100000000000001" customHeight="1" x14ac:dyDescent="0.25">
      <c r="A42" s="5" t="str">
        <f>HYPERLINK("#'5.2.1.1-2 Organic Fert N2O'!A1", "5.2.1.1-2 Organic fert N2O")</f>
        <v>5.2.1.1-2 Organic fert N2O</v>
      </c>
      <c r="D42" s="174" t="s">
        <v>723</v>
      </c>
      <c r="E42" s="151">
        <v>1</v>
      </c>
      <c r="F42" s="151">
        <f>X_Cell_Fertiliser_AreaUnderCropping</f>
        <v>1000</v>
      </c>
      <c r="G42" s="153">
        <f>IFERROR(Table_Input_Lime[[#This Row],[Amount applied (t/hectare)]]*Table_Input_Lime[[#This Row],[Application area (ha)]], 0)</f>
        <v>1000</v>
      </c>
      <c r="H42" s="175">
        <v>0.8</v>
      </c>
      <c r="I42" s="175">
        <v>0.1</v>
      </c>
      <c r="J42" s="175">
        <v>0.1</v>
      </c>
      <c r="K42" s="176">
        <f>SUM(Table_Input_Lime[[#This Row],[Percent Lime CaCO3]:[Percent Gypsum]])</f>
        <v>1</v>
      </c>
      <c r="S42" s="160"/>
    </row>
    <row r="43" spans="1:27" ht="20.100000000000001" customHeight="1" x14ac:dyDescent="0.25">
      <c r="A43" s="5" t="str">
        <f>HYPERLINK("#'5.3.1.1-2 Lime CO2'!A1", "5.3.1.1-2 Lime CO2")</f>
        <v>5.3.1.1-2 Lime CO2</v>
      </c>
      <c r="D43" s="174" t="s">
        <v>724</v>
      </c>
      <c r="E43" s="151">
        <v>1</v>
      </c>
      <c r="F43" s="151">
        <f>X_Cell_Fertiliser_AreaUnderCropping</f>
        <v>1000</v>
      </c>
      <c r="G43" s="153">
        <f>IFERROR(Table_Input_Lime[[#This Row],[Amount applied (t/hectare)]]*Table_Input_Lime[[#This Row],[Application area (ha)]], 0)</f>
        <v>1000</v>
      </c>
      <c r="H43" s="175">
        <v>1</v>
      </c>
      <c r="I43" s="175"/>
      <c r="J43" s="175"/>
      <c r="K43" s="176">
        <f>SUM(Table_Input_Lime[[#This Row],[Percent Lime CaCO3]:[Percent Gypsum]])</f>
        <v>1</v>
      </c>
    </row>
    <row r="44" spans="1:27" ht="20.100000000000001" customHeight="1" x14ac:dyDescent="0.25">
      <c r="A44" s="5" t="str">
        <f>HYPERLINK("#'5.4.1.1-4 Atmos deposition'!A1", "5.4.1.1-4 Atmos. deposition")</f>
        <v>5.4.1.1-4 Atmos. deposition</v>
      </c>
      <c r="D44" s="174" t="s">
        <v>725</v>
      </c>
      <c r="E44" s="151">
        <v>1</v>
      </c>
      <c r="F44" s="151">
        <f>X_Cell_Fertiliser_AreaUnderCropping</f>
        <v>1000</v>
      </c>
      <c r="G44" s="153">
        <f>IFERROR(Table_Input_Lime[[#This Row],[Amount applied (t/hectare)]]*Table_Input_Lime[[#This Row],[Application area (ha)]], 0)</f>
        <v>1000</v>
      </c>
      <c r="H44" s="175">
        <v>0</v>
      </c>
      <c r="I44" s="175"/>
      <c r="J44" s="175">
        <v>1</v>
      </c>
      <c r="K44" s="176">
        <f>SUM(Table_Input_Lime[[#This Row],[Percent Lime CaCO3]:[Percent Gypsum]])</f>
        <v>1</v>
      </c>
      <c r="L44" s="24"/>
    </row>
    <row r="45" spans="1:27" ht="20.100000000000001" customHeight="1" x14ac:dyDescent="0.25">
      <c r="A45" s="5" t="str">
        <f>HYPERLINK("#'5.5.1.1-2 Leaching and runoff'!A1", "5.5.1.1-2 Leaching &amp; runoff")</f>
        <v>5.5.1.1-2 Leaching &amp; runoff</v>
      </c>
      <c r="L45" s="24"/>
      <c r="M45" s="24"/>
    </row>
    <row r="46" spans="1:27" ht="20.100000000000001" customHeight="1" x14ac:dyDescent="0.25">
      <c r="A46" s="5" t="str">
        <f>HYPERLINK("#'6.2.1.1-2 Pasture residue N2O'!A1", "6.2.1.1-2 Pasture residue N2O")</f>
        <v>6.2.1.1-2 Pasture residue N2O</v>
      </c>
      <c r="D46" s="8"/>
      <c r="E46" s="8"/>
      <c r="F46" s="8"/>
      <c r="G46" s="8"/>
      <c r="H46" s="8"/>
      <c r="I46" s="8"/>
      <c r="J46" s="8"/>
      <c r="L46" s="8"/>
      <c r="M46" s="24"/>
    </row>
    <row r="47" spans="1:27" ht="20.100000000000001" customHeight="1" x14ac:dyDescent="0.25">
      <c r="A47" s="5" t="str">
        <f>HYPERLINK("#'6.3.1.1-2 Leach runoff pasture'!A1", "6.3.1.1-2 Leach &amp; runoff (pasture)")</f>
        <v>6.3.1.1-2 Leach &amp; runoff (pasture)</v>
      </c>
      <c r="D47" s="8"/>
      <c r="E47" s="8"/>
      <c r="F47" s="8"/>
      <c r="G47" s="8"/>
      <c r="H47" s="8"/>
      <c r="I47" s="8"/>
      <c r="J47" s="177"/>
      <c r="K47" s="24"/>
      <c r="L47" s="8"/>
      <c r="M47" s="8"/>
    </row>
    <row r="48" spans="1:27" ht="20.100000000000001" customHeight="1" x14ac:dyDescent="0.25">
      <c r="A48" s="5" t="str">
        <f>HYPERLINK("#'8.1.1.1-2 Transport fuel'!A1", "8.1.1.1-2 Transport fuel")</f>
        <v>8.1.1.1-2 Transport fuel</v>
      </c>
      <c r="D48" s="2" t="s">
        <v>726</v>
      </c>
      <c r="E48" s="24"/>
      <c r="F48" s="24"/>
      <c r="G48" s="24"/>
      <c r="H48" s="8"/>
      <c r="I48" s="8"/>
      <c r="J48" s="8"/>
      <c r="K48" s="8"/>
      <c r="L48" s="8"/>
      <c r="M48" s="8"/>
    </row>
    <row r="49" spans="1:18" ht="20.100000000000001" customHeight="1" x14ac:dyDescent="0.25">
      <c r="A49" s="5" t="str">
        <f>HYPERLINK("#'8.2.1.1-2 Stationary fuel'!A1", "8.2.1.1-2 Stationary fuel")</f>
        <v>8.2.1.1-2 Stationary fuel</v>
      </c>
      <c r="D49" s="8"/>
      <c r="E49" s="8"/>
      <c r="F49" s="8"/>
      <c r="G49" s="8"/>
      <c r="H49" s="8"/>
      <c r="I49" s="8"/>
      <c r="J49" s="8"/>
      <c r="K49" s="8"/>
      <c r="L49" s="8"/>
      <c r="M49" s="8"/>
      <c r="Q49" s="160"/>
      <c r="R49" s="160"/>
    </row>
    <row r="50" spans="1:18" ht="20.100000000000001" customHeight="1" x14ac:dyDescent="0.25">
      <c r="A50" s="5" t="str">
        <f>HYPERLINK("#'9.1.1.1-2 Refrigerant use'!A1", "9.1.1.1-2 Refrigerant use")</f>
        <v>9.1.1.1-2 Refrigerant use</v>
      </c>
      <c r="D50" s="139" t="s">
        <v>715</v>
      </c>
      <c r="E50" s="43"/>
      <c r="F50" s="43"/>
      <c r="G50" s="43"/>
      <c r="H50" s="44"/>
      <c r="I50" s="8"/>
      <c r="J50" s="8"/>
      <c r="K50" s="8"/>
      <c r="L50" s="8"/>
      <c r="M50" s="8"/>
      <c r="O50" s="160"/>
      <c r="P50" s="160"/>
      <c r="Q50" s="160"/>
      <c r="R50" s="160"/>
    </row>
    <row r="51" spans="1:18" ht="20.100000000000001" customHeight="1" x14ac:dyDescent="0.25">
      <c r="A51" s="5" t="str">
        <f>HYPERLINK("#'10.1.1-2 Solid waste treatment'!A1", "10.1.1.1-2 Solid waste")</f>
        <v>10.1.1.1-2 Solid waste</v>
      </c>
      <c r="D51" s="45" t="s">
        <v>672</v>
      </c>
      <c r="E51" s="46"/>
      <c r="F51" s="46"/>
      <c r="G51" s="46"/>
      <c r="H51" s="47"/>
      <c r="I51" s="8"/>
      <c r="J51" s="8"/>
      <c r="K51" s="8"/>
      <c r="L51" s="162"/>
      <c r="M51" s="160"/>
      <c r="N51" s="160"/>
      <c r="O51" s="160"/>
      <c r="P51" s="160"/>
    </row>
    <row r="52" spans="1:18" ht="20.100000000000001" customHeight="1" x14ac:dyDescent="0.25">
      <c r="A52" s="5" t="str">
        <f>HYPERLINK("#'14.1.1-2 Purchased electricity'!A1", "14.1.1-2 Purchased electricity")</f>
        <v>14.1.1-2 Purchased electricity</v>
      </c>
      <c r="D52" s="8"/>
      <c r="E52" s="8"/>
      <c r="F52" s="8"/>
      <c r="G52" s="8"/>
      <c r="H52" s="8"/>
      <c r="I52" s="8"/>
      <c r="J52" s="8"/>
      <c r="K52" s="8"/>
      <c r="L52" s="162"/>
      <c r="M52" s="160"/>
      <c r="N52" s="160"/>
    </row>
    <row r="53" spans="1:18" ht="20.100000000000001" customHeight="1" x14ac:dyDescent="0.25">
      <c r="A53" s="5" t="str">
        <f>HYPERLINK("#'15 Scope 3'!A1", "15 Scope 3")</f>
        <v>15 Scope 3</v>
      </c>
      <c r="D53" s="173" t="s">
        <v>727</v>
      </c>
      <c r="E53" s="173" t="s">
        <v>728</v>
      </c>
      <c r="F53" s="173" t="s">
        <v>729</v>
      </c>
      <c r="G53" s="173" t="s">
        <v>730</v>
      </c>
      <c r="H53" s="173" t="s">
        <v>677</v>
      </c>
      <c r="I53" s="173" t="s">
        <v>731</v>
      </c>
      <c r="J53" s="173" t="s">
        <v>732</v>
      </c>
      <c r="K53" s="162"/>
    </row>
    <row r="54" spans="1:18" ht="20.100000000000001" customHeight="1" x14ac:dyDescent="0.25">
      <c r="A54" s="5" t="str">
        <f>HYPERLINK("#'Calcs - Manure sent off-site'!A1", "Calcs - Manure sent off-site")</f>
        <v>Calcs - Manure sent off-site</v>
      </c>
      <c r="D54" s="150" t="s">
        <v>733</v>
      </c>
      <c r="E54" s="175">
        <v>0.3</v>
      </c>
      <c r="F54" s="151">
        <v>10</v>
      </c>
      <c r="G54" s="153">
        <f>Table_Input_OrganicFertiliser[[#This Row],[Amount applied (kg/hectare)]]*Table_Input_OrganicFertiliser[[#This Row],[Percentage of N in fertiliser]]</f>
        <v>3</v>
      </c>
      <c r="H54" s="151">
        <f>X_Cell_Fertiliser_AreaUnderCropping</f>
        <v>1000</v>
      </c>
      <c r="I54" s="153">
        <f>Table_Input_OrganicFertiliser[[#This Row],[Amount applied (kg/hectare)]]*Table_Input_OrganicFertiliser[[#This Row],[Application area (ha)]]</f>
        <v>10000</v>
      </c>
      <c r="J54" s="153">
        <f>IFERROR(Table_Input_OrganicFertiliser[[#This Row],[Amount N applied (kg/hectare)]]*Table_Input_OrganicFertiliser[[#This Row],[Application area (ha)]], 0)</f>
        <v>3000</v>
      </c>
      <c r="K54" s="162"/>
    </row>
    <row r="55" spans="1:18" ht="20.100000000000001" customHeight="1" x14ac:dyDescent="0.25">
      <c r="D55" s="150" t="s">
        <v>734</v>
      </c>
      <c r="E55" s="175">
        <v>0.25</v>
      </c>
      <c r="F55" s="151">
        <v>10</v>
      </c>
      <c r="G55" s="153">
        <f>Table_Input_OrganicFertiliser[[#This Row],[Amount applied (kg/hectare)]]*Table_Input_OrganicFertiliser[[#This Row],[Percentage of N in fertiliser]]</f>
        <v>2.5</v>
      </c>
      <c r="H55" s="151">
        <f>X_Cell_Fertiliser_AreaUnderCropping</f>
        <v>1000</v>
      </c>
      <c r="I55" s="153">
        <f>Table_Input_OrganicFertiliser[[#This Row],[Amount applied (kg/hectare)]]*Table_Input_OrganicFertiliser[[#This Row],[Application area (ha)]]</f>
        <v>10000</v>
      </c>
      <c r="J55" s="153">
        <f>IFERROR(Table_Input_OrganicFertiliser[[#This Row],[Amount N applied (kg/hectare)]]*Table_Input_OrganicFertiliser[[#This Row],[Application area (ha)]], 0)</f>
        <v>2500</v>
      </c>
    </row>
    <row r="56" spans="1:18" ht="20.100000000000001" customHeight="1" x14ac:dyDescent="0.25">
      <c r="D56" s="150" t="s">
        <v>735</v>
      </c>
      <c r="E56" s="175">
        <v>0.16</v>
      </c>
      <c r="F56" s="151">
        <v>10</v>
      </c>
      <c r="G56" s="153">
        <f>Table_Input_OrganicFertiliser[[#This Row],[Amount applied (kg/hectare)]]*Table_Input_OrganicFertiliser[[#This Row],[Percentage of N in fertiliser]]</f>
        <v>1.6</v>
      </c>
      <c r="H56" s="151">
        <f>X_Cell_Fertiliser_AreaUnderCropping</f>
        <v>1000</v>
      </c>
      <c r="I56" s="153">
        <f>Table_Input_OrganicFertiliser[[#This Row],[Amount applied (kg/hectare)]]*Table_Input_OrganicFertiliser[[#This Row],[Application area (ha)]]</f>
        <v>10000</v>
      </c>
      <c r="J56" s="153">
        <f>IFERROR(Table_Input_OrganicFertiliser[[#This Row],[Amount N applied (kg/hectare)]]*Table_Input_OrganicFertiliser[[#This Row],[Application area (ha)]], 0)</f>
        <v>1600</v>
      </c>
    </row>
    <row r="57" spans="1:18" ht="20.100000000000001" customHeight="1" x14ac:dyDescent="0.25">
      <c r="A57" s="82" t="s">
        <v>1</v>
      </c>
    </row>
    <row r="58" spans="1:18" ht="20.100000000000001" customHeight="1" x14ac:dyDescent="0.25">
      <c r="A58" s="5" t="str">
        <f>HYPERLINK("#'Constants - Dairy'!A1", "Constants - Dairy")</f>
        <v>Constants - Dairy</v>
      </c>
    </row>
    <row r="59" spans="1:18" ht="20.100000000000001" customHeight="1" x14ac:dyDescent="0.25">
      <c r="A59" s="5" t="str">
        <f>HYPERLINK("#'Constants - Ag Residue'!A1", "Constants - Ag residue")</f>
        <v>Constants - Ag residue</v>
      </c>
    </row>
    <row r="60" spans="1:18" ht="20.100000000000001" customHeight="1" x14ac:dyDescent="0.25">
      <c r="A60" s="5" t="str">
        <f>HYPERLINK("#'Constants - Common Livestock'!A1", "Constants - Common Livestock")</f>
        <v>Constants - Common Livestock</v>
      </c>
    </row>
    <row r="61" spans="1:18" ht="20.100000000000001" customHeight="1" x14ac:dyDescent="0.25">
      <c r="A61" s="5" t="str">
        <f>HYPERLINK("#'Constants - Electricity'!A1", "Constants - Electricity")</f>
        <v>Constants - Electricity</v>
      </c>
    </row>
    <row r="62" spans="1:18" ht="20.100000000000001" customHeight="1" x14ac:dyDescent="0.25">
      <c r="A62" s="5" t="str">
        <f>HYPERLINK("#'Constants - Fertiliser'!A1", "Constants - Fertiliser")</f>
        <v>Constants - Fertiliser</v>
      </c>
    </row>
    <row r="63" spans="1:18" ht="20.100000000000001" customHeight="1" x14ac:dyDescent="0.25">
      <c r="A63" s="5" t="str">
        <f>HYPERLINK("#'Constants - Fuel'!A1", "Constants - Fuel")</f>
        <v>Constants - Fuel</v>
      </c>
    </row>
    <row r="64" spans="1:18" ht="20.100000000000001" customHeight="1" x14ac:dyDescent="0.25">
      <c r="A64" s="5" t="str">
        <f>HYPERLINK("#'Constants - Scope 3'!A1", "Constants - Scope 3")</f>
        <v>Constants - Scope 3</v>
      </c>
    </row>
    <row r="65" spans="1:1" ht="20.100000000000001" customHeight="1" x14ac:dyDescent="0.25">
      <c r="A65" s="5" t="str">
        <f>HYPERLINK("#'Constants - Common'!A1", "Constants - Common")</f>
        <v>Constants - Common</v>
      </c>
    </row>
    <row r="66" spans="1:1" ht="20.100000000000001" customHeight="1" x14ac:dyDescent="0.25">
      <c r="A66" s="5" t="str">
        <f>HYPERLINK("#'Constants - Refrigerants'!A1", "Constants - Refrigerants")</f>
        <v>Constants - Refrigerants</v>
      </c>
    </row>
    <row r="67" spans="1:1" ht="20.100000000000001" customHeight="1" x14ac:dyDescent="0.25">
      <c r="A67" s="5" t="str">
        <f>HYPERLINK("#'Constants - Solid Waste'!A1", "Constants - Solid Waste")</f>
        <v>Constants - Solid Waste</v>
      </c>
    </row>
    <row r="68" spans="1:1" ht="20.100000000000001" customHeight="1" x14ac:dyDescent="0.25">
      <c r="A68" s="5" t="str">
        <f>HYPERLINK("#'Acknowledgements'!A1", "Acknowledgements")</f>
        <v>Acknowledgements</v>
      </c>
    </row>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row r="115" spans="13:13" ht="20.100000000000001" customHeight="1" x14ac:dyDescent="0.25"/>
    <row r="116" spans="13:13" ht="20.100000000000001" customHeight="1" x14ac:dyDescent="0.25"/>
    <row r="117" spans="13:13" ht="20.100000000000001" customHeight="1" x14ac:dyDescent="0.25"/>
    <row r="118" spans="13:13" ht="20.100000000000001" customHeight="1" x14ac:dyDescent="0.25"/>
    <row r="119" spans="13:13" ht="20.100000000000001" customHeight="1" x14ac:dyDescent="0.25"/>
    <row r="120" spans="13:13" ht="20.100000000000001" customHeight="1" x14ac:dyDescent="0.25"/>
    <row r="121" spans="13:13" ht="20.100000000000001" customHeight="1" x14ac:dyDescent="0.25"/>
    <row r="122" spans="13:13" ht="20.100000000000001" customHeight="1" x14ac:dyDescent="0.25"/>
    <row r="123" spans="13:13" ht="20.100000000000001" customHeight="1" x14ac:dyDescent="0.25"/>
    <row r="124" spans="13:13" ht="20.100000000000001" customHeight="1" x14ac:dyDescent="0.25"/>
    <row r="125" spans="13:13" ht="20.100000000000001" customHeight="1" x14ac:dyDescent="0.25"/>
    <row r="126" spans="13:13" ht="20.100000000000001" customHeight="1" x14ac:dyDescent="0.25">
      <c r="M126" s="24"/>
    </row>
    <row r="127" spans="13:13" ht="20.100000000000001" customHeight="1" x14ac:dyDescent="0.25">
      <c r="M127" s="24"/>
    </row>
    <row r="128" spans="13:13"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row r="149" spans="13:13" ht="20.100000000000001" customHeight="1" x14ac:dyDescent="0.25"/>
    <row r="150" spans="13:13" ht="20.100000000000001" customHeight="1" x14ac:dyDescent="0.25"/>
    <row r="151" spans="13:13" ht="20.100000000000001" customHeight="1" x14ac:dyDescent="0.25"/>
    <row r="152" spans="13:13" ht="20.100000000000001" customHeight="1" x14ac:dyDescent="0.25"/>
    <row r="153" spans="13:13" ht="20.100000000000001" customHeight="1" x14ac:dyDescent="0.25"/>
    <row r="154" spans="13:13" ht="20.100000000000001" customHeight="1" x14ac:dyDescent="0.25"/>
    <row r="155" spans="13:13" ht="20.100000000000001" customHeight="1" x14ac:dyDescent="0.25"/>
    <row r="156" spans="13:13" ht="20.100000000000001" customHeight="1" x14ac:dyDescent="0.25"/>
    <row r="157" spans="13:13" ht="20.100000000000001" customHeight="1" x14ac:dyDescent="0.25"/>
    <row r="158" spans="13:13" ht="20.100000000000001" customHeight="1" x14ac:dyDescent="0.25"/>
    <row r="159" spans="13:13" ht="20.100000000000001" customHeight="1" x14ac:dyDescent="0.25"/>
    <row r="160" spans="13:13"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24" spans="12:12" x14ac:dyDescent="0.25">
      <c r="L224" s="16"/>
    </row>
    <row r="225" spans="12:12" x14ac:dyDescent="0.25">
      <c r="L225" s="16"/>
    </row>
    <row r="226" spans="12:12" x14ac:dyDescent="0.25">
      <c r="L226" s="16"/>
    </row>
    <row r="227" spans="12:12" x14ac:dyDescent="0.25">
      <c r="L227" s="16"/>
    </row>
    <row r="228" spans="12:12" x14ac:dyDescent="0.25">
      <c r="L228" s="16"/>
    </row>
    <row r="230" spans="12:12" x14ac:dyDescent="0.25">
      <c r="L230" s="16"/>
    </row>
    <row r="232" spans="12:12" x14ac:dyDescent="0.25">
      <c r="L232" s="16"/>
    </row>
    <row r="233" spans="12:12" x14ac:dyDescent="0.25">
      <c r="L233" s="16"/>
    </row>
    <row r="234" spans="12:12" x14ac:dyDescent="0.25">
      <c r="L234" s="16"/>
    </row>
    <row r="235" spans="12:12" x14ac:dyDescent="0.25">
      <c r="L235" s="16"/>
    </row>
    <row r="237" spans="12:12" x14ac:dyDescent="0.25">
      <c r="L237" s="16"/>
    </row>
    <row r="245" spans="12:12" x14ac:dyDescent="0.25">
      <c r="L245" s="16"/>
    </row>
    <row r="246" spans="12:12" x14ac:dyDescent="0.25">
      <c r="L246" s="16"/>
    </row>
    <row r="247" spans="12:12" x14ac:dyDescent="0.25">
      <c r="L247" s="16"/>
    </row>
    <row r="250" spans="12:12" x14ac:dyDescent="0.25">
      <c r="L250" s="16"/>
    </row>
    <row r="251" spans="12:12" x14ac:dyDescent="0.25">
      <c r="L251" s="16"/>
    </row>
    <row r="252" spans="12:12" x14ac:dyDescent="0.25">
      <c r="L252" s="16"/>
    </row>
    <row r="255" spans="12:12" x14ac:dyDescent="0.25">
      <c r="L255" s="16"/>
    </row>
    <row r="256" spans="12:12" x14ac:dyDescent="0.25">
      <c r="L256" s="16"/>
    </row>
    <row r="257" spans="11:12" x14ac:dyDescent="0.25">
      <c r="L257" s="16"/>
    </row>
    <row r="260" spans="11:12" x14ac:dyDescent="0.25">
      <c r="L260" s="16"/>
    </row>
    <row r="261" spans="11:12" x14ac:dyDescent="0.25">
      <c r="L261" s="16"/>
    </row>
    <row r="262" spans="11:12" x14ac:dyDescent="0.25">
      <c r="L262" s="16"/>
    </row>
    <row r="263" spans="11:12" x14ac:dyDescent="0.25">
      <c r="K263" s="16"/>
    </row>
    <row r="268" spans="11:12" x14ac:dyDescent="0.25">
      <c r="K268" s="16"/>
    </row>
    <row r="269" spans="11:12" x14ac:dyDescent="0.25">
      <c r="L269" s="16"/>
    </row>
    <row r="270" spans="11:12" x14ac:dyDescent="0.25">
      <c r="L270" s="16"/>
    </row>
    <row r="271" spans="11:12" x14ac:dyDescent="0.25">
      <c r="L271" s="16"/>
    </row>
    <row r="273" spans="11:12" x14ac:dyDescent="0.25">
      <c r="K273" s="16"/>
    </row>
    <row r="274" spans="11:12" x14ac:dyDescent="0.25">
      <c r="L274" s="16"/>
    </row>
    <row r="275" spans="11:12" x14ac:dyDescent="0.25">
      <c r="L275" s="16"/>
    </row>
    <row r="276" spans="11:12" x14ac:dyDescent="0.25">
      <c r="L276" s="16"/>
    </row>
    <row r="278" spans="11:12" x14ac:dyDescent="0.25">
      <c r="K278" s="16"/>
    </row>
    <row r="279" spans="11:12" x14ac:dyDescent="0.25">
      <c r="K279" s="16"/>
      <c r="L279" s="16"/>
    </row>
    <row r="280" spans="11:12" x14ac:dyDescent="0.25">
      <c r="K280" s="16"/>
      <c r="L280" s="16"/>
    </row>
    <row r="281" spans="11:12" x14ac:dyDescent="0.25">
      <c r="K281" s="16"/>
      <c r="L281" s="16"/>
    </row>
    <row r="282" spans="11:12" x14ac:dyDescent="0.25">
      <c r="K282" s="16"/>
    </row>
    <row r="284" spans="11:12" x14ac:dyDescent="0.25">
      <c r="K284" s="16"/>
      <c r="L284" s="16"/>
    </row>
    <row r="285" spans="11:12" x14ac:dyDescent="0.25">
      <c r="L285" s="16"/>
    </row>
    <row r="286" spans="11:12" x14ac:dyDescent="0.25">
      <c r="K286" s="16"/>
      <c r="L286" s="16"/>
    </row>
    <row r="287" spans="11:12" x14ac:dyDescent="0.25">
      <c r="K287" s="16"/>
    </row>
    <row r="288" spans="11:12" x14ac:dyDescent="0.25">
      <c r="K288" s="16"/>
    </row>
    <row r="289" spans="11:11" x14ac:dyDescent="0.25">
      <c r="K289" s="16"/>
    </row>
    <row r="291" spans="11:11" x14ac:dyDescent="0.25">
      <c r="K291" s="16"/>
    </row>
    <row r="297" spans="11:11" x14ac:dyDescent="0.25">
      <c r="K297" s="16"/>
    </row>
    <row r="302" spans="11:11" x14ac:dyDescent="0.25">
      <c r="K302" s="16"/>
    </row>
    <row r="307" spans="11:11" x14ac:dyDescent="0.25">
      <c r="K307" s="16"/>
    </row>
    <row r="312" spans="11:11" x14ac:dyDescent="0.25">
      <c r="K312" s="16"/>
    </row>
    <row r="313" spans="11:11" x14ac:dyDescent="0.25">
      <c r="K313" s="16"/>
    </row>
    <row r="314" spans="11:11" x14ac:dyDescent="0.25">
      <c r="K314" s="16"/>
    </row>
    <row r="315" spans="11:11" x14ac:dyDescent="0.25">
      <c r="K315" s="16"/>
    </row>
    <row r="316" spans="11:11" x14ac:dyDescent="0.25">
      <c r="K316" s="16"/>
    </row>
    <row r="318" spans="11:11" x14ac:dyDescent="0.25">
      <c r="K318" s="16"/>
    </row>
    <row r="320" spans="11:11" x14ac:dyDescent="0.25">
      <c r="K320" s="16"/>
    </row>
    <row r="321" spans="11:11" x14ac:dyDescent="0.25">
      <c r="K321" s="16"/>
    </row>
    <row r="322" spans="11:11" x14ac:dyDescent="0.25">
      <c r="K322" s="16"/>
    </row>
    <row r="323" spans="11:11" x14ac:dyDescent="0.25">
      <c r="K323" s="16"/>
    </row>
    <row r="325" spans="11:11" x14ac:dyDescent="0.25">
      <c r="K325" s="16"/>
    </row>
    <row r="333" spans="11:11" x14ac:dyDescent="0.25">
      <c r="K333" s="16"/>
    </row>
    <row r="334" spans="11:11" x14ac:dyDescent="0.25">
      <c r="K334" s="16"/>
    </row>
    <row r="335" spans="11:11" x14ac:dyDescent="0.25">
      <c r="K335" s="16"/>
    </row>
    <row r="338" spans="11:11" x14ac:dyDescent="0.25">
      <c r="K338" s="16"/>
    </row>
    <row r="339" spans="11:11" x14ac:dyDescent="0.25">
      <c r="K339" s="16"/>
    </row>
    <row r="340" spans="11:11" x14ac:dyDescent="0.25">
      <c r="K340" s="16"/>
    </row>
    <row r="343" spans="11:11" x14ac:dyDescent="0.25">
      <c r="K343" s="16"/>
    </row>
    <row r="344" spans="11:11" x14ac:dyDescent="0.25">
      <c r="K344" s="16"/>
    </row>
    <row r="345" spans="11:11" x14ac:dyDescent="0.25">
      <c r="K345" s="16"/>
    </row>
    <row r="348" spans="11:11" x14ac:dyDescent="0.25">
      <c r="K348" s="16"/>
    </row>
    <row r="349" spans="11:11" x14ac:dyDescent="0.25">
      <c r="K349" s="16"/>
    </row>
    <row r="350" spans="11:11" x14ac:dyDescent="0.25">
      <c r="K350" s="16"/>
    </row>
    <row r="357" spans="11:11" x14ac:dyDescent="0.25">
      <c r="K357" s="16"/>
    </row>
    <row r="358" spans="11:11" x14ac:dyDescent="0.25">
      <c r="K358" s="16"/>
    </row>
    <row r="359" spans="11:11" x14ac:dyDescent="0.25">
      <c r="K359" s="16"/>
    </row>
    <row r="362" spans="11:11" x14ac:dyDescent="0.25">
      <c r="K362" s="16"/>
    </row>
    <row r="363" spans="11:11" x14ac:dyDescent="0.25">
      <c r="K363" s="16"/>
    </row>
    <row r="364" spans="11:11" x14ac:dyDescent="0.25">
      <c r="K364" s="16"/>
    </row>
    <row r="367" spans="11:11" x14ac:dyDescent="0.25">
      <c r="K367" s="16"/>
    </row>
    <row r="368" spans="11:11" x14ac:dyDescent="0.25">
      <c r="K368" s="16"/>
    </row>
    <row r="369" spans="4:11" x14ac:dyDescent="0.25">
      <c r="K369" s="16"/>
    </row>
    <row r="372" spans="4:11" x14ac:dyDescent="0.25">
      <c r="K372" s="16"/>
    </row>
    <row r="373" spans="4:11" x14ac:dyDescent="0.25">
      <c r="K373" s="16"/>
    </row>
    <row r="374" spans="4:11" x14ac:dyDescent="0.25">
      <c r="K374" s="16"/>
    </row>
    <row r="378" spans="4:11" x14ac:dyDescent="0.25">
      <c r="D378" s="79"/>
    </row>
  </sheetData>
  <conditionalFormatting sqref="F155:F156">
    <cfRule type="cellIs" dxfId="89" priority="15" operator="lessThan">
      <formula>0</formula>
    </cfRule>
  </conditionalFormatting>
  <conditionalFormatting sqref="F167:F168">
    <cfRule type="cellIs" dxfId="88" priority="14" operator="lessThan">
      <formula>0</formula>
    </cfRule>
  </conditionalFormatting>
  <conditionalFormatting sqref="F179:F180">
    <cfRule type="cellIs" dxfId="87" priority="13" operator="lessThan">
      <formula>0</formula>
    </cfRule>
  </conditionalFormatting>
  <conditionalFormatting sqref="F267:F268">
    <cfRule type="cellIs" dxfId="86" priority="26" operator="lessThan">
      <formula>0</formula>
    </cfRule>
  </conditionalFormatting>
  <conditionalFormatting sqref="F272:F273">
    <cfRule type="cellIs" dxfId="85" priority="25" operator="lessThan">
      <formula>0</formula>
    </cfRule>
  </conditionalFormatting>
  <conditionalFormatting sqref="F277:F278">
    <cfRule type="cellIs" dxfId="84" priority="24" operator="lessThan">
      <formula>0</formula>
    </cfRule>
  </conditionalFormatting>
  <conditionalFormatting sqref="F301:F302">
    <cfRule type="cellIs" dxfId="83" priority="23" operator="lessThan">
      <formula>0</formula>
    </cfRule>
  </conditionalFormatting>
  <conditionalFormatting sqref="F306:F307">
    <cfRule type="cellIs" dxfId="82" priority="22" operator="lessThan">
      <formula>0</formula>
    </cfRule>
  </conditionalFormatting>
  <conditionalFormatting sqref="F311:F312">
    <cfRule type="cellIs" dxfId="81" priority="21" operator="lessThan">
      <formula>0</formula>
    </cfRule>
  </conditionalFormatting>
  <conditionalFormatting sqref="H53 F143:F144">
    <cfRule type="cellIs" dxfId="80"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79" priority="20" operator="lessThan">
      <formula>0</formula>
    </cfRule>
  </conditionalFormatting>
  <conditionalFormatting sqref="I41:I44 I46:I47 F58 I75:I78 L198 K200 L202:L203 K204:K205 L206:L207 K208:K209 L212:L213 K214:K215 L216:L217 K218:K219 L223:L228 K225">
    <cfRule type="cellIs" dxfId="78" priority="18" operator="lessThan">
      <formula>0</formula>
    </cfRule>
  </conditionalFormatting>
  <conditionalFormatting sqref="I82 M119 I141:J141">
    <cfRule type="cellIs" dxfId="77" priority="19" operator="lessThan">
      <formula>0</formula>
    </cfRule>
  </conditionalFormatting>
  <conditionalFormatting sqref="I93:I95">
    <cfRule type="cellIs" dxfId="76" priority="3" operator="lessThan">
      <formula>0</formula>
    </cfRule>
  </conditionalFormatting>
  <conditionalFormatting sqref="I99:I102">
    <cfRule type="cellIs" dxfId="75" priority="2" operator="lessThan">
      <formula>0</formula>
    </cfRule>
  </conditionalFormatting>
  <conditionalFormatting sqref="I106:I110">
    <cfRule type="cellIs" dxfId="74" priority="1" operator="lessThan">
      <formula>0</formula>
    </cfRule>
  </conditionalFormatting>
  <conditionalFormatting sqref="J169">
    <cfRule type="cellIs" dxfId="73" priority="17" operator="lessThan">
      <formula>0</formula>
    </cfRule>
  </conditionalFormatting>
  <conditionalFormatting sqref="L131:L134">
    <cfRule type="cellIs" dxfId="72" priority="7" operator="lessThan">
      <formula>0</formula>
    </cfRule>
  </conditionalFormatting>
  <conditionalFormatting sqref="L137">
    <cfRule type="cellIs" dxfId="71" priority="12" operator="lessThan">
      <formula>0</formula>
    </cfRule>
  </conditionalFormatting>
  <conditionalFormatting sqref="L143:L146">
    <cfRule type="cellIs" dxfId="70" priority="6" operator="lessThan">
      <formula>0</formula>
    </cfRule>
  </conditionalFormatting>
  <conditionalFormatting sqref="L149">
    <cfRule type="cellIs" dxfId="69" priority="11" operator="lessThan">
      <formula>0</formula>
    </cfRule>
  </conditionalFormatting>
  <conditionalFormatting sqref="L155:L158">
    <cfRule type="cellIs" dxfId="68" priority="5" operator="lessThan">
      <formula>0</formula>
    </cfRule>
  </conditionalFormatting>
  <conditionalFormatting sqref="L161">
    <cfRule type="cellIs" dxfId="67" priority="10" operator="lessThan">
      <formula>0</formula>
    </cfRule>
  </conditionalFormatting>
  <conditionalFormatting sqref="L167:L170">
    <cfRule type="cellIs" dxfId="66" priority="4" operator="lessThan">
      <formula>0</formula>
    </cfRule>
  </conditionalFormatting>
  <conditionalFormatting sqref="L173">
    <cfRule type="cellIs" dxfId="65" priority="9" operator="lessThan">
      <formula>0</formula>
    </cfRule>
  </conditionalFormatting>
  <conditionalFormatting sqref="L177:L178">
    <cfRule type="cellIs" dxfId="64" priority="8" operator="lessThan">
      <formula>0</formula>
    </cfRule>
  </conditionalFormatting>
  <conditionalFormatting sqref="L230 L232:L235 L237 J245:J247 J250:J252">
    <cfRule type="cellIs" dxfId="63" priority="27" operator="lessThan">
      <formula>0</formula>
    </cfRule>
  </conditionalFormatting>
  <dataValidations count="9">
    <dataValidation type="list" allowBlank="1" showInputMessage="1" showErrorMessage="1" sqref="D12:D21" xr:uid="{276ACD67-6533-4EEC-B1E6-C21D3F0688E1}">
      <formula1>INDIRECT("FertiliserProducts[Product]")</formula1>
    </dataValidation>
    <dataValidation type="list" allowBlank="1" showInputMessage="1" showErrorMessage="1" sqref="Q25:R34" xr:uid="{3AEE1FF7-F5FF-449D-BAB2-2C769CB419B7}">
      <formula1>INDIRECT("Table_SourceData_Fertiliser_UreaAmmoniaSources[Source]")</formula1>
    </dataValidation>
    <dataValidation type="list" allowBlank="1" showInputMessage="1" showErrorMessage="1" sqref="D54:D56" xr:uid="{4F1BC3D1-A46A-4293-8E8C-E1B169292C0C}">
      <formula1>INDIRECT("Table_SourceData_OrganicFertiliserTypes[Organic fertiliser type]")</formula1>
    </dataValidation>
    <dataValidation type="list" allowBlank="1" showInputMessage="1" showErrorMessage="1" sqref="H25:H34 J25:J34 L25:L34 N25:N34" xr:uid="{4C2D189E-0829-4751-85C4-9DA0933A4519}">
      <formula1>INDIRECT("Table_Fertiliser_ChemicalCompounds[Fertiliser type f]")</formula1>
    </dataValidation>
    <dataValidation type="list" allowBlank="1" showInputMessage="1" showErrorMessage="1" sqref="E81" xr:uid="{7675F8E9-DB47-41DF-A17D-0B0495E5DB5F}">
      <formula1>INDIRECT("Table_SourceData_Swine_CropProdSystems[Production system]")</formula1>
    </dataValidation>
    <dataValidation type="list" allowBlank="1" showInputMessage="1" showErrorMessage="1" sqref="E82" xr:uid="{2766B764-F0DB-4433-B736-7F8524213CAD}">
      <formula1>INDIRECT("Table_SourceData_Swine_IrrigationMethods[Irrigation method]")</formula1>
    </dataValidation>
    <dataValidation type="list" allowBlank="1" showInputMessage="1" showErrorMessage="1" sqref="E266 E271 E276 E310 E305 E300 E178 E166 E142 E154" xr:uid="{AD5D14F1-5117-4A40-9F37-6122FB84E35E}">
      <formula1>"Yes, No"</formula1>
    </dataValidation>
    <dataValidation type="list" allowBlank="1" showInputMessage="1" showErrorMessage="1" sqref="E242" xr:uid="{B1C2812C-CE90-4265-AF02-3672F0FCCFAF}">
      <formula1>INDIRECT("Table_SourceData_Dairy_ProductionSystemTemplates[Area]")</formula1>
    </dataValidation>
    <dataValidation type="list" allowBlank="1" showInputMessage="1" showErrorMessage="1" sqref="D294" xr:uid="{D01B718B-E215-4C1B-A67A-AF56CB886653}">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65FED-A75A-4869-95F8-BCAED4F12ED1}">
  <sheetPr>
    <tabColor theme="5" tint="-0.249977111117893"/>
  </sheetPr>
  <dimension ref="A1:K346"/>
  <sheetViews>
    <sheetView showGridLines="0" zoomScaleNormal="100" workbookViewId="0">
      <pane xSplit="1" topLeftCell="B1" activePane="topRight" state="frozenSplit"/>
      <selection pane="topRight" activeCell="A5" sqref="A5"/>
    </sheetView>
  </sheetViews>
  <sheetFormatPr defaultRowHeight="15.75" x14ac:dyDescent="0.25"/>
  <cols>
    <col min="1" max="1" width="36.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0" customFormat="1" ht="30" customHeight="1" x14ac:dyDescent="0.35">
      <c r="A1" s="10" t="e" vm="1">
        <v>#VALUE!</v>
      </c>
      <c r="C1" s="10" t="s">
        <v>905</v>
      </c>
    </row>
    <row r="2" spans="1:11" s="3" customFormat="1" ht="20.100000000000001" customHeight="1" x14ac:dyDescent="0.25">
      <c r="A2"/>
    </row>
    <row r="3" spans="1:11" ht="20.100000000000001" customHeight="1" x14ac:dyDescent="0.25">
      <c r="A3" s="5" t="str">
        <f>HYPERLINK("#'Home'!A1", "Home")</f>
        <v>Home</v>
      </c>
      <c r="C3" s="28"/>
      <c r="D3" s="28"/>
      <c r="E3" s="28"/>
      <c r="F3" s="28"/>
      <c r="G3" s="28"/>
      <c r="H3" s="28"/>
      <c r="I3" s="28"/>
      <c r="J3" s="28"/>
      <c r="K3" s="28"/>
    </row>
    <row r="4" spans="1:11" ht="20.100000000000001" customHeight="1" x14ac:dyDescent="0.25">
      <c r="A4" s="5" t="str">
        <f>HYPERLINK("#'Results - Activity period'!A1", "Results - Activity period")</f>
        <v>Results - Activity period</v>
      </c>
    </row>
    <row r="5" spans="1:11" ht="20.100000000000001" customHeight="1" x14ac:dyDescent="0.25">
      <c r="A5" s="5" t="str">
        <f>HYPERLINK("#'Results - Product EI'!A1", "Results - Product Emissions Intensity")</f>
        <v>Results - Product Emissions Intensity</v>
      </c>
      <c r="D5" s="2" t="s">
        <v>906</v>
      </c>
      <c r="E5" s="24"/>
      <c r="F5" s="24"/>
      <c r="G5" s="24"/>
      <c r="H5" s="24"/>
    </row>
    <row r="6" spans="1:11" ht="20.100000000000001" customHeight="1" x14ac:dyDescent="0.25">
      <c r="A6" s="5" t="str">
        <f>HYPERLINK("#'Results'!A1", "Results")</f>
        <v>Results</v>
      </c>
      <c r="D6" s="8"/>
      <c r="E6" s="8"/>
      <c r="F6" s="8"/>
      <c r="G6" s="8"/>
      <c r="H6" s="8"/>
      <c r="I6" s="8"/>
      <c r="J6" s="8"/>
    </row>
    <row r="7" spans="1:11" ht="20.100000000000001" customHeight="1" x14ac:dyDescent="0.25">
      <c r="D7" s="1" t="s">
        <v>907</v>
      </c>
    </row>
    <row r="8" spans="1:11" ht="20.100000000000001" customHeight="1" x14ac:dyDescent="0.25">
      <c r="D8" s="1" t="s">
        <v>908</v>
      </c>
    </row>
    <row r="9" spans="1:11" ht="20.100000000000001" customHeight="1" x14ac:dyDescent="0.25">
      <c r="A9" s="7" t="s">
        <v>0</v>
      </c>
      <c r="D9" s="1" t="s">
        <v>909</v>
      </c>
    </row>
    <row r="10" spans="1:11" ht="20.100000000000001" customHeight="1" x14ac:dyDescent="0.25">
      <c r="A10" s="5" t="str">
        <f>HYPERLINK("#'Input - Enterprise'!A1", "Enterprise")</f>
        <v>Enterprise</v>
      </c>
    </row>
    <row r="11" spans="1:11" ht="20.100000000000001" customHeight="1" x14ac:dyDescent="0.25">
      <c r="A11" s="5" t="str">
        <f>HYPERLINK("#'Input - Site'!A1", "Site")</f>
        <v>Site</v>
      </c>
      <c r="D11" s="1" t="s">
        <v>910</v>
      </c>
      <c r="E11" s="13" t="s">
        <v>911</v>
      </c>
      <c r="F11" s="16" t="s">
        <v>100</v>
      </c>
    </row>
    <row r="12" spans="1:11" ht="20.100000000000001" customHeight="1" x14ac:dyDescent="0.25">
      <c r="A12" s="5" t="str">
        <f>HYPERLINK("#'Input - Dairy'!A1", "Dairy")</f>
        <v>Dairy</v>
      </c>
    </row>
    <row r="13" spans="1:11" ht="20.100000000000001" customHeight="1" x14ac:dyDescent="0.25">
      <c r="A13" s="5" t="str">
        <f>HYPERLINK("#'Input - Livestock sales'!A1", "Livestock sales")</f>
        <v>Livestock sales</v>
      </c>
      <c r="D13" s="139" t="s">
        <v>879</v>
      </c>
      <c r="E13" s="43"/>
      <c r="F13" s="43"/>
      <c r="G13" s="43"/>
      <c r="H13" s="44"/>
    </row>
    <row r="14" spans="1:11" ht="20.100000000000001" customHeight="1" x14ac:dyDescent="0.25">
      <c r="A14" s="5" t="str">
        <f>HYPERLINK("#'Input - Dairy cattle purchases'!A1", "Dairy cattle purchases")</f>
        <v>Dairy cattle purchases</v>
      </c>
      <c r="D14" s="45" t="s">
        <v>912</v>
      </c>
      <c r="E14" s="46"/>
      <c r="F14" s="46"/>
      <c r="G14" s="46"/>
      <c r="H14" s="47"/>
    </row>
    <row r="15" spans="1:11" ht="20.100000000000001" customHeight="1" x14ac:dyDescent="0.25">
      <c r="A15" s="5" t="str">
        <f>HYPERLINK("#'Input - Pasture'!A1", "Pasture")</f>
        <v>Pasture</v>
      </c>
      <c r="D15" s="8"/>
      <c r="E15" s="8"/>
      <c r="F15" s="8"/>
      <c r="G15" s="8"/>
      <c r="H15" s="8"/>
      <c r="I15" s="8"/>
      <c r="J15" s="8"/>
    </row>
    <row r="16" spans="1:11" ht="20.100000000000001" customHeight="1" x14ac:dyDescent="0.25">
      <c r="A16" s="5" t="str">
        <f>HYPERLINK("#'Input - Fert Prod System'!A1", "Fert Prod System")</f>
        <v>Fert Prod System</v>
      </c>
      <c r="D16" s="81" t="s">
        <v>913</v>
      </c>
      <c r="E16" s="81" t="s">
        <v>914</v>
      </c>
      <c r="F16" s="81" t="s">
        <v>915</v>
      </c>
      <c r="G16" s="81" t="s">
        <v>916</v>
      </c>
      <c r="H16" s="81" t="s">
        <v>917</v>
      </c>
      <c r="I16" s="81" t="s">
        <v>918</v>
      </c>
      <c r="J16" s="81" t="s">
        <v>919</v>
      </c>
    </row>
    <row r="17" spans="1:10" ht="20.100000000000001" customHeight="1" x14ac:dyDescent="0.25">
      <c r="A17" s="5" t="str">
        <f>HYPERLINK("#'Input - Fertiliser'!A1", "Fertiliser")</f>
        <v>Fertiliser</v>
      </c>
      <c r="D17" s="13" t="s">
        <v>920</v>
      </c>
      <c r="E17" s="13" t="s">
        <v>921</v>
      </c>
      <c r="F17" s="202">
        <v>100</v>
      </c>
      <c r="G17" s="15" t="str" cm="1">
        <f t="array" ref="G17">Common_InputFunctions.Utility_LookupValueInTable(Table_Input_Fuel[[#This Row],[Fuel type (select)]],Table_FuelTypes_Units[Fuel type], Table_FuelTypes_Units[Input Unit])</f>
        <v>GJ</v>
      </c>
      <c r="H17" s="203">
        <f>1</f>
        <v>1</v>
      </c>
      <c r="I17" s="15">
        <f>Table_Input_Fuel[[#This Row],[Amount purchased]]*Table_Input_Fuel[[#This Row],[Percent consumed]]*IF(Table_Input_Fuel[[#This Row],[Amount unit]]="L", 10^-3, 1)</f>
        <v>100</v>
      </c>
      <c r="J17" s="15" t="str" cm="1">
        <f t="array" ref="J17">Common_InputFunctions.Utility_LookupValueInTable(Table_Input_Fuel[[#This Row],[Fuel type (select)]],Table_FuelTypes_Units[Fuel type], Table_FuelTypes_Units[Unit])</f>
        <v>GJ</v>
      </c>
    </row>
    <row r="18" spans="1:10" ht="20.100000000000001" customHeight="1" x14ac:dyDescent="0.25">
      <c r="A18" s="99" t="str">
        <f>HYPERLINK("#'Input - Fuel'!A1", "Fuel")</f>
        <v>Fuel</v>
      </c>
      <c r="D18" s="13" t="s">
        <v>920</v>
      </c>
      <c r="E18" s="13" t="s">
        <v>922</v>
      </c>
      <c r="F18" s="202">
        <v>10000</v>
      </c>
      <c r="G18" s="15" t="str" cm="1">
        <f t="array" ref="G18">Common_InputFunctions.Utility_LookupValueInTable(Table_Input_Fuel[[#This Row],[Fuel type (select)]],Table_FuelTypes_Units[Fuel type], Table_FuelTypes_Units[Input Unit])</f>
        <v>L</v>
      </c>
      <c r="H18" s="204">
        <f>1</f>
        <v>1</v>
      </c>
      <c r="I18" s="15">
        <f>Table_Input_Fuel[[#This Row],[Amount purchased]]*Table_Input_Fuel[[#This Row],[Percent consumed]]*IF(Table_Input_Fuel[[#This Row],[Amount unit]]="L", 10^-3, 1)</f>
        <v>10</v>
      </c>
      <c r="J18" s="15" t="str" cm="1">
        <f t="array" ref="J18">Common_InputFunctions.Utility_LookupValueInTable(Table_Input_Fuel[[#This Row],[Fuel type (select)]],Table_FuelTypes_Units[Fuel type], Table_FuelTypes_Units[Unit])</f>
        <v>kL</v>
      </c>
    </row>
    <row r="19" spans="1:10" ht="20.100000000000001" customHeight="1" x14ac:dyDescent="0.25">
      <c r="A19" s="5" t="str">
        <f>HYPERLINK("#'Input - Electricity'!A1", "Electricity")</f>
        <v>Electricity</v>
      </c>
      <c r="D19" s="13" t="s">
        <v>923</v>
      </c>
      <c r="E19" s="13" t="s">
        <v>924</v>
      </c>
      <c r="F19" s="202">
        <v>10000</v>
      </c>
      <c r="G19" s="15" t="str" cm="1">
        <f t="array" ref="G19">Common_InputFunctions.Utility_LookupValueInTable(Table_Input_Fuel[[#This Row],[Fuel type (select)]],Table_FuelTypes_Units[Fuel type], Table_FuelTypes_Units[Input Unit])</f>
        <v>L</v>
      </c>
      <c r="H19" s="204">
        <f>1</f>
        <v>1</v>
      </c>
      <c r="I19" s="15">
        <f>Table_Input_Fuel[[#This Row],[Amount purchased]]*Table_Input_Fuel[[#This Row],[Percent consumed]]*IF(Table_Input_Fuel[[#This Row],[Amount unit]]="L", 10^-3, 1)</f>
        <v>10</v>
      </c>
      <c r="J19" s="15" t="str" cm="1">
        <f t="array" ref="J19">Common_InputFunctions.Utility_LookupValueInTable(Table_Input_Fuel[[#This Row],[Fuel type (select)]],Table_FuelTypes_Units[Fuel type], Table_FuelTypes_Units[Unit])</f>
        <v>kL</v>
      </c>
    </row>
    <row r="20" spans="1:10" ht="20.100000000000001" customHeight="1" x14ac:dyDescent="0.25">
      <c r="A20" s="5" t="str">
        <f>HYPERLINK("#'Input - Common farm inputs'!A1", "Common farm inputs")</f>
        <v>Common farm inputs</v>
      </c>
      <c r="D20" s="13" t="s">
        <v>925</v>
      </c>
      <c r="E20" s="13" t="s">
        <v>924</v>
      </c>
      <c r="F20" s="202">
        <v>10000</v>
      </c>
      <c r="G20" s="15" t="str" cm="1">
        <f t="array" ref="G20">Common_InputFunctions.Utility_LookupValueInTable(Table_Input_Fuel[[#This Row],[Fuel type (select)]],Table_FuelTypes_Units[Fuel type], Table_FuelTypes_Units[Input Unit])</f>
        <v>L</v>
      </c>
      <c r="H20" s="204">
        <f>1</f>
        <v>1</v>
      </c>
      <c r="I20" s="15">
        <f>Table_Input_Fuel[[#This Row],[Amount purchased]]*Table_Input_Fuel[[#This Row],[Percent consumed]]*IF(Table_Input_Fuel[[#This Row],[Amount unit]]="L", 10^-3, 1)</f>
        <v>10</v>
      </c>
      <c r="J20" s="15" t="str" cm="1">
        <f t="array" ref="J20">Common_InputFunctions.Utility_LookupValueInTable(Table_Input_Fuel[[#This Row],[Fuel type (select)]],Table_FuelTypes_Units[Fuel type], Table_FuelTypes_Units[Unit])</f>
        <v>kL</v>
      </c>
    </row>
    <row r="21" spans="1:10" ht="20.100000000000001" customHeight="1" x14ac:dyDescent="0.25">
      <c r="A21" s="5" t="str">
        <f>HYPERLINK("#'Input - Crop pasture farm input'!A1", "Crop pasture farm input")</f>
        <v>Crop pasture farm input</v>
      </c>
      <c r="D21" s="96" t="s">
        <v>926</v>
      </c>
      <c r="E21" s="96" t="s">
        <v>927</v>
      </c>
      <c r="F21" s="202">
        <v>10000</v>
      </c>
      <c r="G21" s="205" t="str" cm="1">
        <f t="array" ref="G21">Common_InputFunctions.Utility_LookupValueInTable(Table_Input_Fuel[[#This Row],[Fuel type (select)]],Table_FuelTypes_Units[Fuel type], Table_FuelTypes_Units[Input Unit])</f>
        <v>L</v>
      </c>
      <c r="H21" s="206">
        <f>1</f>
        <v>1</v>
      </c>
      <c r="I21" s="205">
        <f>Table_Input_Fuel[[#This Row],[Amount purchased]]*Table_Input_Fuel[[#This Row],[Percent consumed]]*IF(Table_Input_Fuel[[#This Row],[Amount unit]]="L", 10^-3, 1)</f>
        <v>10</v>
      </c>
      <c r="J21" s="15" t="str" cm="1">
        <f t="array" ref="J21">Common_InputFunctions.Utility_LookupValueInTable(Table_Input_Fuel[[#This Row],[Fuel type (select)]],Table_FuelTypes_Units[Fuel type], Table_FuelTypes_Units[Unit])</f>
        <v>kL</v>
      </c>
    </row>
    <row r="22" spans="1:10" ht="20.100000000000001" customHeight="1" x14ac:dyDescent="0.25">
      <c r="A22" s="5" t="str">
        <f>HYPERLINK("#'Input - Livestock farm Inputs'!A1", "Livestock farm Inputs")</f>
        <v>Livestock farm Inputs</v>
      </c>
    </row>
    <row r="23" spans="1:10" ht="20.100000000000001" customHeight="1" x14ac:dyDescent="0.25">
      <c r="A23" s="5" t="str">
        <f>HYPERLINK("#'Input - Freight'!A1", "Freight")</f>
        <v>Freight</v>
      </c>
    </row>
    <row r="24" spans="1:10" ht="20.100000000000001" customHeight="1" x14ac:dyDescent="0.25">
      <c r="A24" s="5" t="str">
        <f>HYPERLINK("#'Input - Solid waste'!A1", "Solid waste")</f>
        <v>Solid waste</v>
      </c>
    </row>
    <row r="25" spans="1:10" ht="20.100000000000001" customHeight="1" x14ac:dyDescent="0.25">
      <c r="A25" s="5" t="str">
        <f>HYPERLINK("#'Input - Manure sent off-site'!A1", "Manure sent off-site")</f>
        <v>Manure sent off-site</v>
      </c>
    </row>
    <row r="26" spans="1:10" ht="20.100000000000001" customHeight="1" x14ac:dyDescent="0.25">
      <c r="A26" s="5" t="str">
        <f>HYPERLINK("#'Input - Refrigerants'!A1", "Refrigerants")</f>
        <v>Refrigerants</v>
      </c>
    </row>
    <row r="27" spans="1:10" ht="20.100000000000001" customHeight="1" x14ac:dyDescent="0.25">
      <c r="A27" s="5" t="str">
        <f>HYPERLINK("#'Input - Data quality'!A1", "Data quality")</f>
        <v>Data quality</v>
      </c>
    </row>
    <row r="28" spans="1:10" ht="20.100000000000001" customHeight="1" x14ac:dyDescent="0.25"/>
    <row r="29" spans="1:10" ht="20.100000000000001" customHeight="1" x14ac:dyDescent="0.25"/>
    <row r="30" spans="1:10" ht="20.100000000000001" customHeight="1" x14ac:dyDescent="0.25">
      <c r="A30" s="6" t="s">
        <v>2</v>
      </c>
    </row>
    <row r="31" spans="1:10" ht="20.100000000000001" customHeight="1" x14ac:dyDescent="0.25">
      <c r="A31" s="5" t="str">
        <f>HYPERLINK("#'3.3.1.1-2 Enteric Methane'!A1", "3.3.1.1-2 Enteric methane")</f>
        <v>3.3.1.1-2 Enteric methane</v>
      </c>
    </row>
    <row r="32" spans="1:10" ht="20.100000000000001" customHeight="1" x14ac:dyDescent="0.25">
      <c r="A32" s="5" t="str">
        <f>HYPERLINK("#'4.3.1.1-2 Methane'!A1", "4.3.1.1-2 Manure methane")</f>
        <v>4.3.1.1-2 Manure methane</v>
      </c>
    </row>
    <row r="33" spans="1:11" ht="20.100000000000001" customHeight="1" x14ac:dyDescent="0.25">
      <c r="A33" s="5" t="str">
        <f>HYPERLINK("#'4.3.1.3-4 Direct N20'!A1", "4.3.1.3-4 Direct N20")</f>
        <v>4.3.1.3-4 Direct N20</v>
      </c>
    </row>
    <row r="34" spans="1:11" ht="20.100000000000001" customHeight="1" x14ac:dyDescent="0.25">
      <c r="A34" s="5" t="str">
        <f>HYPERLINK("#'4.3.1.5 Atmos deposition'!A1", "4.3.1.5 Atmos deposition")</f>
        <v>4.3.1.5 Atmos deposition</v>
      </c>
    </row>
    <row r="35" spans="1:11" ht="20.100000000000001" customHeight="1" x14ac:dyDescent="0.25">
      <c r="A35" s="5" t="str">
        <f>HYPERLINK("#'4.3.1.6-7 Leaching and runoff'!A1", "4.3.1.6-7 Leaching &amp; runoff")</f>
        <v>4.3.1.6-7 Leaching &amp; runoff</v>
      </c>
    </row>
    <row r="36" spans="1:11" ht="20.100000000000001" customHeight="1" x14ac:dyDescent="0.25">
      <c r="A36" s="5" t="str">
        <f>HYPERLINK("#'4.3.1.8 Manure applied to soils'!A1", "4.3.1.8 Manure applied to soils")</f>
        <v>4.3.1.8 Manure applied to soils</v>
      </c>
    </row>
    <row r="37" spans="1:11" ht="20.100000000000001" customHeight="1" x14ac:dyDescent="0.25">
      <c r="A37" s="5" t="str">
        <f>HYPERLINK("#'4.3.1.9 Soil direct N2O'!A1", "4.3.1.9 Soil direct N2O")</f>
        <v>4.3.1.9 Soil direct N2O</v>
      </c>
    </row>
    <row r="38" spans="1:11" ht="20.100000000000001" customHeight="1" x14ac:dyDescent="0.25">
      <c r="A38" s="5" t="str">
        <f>HYPERLINK("#'4.3.1.10-11 Soil Atmos Dep'!A1", "4.3.1.10-11 Soil Atmos Deposition")</f>
        <v>4.3.1.10-11 Soil Atmos Deposition</v>
      </c>
      <c r="C38" s="160"/>
      <c r="K38" s="160"/>
    </row>
    <row r="39" spans="1:11" ht="20.100000000000001" customHeight="1" x14ac:dyDescent="0.25">
      <c r="A39" s="5" t="str">
        <f>HYPERLINK("#'4.3.1.12-13 Soil leach runoff'!A1", "4.3.1.12-13 Soil leach &amp; runoff")</f>
        <v>4.3.1.12-13 Soil leach &amp; runoff</v>
      </c>
      <c r="C39" s="160"/>
      <c r="K39" s="160"/>
    </row>
    <row r="40" spans="1:11" s="172" customFormat="1" ht="20.100000000000001" customHeight="1" x14ac:dyDescent="0.25">
      <c r="A40" s="5" t="str">
        <f>HYPERLINK("#'5.1.1.1-2 Inorganic fert N2O'!A1", "5.1.1.1-2 Inorganic fert N2O")</f>
        <v>5.1.1.1-2 Inorganic fert N2O</v>
      </c>
      <c r="C40" s="1"/>
      <c r="D40" s="1"/>
      <c r="E40" s="1"/>
      <c r="F40" s="1"/>
      <c r="G40" s="1"/>
      <c r="H40" s="1"/>
      <c r="I40" s="1"/>
      <c r="J40" s="1"/>
      <c r="K40" s="1"/>
    </row>
    <row r="41" spans="1:11" s="172" customFormat="1" ht="20.100000000000001" customHeight="1" x14ac:dyDescent="0.25">
      <c r="A41" s="5" t="str">
        <f>HYPERLINK("#'5.1.1.3-4 Inorganic fert CO2'!A1", "5.1.1.3-4 Inorganic fert CO2")</f>
        <v>5.1.1.3-4 Inorganic fert CO2</v>
      </c>
      <c r="C41" s="1"/>
      <c r="D41" s="1"/>
      <c r="E41" s="1"/>
      <c r="F41" s="1"/>
      <c r="G41" s="1"/>
      <c r="H41" s="1"/>
      <c r="I41" s="1"/>
      <c r="J41" s="1"/>
      <c r="K41" s="1"/>
    </row>
    <row r="42" spans="1:11" ht="20.100000000000001" customHeight="1" x14ac:dyDescent="0.25">
      <c r="A42" s="5" t="str">
        <f>HYPERLINK("#'5.2.1.1-2 Organic Fert N2O'!A1", "5.2.1.1-2 Organic fert N2O")</f>
        <v>5.2.1.1-2 Organic fert N2O</v>
      </c>
    </row>
    <row r="43" spans="1:11" ht="20.100000000000001" customHeight="1" x14ac:dyDescent="0.25">
      <c r="A43" s="5" t="str">
        <f>HYPERLINK("#'5.3.1.1-2 Lime CO2'!A1", "5.3.1.1-2 Lime CO2")</f>
        <v>5.3.1.1-2 Lime CO2</v>
      </c>
    </row>
    <row r="44" spans="1:11" ht="20.100000000000001" customHeight="1" x14ac:dyDescent="0.25">
      <c r="A44" s="5" t="str">
        <f>HYPERLINK("#'5.4.1.1-4 Atmos deposition'!A1", "5.4.1.1-4 Atmos. deposition")</f>
        <v>5.4.1.1-4 Atmos. deposition</v>
      </c>
    </row>
    <row r="45" spans="1:11" ht="20.100000000000001" customHeight="1" x14ac:dyDescent="0.25">
      <c r="A45" s="5" t="str">
        <f>HYPERLINK("#'5.5.1.1-2 Leaching and runoff'!A1", "5.5.1.1-2 Leaching &amp; runoff")</f>
        <v>5.5.1.1-2 Leaching &amp; runoff</v>
      </c>
    </row>
    <row r="46" spans="1:11" ht="20.100000000000001" customHeight="1" x14ac:dyDescent="0.25">
      <c r="A46" s="5" t="str">
        <f>HYPERLINK("#'6.2.1.1-2 Pasture residue N2O'!A1", "6.2.1.1-2 Pasture residue N2O")</f>
        <v>6.2.1.1-2 Pasture residue N2O</v>
      </c>
    </row>
    <row r="47" spans="1:11" ht="20.100000000000001" customHeight="1" x14ac:dyDescent="0.25">
      <c r="A47" s="5" t="str">
        <f>HYPERLINK("#'6.3.1.1-2 Leach runoff pasture'!A1", "6.3.1.1-2 Leach &amp; runoff (pasture)")</f>
        <v>6.3.1.1-2 Leach &amp; runoff (pasture)</v>
      </c>
    </row>
    <row r="48" spans="1:11" ht="20.100000000000001" customHeight="1" x14ac:dyDescent="0.25">
      <c r="A48" s="5" t="str">
        <f>HYPERLINK("#'8.1.1.1-2 Transport fuel'!A1", "8.1.1.1-2 Transport fuel")</f>
        <v>8.1.1.1-2 Transport fuel</v>
      </c>
    </row>
    <row r="49" spans="1:1" ht="20.100000000000001" customHeight="1" x14ac:dyDescent="0.25">
      <c r="A49" s="5" t="str">
        <f>HYPERLINK("#'8.2.1.1-2 Stationary fuel'!A1", "8.2.1.1-2 Stationary fuel")</f>
        <v>8.2.1.1-2 Stationary fuel</v>
      </c>
    </row>
    <row r="50" spans="1:1" ht="20.100000000000001" customHeight="1" x14ac:dyDescent="0.25">
      <c r="A50" s="5" t="str">
        <f>HYPERLINK("#'9.1.1.1-2 Refrigerant use'!A1", "9.1.1.1-2 Refrigerant use")</f>
        <v>9.1.1.1-2 Refrigerant use</v>
      </c>
    </row>
    <row r="51" spans="1:1" ht="20.100000000000001" customHeight="1" x14ac:dyDescent="0.25">
      <c r="A51" s="5" t="str">
        <f>HYPERLINK("#'10.1.1-2 Solid waste treatment'!A1", "10.1.1.1-2 Solid waste")</f>
        <v>10.1.1.1-2 Solid waste</v>
      </c>
    </row>
    <row r="52" spans="1:1" ht="20.100000000000001" customHeight="1" x14ac:dyDescent="0.25">
      <c r="A52" s="5" t="str">
        <f>HYPERLINK("#'14.1.1-2 Purchased electricity'!A1", "14.1.1-2 Purchased electricity")</f>
        <v>14.1.1-2 Purchased electricity</v>
      </c>
    </row>
    <row r="53" spans="1:1" ht="20.100000000000001" customHeight="1" x14ac:dyDescent="0.25">
      <c r="A53" s="5" t="str">
        <f>HYPERLINK("#'15 Scope 3'!A1", "15 Scope 3")</f>
        <v>15 Scope 3</v>
      </c>
    </row>
    <row r="54" spans="1:1" ht="20.100000000000001" customHeight="1" x14ac:dyDescent="0.25">
      <c r="A54" s="5" t="str">
        <f>HYPERLINK("#'Calcs - Manure sent off-site'!A1", "Calcs - Manure sent off-site")</f>
        <v>Calcs - Manure sent off-site</v>
      </c>
    </row>
    <row r="55" spans="1:1" ht="20.100000000000001" customHeight="1" x14ac:dyDescent="0.25"/>
    <row r="56" spans="1:1" ht="20.100000000000001" customHeight="1" x14ac:dyDescent="0.25"/>
    <row r="57" spans="1:1" ht="20.100000000000001" customHeight="1" x14ac:dyDescent="0.25">
      <c r="A57" s="82" t="s">
        <v>1</v>
      </c>
    </row>
    <row r="58" spans="1:1" ht="20.100000000000001" customHeight="1" x14ac:dyDescent="0.25">
      <c r="A58" s="5" t="str">
        <f>HYPERLINK("#'Constants - Dairy'!A1", "Constants - Dairy")</f>
        <v>Constants - Dairy</v>
      </c>
    </row>
    <row r="59" spans="1:1" ht="20.100000000000001" customHeight="1" x14ac:dyDescent="0.25">
      <c r="A59" s="5" t="str">
        <f>HYPERLINK("#'Constants - Ag Residue'!A1", "Constants - Ag residue")</f>
        <v>Constants - Ag residue</v>
      </c>
    </row>
    <row r="60" spans="1:1" ht="20.100000000000001" customHeight="1" x14ac:dyDescent="0.25">
      <c r="A60" s="5" t="str">
        <f>HYPERLINK("#'Constants - Common Livestock'!A1", "Constants - Common Livestock")</f>
        <v>Constants - Common Livestock</v>
      </c>
    </row>
    <row r="61" spans="1:1" ht="20.100000000000001" customHeight="1" x14ac:dyDescent="0.25">
      <c r="A61" s="5" t="str">
        <f>HYPERLINK("#'Constants - Electricity'!A1", "Constants - Electricity")</f>
        <v>Constants - Electricity</v>
      </c>
    </row>
    <row r="62" spans="1:1" ht="20.100000000000001" customHeight="1" x14ac:dyDescent="0.25">
      <c r="A62" s="5" t="str">
        <f>HYPERLINK("#'Constants - Fertiliser'!A1", "Constants - Fertiliser")</f>
        <v>Constants - Fertiliser</v>
      </c>
    </row>
    <row r="63" spans="1:1" ht="20.100000000000001" customHeight="1" x14ac:dyDescent="0.25">
      <c r="A63" s="5" t="str">
        <f>HYPERLINK("#'Constants - Fuel'!A1", "Constants - Fuel")</f>
        <v>Constants - Fuel</v>
      </c>
    </row>
    <row r="64" spans="1:1" ht="20.100000000000001" customHeight="1" x14ac:dyDescent="0.25">
      <c r="A64" s="5" t="str">
        <f>HYPERLINK("#'Constants - Scope 3'!A1", "Constants - Scope 3")</f>
        <v>Constants - Scope 3</v>
      </c>
    </row>
    <row r="65" spans="1:1" ht="20.100000000000001" customHeight="1" x14ac:dyDescent="0.25">
      <c r="A65" s="5" t="str">
        <f>HYPERLINK("#'Constants - Common'!A1", "Constants - Common")</f>
        <v>Constants - Common</v>
      </c>
    </row>
    <row r="66" spans="1:1" ht="20.100000000000001" customHeight="1" x14ac:dyDescent="0.25">
      <c r="A66" s="5" t="str">
        <f>HYPERLINK("#'Constants - Refrigerants'!A1", "Constants - Refrigerants")</f>
        <v>Constants - Refrigerants</v>
      </c>
    </row>
    <row r="67" spans="1:1" ht="20.100000000000001" customHeight="1" x14ac:dyDescent="0.25">
      <c r="A67" s="5" t="str">
        <f>HYPERLINK("#'Constants - Solid Waste'!A1", "Constants - Solid Waste")</f>
        <v>Constants - Solid Waste</v>
      </c>
    </row>
    <row r="68" spans="1:1" ht="20.100000000000001" customHeight="1" x14ac:dyDescent="0.25">
      <c r="A68" s="5" t="str">
        <f>HYPERLINK("#'Acknowledgements'!A1", "Acknowledgements")</f>
        <v>Acknowledgements</v>
      </c>
    </row>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79"/>
    </row>
  </sheetData>
  <conditionalFormatting sqref="F32">
    <cfRule type="cellIs" dxfId="62" priority="9" operator="lessThan">
      <formula>0</formula>
    </cfRule>
  </conditionalFormatting>
  <conditionalFormatting sqref="F111:F112">
    <cfRule type="cellIs" dxfId="61" priority="8" operator="lessThan">
      <formula>0</formula>
    </cfRule>
  </conditionalFormatting>
  <conditionalFormatting sqref="F123:F124">
    <cfRule type="cellIs" dxfId="60" priority="7" operator="lessThan">
      <formula>0</formula>
    </cfRule>
  </conditionalFormatting>
  <conditionalFormatting sqref="F135:F136">
    <cfRule type="cellIs" dxfId="59" priority="6" operator="lessThan">
      <formula>0</formula>
    </cfRule>
  </conditionalFormatting>
  <conditionalFormatting sqref="F147:F148">
    <cfRule type="cellIs" dxfId="58" priority="5" operator="lessThan">
      <formula>0</formula>
    </cfRule>
  </conditionalFormatting>
  <conditionalFormatting sqref="F235:F236">
    <cfRule type="cellIs" dxfId="57" priority="17" operator="lessThan">
      <formula>0</formula>
    </cfRule>
  </conditionalFormatting>
  <conditionalFormatting sqref="F240:F241">
    <cfRule type="cellIs" dxfId="56" priority="16" operator="lessThan">
      <formula>0</formula>
    </cfRule>
  </conditionalFormatting>
  <conditionalFormatting sqref="F245:F246">
    <cfRule type="cellIs" dxfId="55" priority="15" operator="lessThan">
      <formula>0</formula>
    </cfRule>
  </conditionalFormatting>
  <conditionalFormatting sqref="F269:F270">
    <cfRule type="cellIs" dxfId="54" priority="14" operator="lessThan">
      <formula>0</formula>
    </cfRule>
  </conditionalFormatting>
  <conditionalFormatting sqref="F274:F275">
    <cfRule type="cellIs" dxfId="53" priority="13" operator="lessThan">
      <formula>0</formula>
    </cfRule>
  </conditionalFormatting>
  <conditionalFormatting sqref="F279:F280">
    <cfRule type="cellIs" dxfId="52" priority="12" operator="lessThan">
      <formula>0</formula>
    </cfRule>
  </conditionalFormatting>
  <conditionalFormatting sqref="I26:J27 H28:H30 I31:J31 I33:J35 I37:J38 I189:J189 E195:G195 I195:J195">
    <cfRule type="cellIs" dxfId="51" priority="11" operator="lessThan">
      <formula>0</formula>
    </cfRule>
  </conditionalFormatting>
  <conditionalFormatting sqref="I42:J46">
    <cfRule type="cellIs" dxfId="50" priority="4" operator="lessThan">
      <formula>0</formula>
    </cfRule>
  </conditionalFormatting>
  <conditionalFormatting sqref="I50:J50 I109:J109">
    <cfRule type="cellIs" dxfId="49" priority="10" operator="lessThan">
      <formula>0</formula>
    </cfRule>
  </conditionalFormatting>
  <conditionalFormatting sqref="I61:J63">
    <cfRule type="cellIs" dxfId="48" priority="3" operator="lessThan">
      <formula>0</formula>
    </cfRule>
  </conditionalFormatting>
  <conditionalFormatting sqref="I67:J70">
    <cfRule type="cellIs" dxfId="47" priority="2" operator="lessThan">
      <formula>0</formula>
    </cfRule>
  </conditionalFormatting>
  <conditionalFormatting sqref="I74:J78">
    <cfRule type="cellIs" dxfId="46" priority="1" operator="lessThan">
      <formula>0</formula>
    </cfRule>
  </conditionalFormatting>
  <dataValidations count="9">
    <dataValidation type="list" allowBlank="1" showInputMessage="1" showErrorMessage="1" sqref="E17:E21" xr:uid="{C7A003E1-571E-4FDE-8E59-498768C0DAA9}">
      <formula1>_xlfn.TRIMRANGE(INDIRECT("Table_FuelTypesPerUse["&amp;D17&amp;"]"))</formula1>
    </dataValidation>
    <dataValidation type="list" allowBlank="1" showInputMessage="1" showErrorMessage="1" sqref="D17:D21" xr:uid="{CA5BA622-8F1F-4ADC-8F34-5E36B8BED24D}">
      <formula1>INDIRECT("Table_FuelTypesPerUse[#Headers]")</formula1>
    </dataValidation>
    <dataValidation type="list" allowBlank="1" showInputMessage="1" showErrorMessage="1" sqref="E11" xr:uid="{617D4194-EFC2-421D-9EAD-14E32322A851}">
      <formula1>"Metro, Non-metro"</formula1>
    </dataValidation>
    <dataValidation type="list" allowBlank="1" showInputMessage="1" showErrorMessage="1" sqref="D29:D30" xr:uid="{DBAB1946-DD7C-4C9D-B428-764B1FA417F5}">
      <formula1>INDIRECT("Table_SourceData_OrganicFertiliserTypes[Organic fertiliser type]")</formula1>
    </dataValidation>
    <dataValidation type="list" allowBlank="1" showInputMessage="1" showErrorMessage="1" sqref="E49" xr:uid="{5F91855D-8026-4059-A601-85FEF2405730}">
      <formula1>INDIRECT("Table_SourceData_Swine_CropProdSystems[Production system]")</formula1>
    </dataValidation>
    <dataValidation type="list" allowBlank="1" showInputMessage="1" showErrorMessage="1" sqref="E50" xr:uid="{6A5F7609-CC83-436D-BF29-ECEF3937E059}">
      <formula1>INDIRECT("Table_SourceData_Swine_IrrigationMethods[Irrigation method]")</formula1>
    </dataValidation>
    <dataValidation type="list" allowBlank="1" showInputMessage="1" showErrorMessage="1" sqref="E234 E239 E244 E278 E273 E268 E146 E134 E110 E122" xr:uid="{9BCEBA75-CCA4-43B8-9C63-0B7BFF144474}">
      <formula1>"Yes, No"</formula1>
    </dataValidation>
    <dataValidation type="list" allowBlank="1" showInputMessage="1" showErrorMessage="1" sqref="E210" xr:uid="{EAB98AEC-6D72-436A-9C2C-0D4D0D8E1782}">
      <formula1>INDIRECT("Table_SourceData_Dairy_ProductionSystemTemplates[Area]")</formula1>
    </dataValidation>
    <dataValidation type="list" allowBlank="1" showInputMessage="1" showErrorMessage="1" sqref="D262" xr:uid="{A0EBE4CF-5B18-4508-8F8F-3E294CFDC194}">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26CF6-64DB-4EFB-9BC7-9877200ABAB1}">
  <sheetPr>
    <tabColor theme="5" tint="-0.249977111117893"/>
  </sheetPr>
  <dimension ref="A1:L365"/>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860</v>
      </c>
    </row>
    <row r="2" spans="1:10" s="3" customFormat="1" ht="20.100000000000001" customHeight="1" x14ac:dyDescent="0.25">
      <c r="A2"/>
    </row>
    <row r="3" spans="1:10" ht="20.100000000000001" customHeight="1" x14ac:dyDescent="0.25">
      <c r="A3" s="5" t="str">
        <f>HYPERLINK("#'Home'!A1", "Home")</f>
        <v>Home</v>
      </c>
      <c r="C3" s="28"/>
      <c r="D3" s="28"/>
      <c r="E3" s="28"/>
      <c r="F3" s="28"/>
      <c r="G3" s="28"/>
      <c r="H3" s="28"/>
      <c r="I3" s="28"/>
      <c r="J3" s="28"/>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Emissions Intensity")</f>
        <v>Results - Product Emissions Intensity</v>
      </c>
      <c r="D5" s="1" t="s">
        <v>861</v>
      </c>
      <c r="E5" s="13" t="s">
        <v>862</v>
      </c>
      <c r="F5" s="16" t="s">
        <v>100</v>
      </c>
    </row>
    <row r="6" spans="1:10" ht="20.100000000000001" customHeight="1" x14ac:dyDescent="0.25">
      <c r="A6" s="5" t="str">
        <f>HYPERLINK("#'Results'!A1", "Results")</f>
        <v>Results</v>
      </c>
      <c r="E6" s="79"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row r="8" spans="1:10" ht="20.100000000000001" customHeight="1" x14ac:dyDescent="0.25">
      <c r="C8" s="88"/>
      <c r="D8" s="88"/>
      <c r="E8" s="88"/>
      <c r="F8" s="88"/>
      <c r="G8" s="88"/>
      <c r="H8" s="88"/>
      <c r="I8" s="88"/>
      <c r="J8" s="88"/>
    </row>
    <row r="9" spans="1:10" ht="20.100000000000001" customHeight="1" x14ac:dyDescent="0.25">
      <c r="A9" s="7" t="s">
        <v>0</v>
      </c>
      <c r="D9" s="2" t="s">
        <v>863</v>
      </c>
    </row>
    <row r="10" spans="1:10" ht="20.100000000000001" customHeight="1" x14ac:dyDescent="0.25">
      <c r="A10" s="5" t="str">
        <f>HYPERLINK("#'Input - Enterprise'!A1", "Enterprise")</f>
        <v>Enterprise</v>
      </c>
    </row>
    <row r="11" spans="1:10" ht="20.100000000000001" customHeight="1" x14ac:dyDescent="0.25">
      <c r="A11" s="5" t="str">
        <f>HYPERLINK("#'Input - Site'!A1", "Site")</f>
        <v>Site</v>
      </c>
      <c r="D11" s="78" t="s">
        <v>864</v>
      </c>
    </row>
    <row r="12" spans="1:10" ht="20.100000000000001" customHeight="1" x14ac:dyDescent="0.25">
      <c r="A12" s="5" t="str">
        <f>HYPERLINK("#'Input - Dairy'!A1", "Dairy")</f>
        <v>Dairy</v>
      </c>
    </row>
    <row r="13" spans="1:10" ht="20.100000000000001" customHeight="1" x14ac:dyDescent="0.25">
      <c r="A13" s="5" t="str">
        <f>HYPERLINK("#'Input - Livestock sales'!A1", "Livestock sales")</f>
        <v>Livestock sales</v>
      </c>
      <c r="D13" s="35" t="s">
        <v>865</v>
      </c>
      <c r="E13" s="38"/>
      <c r="F13" s="8"/>
    </row>
    <row r="14" spans="1:10" ht="20.100000000000001" customHeight="1" x14ac:dyDescent="0.25">
      <c r="A14" s="5" t="str">
        <f>HYPERLINK("#'Input - Dairy cattle purchases'!A1", "Dairy cattle purchases")</f>
        <v>Dairy cattle purchases</v>
      </c>
      <c r="D14" s="8"/>
      <c r="E14" s="8"/>
      <c r="F14" s="8"/>
    </row>
    <row r="15" spans="1:10" ht="20.100000000000001" customHeight="1" x14ac:dyDescent="0.25">
      <c r="A15" s="5" t="str">
        <f>HYPERLINK("#'Input - Pasture'!A1", "Pasture")</f>
        <v>Pasture</v>
      </c>
      <c r="D15" s="1" t="s">
        <v>866</v>
      </c>
      <c r="E15" s="194">
        <v>30000</v>
      </c>
      <c r="F15" s="16" t="s">
        <v>867</v>
      </c>
    </row>
    <row r="16" spans="1:10" ht="20.100000000000001" customHeight="1" x14ac:dyDescent="0.25">
      <c r="A16" s="5" t="str">
        <f>HYPERLINK("#'Input - Fert Prod System'!A1", "Fert Prod System")</f>
        <v>Fert Prod System</v>
      </c>
      <c r="D16" s="1" t="s">
        <v>868</v>
      </c>
      <c r="E16" s="15" t="str">
        <f>IF(X_Cell_Site_State="Western Australia", X_Cell_Site_Region, X_Cell_Site_State)</f>
        <v>Western Australia - Outback (South)</v>
      </c>
      <c r="F16" s="8"/>
    </row>
    <row r="17" spans="1:11" ht="20.100000000000001" customHeight="1" x14ac:dyDescent="0.25">
      <c r="A17" s="5" t="str">
        <f>HYPERLINK("#'Input - Fertiliser'!A1", "Fertiliser")</f>
        <v>Fertiliser</v>
      </c>
      <c r="D17" s="1" t="s">
        <v>869</v>
      </c>
      <c r="E17" s="13" t="s">
        <v>870</v>
      </c>
      <c r="F17" s="16" t="s">
        <v>100</v>
      </c>
    </row>
    <row r="18" spans="1:11" ht="20.100000000000001" customHeight="1" x14ac:dyDescent="0.25">
      <c r="A18" s="5" t="str">
        <f>HYPERLINK("#'Input - Fuel'!A1", "Fuel")</f>
        <v>Fuel</v>
      </c>
    </row>
    <row r="19" spans="1:11" ht="20.100000000000001" customHeight="1" x14ac:dyDescent="0.25">
      <c r="A19" s="99" t="str">
        <f>HYPERLINK("#'Input - Electricity'!A1", "Electricity")</f>
        <v>Electricity</v>
      </c>
    </row>
    <row r="20" spans="1:11" ht="20.100000000000001" customHeight="1" x14ac:dyDescent="0.25">
      <c r="A20" s="5" t="str">
        <f>HYPERLINK("#'Input - Common farm inputs'!A1", "Common farm inputs")</f>
        <v>Common farm inputs</v>
      </c>
      <c r="C20" s="88"/>
      <c r="D20" s="88"/>
      <c r="E20" s="88"/>
      <c r="F20" s="88"/>
      <c r="G20" s="88"/>
      <c r="H20" s="88"/>
      <c r="I20" s="88"/>
      <c r="J20" s="88"/>
    </row>
    <row r="21" spans="1:11" ht="20.100000000000001" customHeight="1" x14ac:dyDescent="0.25">
      <c r="A21" s="5" t="str">
        <f>HYPERLINK("#'Input - Crop pasture farm input'!A1", "Crop pasture farm input")</f>
        <v>Crop pasture farm input</v>
      </c>
      <c r="D21" s="2" t="s">
        <v>871</v>
      </c>
    </row>
    <row r="22" spans="1:11" ht="20.100000000000001" customHeight="1" x14ac:dyDescent="0.25">
      <c r="A22" s="5" t="str">
        <f>HYPERLINK("#'Input - Livestock farm Inputs'!A1", "Livestock farm Inputs")</f>
        <v>Livestock farm Inputs</v>
      </c>
      <c r="E22" s="79" t="str">
        <f>IF(E16="ACT", "", "ALERT: Your farm is not in the ACT, so the JRPP is not applicable")</f>
        <v>ALERT: Your farm is not in the ACT, so the JRPP is not applicable</v>
      </c>
    </row>
    <row r="23" spans="1:11" ht="20.100000000000001" customHeight="1" x14ac:dyDescent="0.25">
      <c r="A23" s="5" t="str">
        <f>HYPERLINK("#'Input - Freight'!A1", "Freight")</f>
        <v>Freight</v>
      </c>
      <c r="D23" s="1" t="s">
        <v>872</v>
      </c>
      <c r="E23" s="194">
        <v>30000</v>
      </c>
      <c r="F23" s="16" t="s">
        <v>867</v>
      </c>
    </row>
    <row r="24" spans="1:11" ht="20.100000000000001" customHeight="1" x14ac:dyDescent="0.25">
      <c r="A24" s="5" t="str">
        <f>HYPERLINK("#'Input - Solid waste'!A1", "Solid waste")</f>
        <v>Solid waste</v>
      </c>
      <c r="D24" s="1" t="s">
        <v>873</v>
      </c>
      <c r="E24" s="18">
        <v>0.1</v>
      </c>
      <c r="F24" s="16" t="s">
        <v>147</v>
      </c>
    </row>
    <row r="25" spans="1:11" ht="20.100000000000001" customHeight="1" x14ac:dyDescent="0.25">
      <c r="A25" s="5" t="str">
        <f>HYPERLINK("#'Input - Manure sent off-site'!A1", "Manure sent off-site")</f>
        <v>Manure sent off-site</v>
      </c>
      <c r="D25" s="1" t="s">
        <v>874</v>
      </c>
      <c r="E25" s="18">
        <v>0.1</v>
      </c>
      <c r="F25" s="16" t="s">
        <v>147</v>
      </c>
    </row>
    <row r="26" spans="1:11" ht="20.100000000000001" customHeight="1" x14ac:dyDescent="0.25">
      <c r="A26" s="5" t="str">
        <f>HYPERLINK("#'Input - Refrigerants'!A1", "Refrigerants")</f>
        <v>Refrigerants</v>
      </c>
    </row>
    <row r="27" spans="1:11" ht="20.100000000000001" customHeight="1" x14ac:dyDescent="0.25">
      <c r="A27" s="5" t="str">
        <f>HYPERLINK("#'Input - Data quality'!A1", "Data quality")</f>
        <v>Data quality</v>
      </c>
      <c r="D27" s="1" t="s">
        <v>875</v>
      </c>
      <c r="E27" s="194">
        <v>10000</v>
      </c>
      <c r="F27" s="16" t="s">
        <v>867</v>
      </c>
    </row>
    <row r="28" spans="1:11" ht="20.100000000000001" customHeight="1" x14ac:dyDescent="0.25"/>
    <row r="29" spans="1:11" ht="20.100000000000001" customHeight="1" x14ac:dyDescent="0.25">
      <c r="D29" s="1" t="s">
        <v>876</v>
      </c>
      <c r="E29" s="195" t="str">
        <f>TEXT(X_Cell_Site_StartDate, "dd mmm yyyy")</f>
        <v>01 Jan 2024</v>
      </c>
      <c r="K29" s="172"/>
    </row>
    <row r="30" spans="1:11" ht="20.100000000000001" customHeight="1" x14ac:dyDescent="0.25">
      <c r="A30" s="6" t="s">
        <v>2</v>
      </c>
      <c r="D30" s="1" t="s">
        <v>877</v>
      </c>
      <c r="E30" s="195" t="str">
        <f>TEXT(X_Cell_Site_EndDate, "dd mmm yyyy")</f>
        <v>31 Dec 2024</v>
      </c>
      <c r="K30" s="172"/>
    </row>
    <row r="31" spans="1:11" ht="20.100000000000001" customHeight="1" x14ac:dyDescent="0.25">
      <c r="A31" s="5" t="str">
        <f>HYPERLINK("#'3.3.1.1-2 Enteric Methane'!A1", "3.3.1.1-2 Enteric methane")</f>
        <v>3.3.1.1-2 Enteric methane</v>
      </c>
      <c r="K31" s="172"/>
    </row>
    <row r="32" spans="1:11" ht="20.100000000000001" customHeight="1" x14ac:dyDescent="0.25">
      <c r="A32" s="5" t="str">
        <f>HYPERLINK("#'4.3.1.1-2 Methane'!A1", "4.3.1.1-2 Manure methane")</f>
        <v>4.3.1.1-2 Manure methane</v>
      </c>
      <c r="D32" s="78" t="s">
        <v>878</v>
      </c>
      <c r="K32" s="172"/>
    </row>
    <row r="33" spans="1:12" ht="20.100000000000001" customHeight="1" x14ac:dyDescent="0.25">
      <c r="A33" s="5" t="str">
        <f>HYPERLINK("#'4.3.1.3-4 Direct N20'!A1", "4.3.1.3-4 Direct N20")</f>
        <v>4.3.1.3-4 Direct N20</v>
      </c>
      <c r="K33" s="172"/>
    </row>
    <row r="34" spans="1:12" ht="20.100000000000001" customHeight="1" x14ac:dyDescent="0.25">
      <c r="A34" s="5" t="str">
        <f>HYPERLINK("#'4.3.1.5 Atmos deposition'!A1", "4.3.1.5 Atmos deposition")</f>
        <v>4.3.1.5 Atmos deposition</v>
      </c>
      <c r="D34" s="35" t="s">
        <v>879</v>
      </c>
      <c r="E34" s="38"/>
      <c r="K34" s="172"/>
    </row>
    <row r="35" spans="1:12" ht="20.100000000000001" customHeight="1" x14ac:dyDescent="0.25">
      <c r="A35" s="5" t="str">
        <f>HYPERLINK("#'4.3.1.6-7 Leaching and runoff'!A1", "4.3.1.6-7 Leaching &amp; runoff")</f>
        <v>4.3.1.6-7 Leaching &amp; runoff</v>
      </c>
    </row>
    <row r="36" spans="1:12" ht="20.100000000000001" customHeight="1" x14ac:dyDescent="0.25">
      <c r="A36" s="5" t="str">
        <f>HYPERLINK("#'4.3.1.8 Manure applied to soils'!A1", "4.3.1.8 Manure applied to soils")</f>
        <v>4.3.1.8 Manure applied to soils</v>
      </c>
      <c r="D36" s="81" t="s">
        <v>195</v>
      </c>
      <c r="E36" s="81" t="s">
        <v>880</v>
      </c>
      <c r="F36" s="81" t="s">
        <v>881</v>
      </c>
      <c r="G36" s="81" t="s">
        <v>882</v>
      </c>
      <c r="H36" s="81" t="s">
        <v>883</v>
      </c>
      <c r="I36" s="81" t="s">
        <v>884</v>
      </c>
      <c r="L36" s="172"/>
    </row>
    <row r="37" spans="1:12" ht="20.100000000000001" customHeight="1" x14ac:dyDescent="0.25">
      <c r="A37" s="5" t="str">
        <f>HYPERLINK("#'4.3.1.9 Soil direct N2O'!A1", "4.3.1.9 Soil direct N2O")</f>
        <v>4.3.1.9 Soil direct N2O</v>
      </c>
      <c r="D37" s="19" t="s">
        <v>885</v>
      </c>
      <c r="E37" s="13" t="s">
        <v>886</v>
      </c>
      <c r="F37" s="196">
        <v>44185</v>
      </c>
      <c r="G37" s="19">
        <v>12</v>
      </c>
      <c r="H37" s="15">
        <f>Table_Input_RECSurrendered[[#This Row],[Number of certificates]]</f>
        <v>12</v>
      </c>
      <c r="I37" s="15" t="str">
        <f>IF(DATEDIF(Table_Input_RECSurrendered[[#This Row],[Generation date]],DATEVALUE($E$30),"M")&gt;36,"Ineligible - older than 36 months","Elegible")</f>
        <v>Ineligible - older than 36 months</v>
      </c>
      <c r="L37" s="172"/>
    </row>
    <row r="38" spans="1:12" ht="20.100000000000001" customHeight="1" x14ac:dyDescent="0.25">
      <c r="A38" s="5" t="str">
        <f>HYPERLINK("#'4.3.1.10-11 Soil Atmos Dep'!A1", "4.3.1.10-11 Soil Atmos Deposition")</f>
        <v>4.3.1.10-11 Soil Atmos Deposition</v>
      </c>
      <c r="D38" s="19" t="s">
        <v>887</v>
      </c>
      <c r="E38" s="13" t="s">
        <v>888</v>
      </c>
      <c r="F38" s="196">
        <v>44575</v>
      </c>
      <c r="G38" s="19">
        <v>5</v>
      </c>
      <c r="H38" s="15">
        <f>Table_Input_RECSurrendered[[#This Row],[Number of certificates]]</f>
        <v>5</v>
      </c>
      <c r="I38" s="15" t="str">
        <f>IF(DATEDIF(Table_Input_RECSurrendered[[#This Row],[Generation date]],DATEVALUE($E$30),"M")&gt;36,"Ineligible - older than 36 months","Elegible")</f>
        <v>Elegible</v>
      </c>
    </row>
    <row r="39" spans="1:12" ht="20.100000000000001" customHeight="1" x14ac:dyDescent="0.25">
      <c r="A39" s="5" t="str">
        <f>HYPERLINK("#'4.3.1.12-13 Soil leach runoff'!A1", "4.3.1.12-13 Soil leach &amp; runoff")</f>
        <v>4.3.1.12-13 Soil leach &amp; runoff</v>
      </c>
      <c r="D39" s="19" t="s">
        <v>889</v>
      </c>
      <c r="E39" s="13" t="s">
        <v>886</v>
      </c>
      <c r="F39" s="196">
        <v>45438</v>
      </c>
      <c r="G39" s="19">
        <v>5</v>
      </c>
      <c r="H39" s="15">
        <f>Table_Input_RECSurrendered[[#This Row],[Number of certificates]]</f>
        <v>5</v>
      </c>
      <c r="I39" s="15" t="str">
        <f>IF(DATEDIF(Table_Input_RECSurrendered[[#This Row],[Generation date]],DATEVALUE($E$30),"M")&gt;36,"Ineligible - older than 36 months","Elegible")</f>
        <v>Elegible</v>
      </c>
    </row>
    <row r="40" spans="1:12" s="172" customFormat="1" ht="20.100000000000001" customHeight="1" x14ac:dyDescent="0.25">
      <c r="A40" s="5" t="str">
        <f>HYPERLINK("#'5.1.1.1-2 Inorganic fert N2O'!A1", "5.1.1.1-2 Inorganic fert N2O")</f>
        <v>5.1.1.1-2 Inorganic fert N2O</v>
      </c>
      <c r="C40" s="1"/>
      <c r="D40" s="1"/>
      <c r="E40" s="1"/>
      <c r="F40" s="1"/>
      <c r="G40" s="1"/>
      <c r="H40" s="1"/>
      <c r="I40" s="1"/>
      <c r="J40" s="1"/>
    </row>
    <row r="41" spans="1:12" s="172" customFormat="1" ht="20.100000000000001" customHeight="1" x14ac:dyDescent="0.25">
      <c r="A41" s="5" t="str">
        <f>HYPERLINK("#'5.1.1.3-4 Inorganic fert CO2'!A1", "5.1.1.3-4 Inorganic fert CO2")</f>
        <v>5.1.1.3-4 Inorganic fert CO2</v>
      </c>
      <c r="C41" s="1"/>
      <c r="D41" s="1" t="s">
        <v>890</v>
      </c>
      <c r="E41" s="15">
        <f>SUMIF(Table_Input_RECSurrendered[Elegibility], "Elegible", Table_Input_RECSurrendered[MWh])</f>
        <v>10</v>
      </c>
      <c r="F41" s="16" t="s">
        <v>883</v>
      </c>
      <c r="G41" s="1"/>
      <c r="H41" s="1"/>
      <c r="I41" s="1"/>
      <c r="J41" s="1"/>
      <c r="L41" s="172" t="s">
        <v>607</v>
      </c>
    </row>
    <row r="42" spans="1:12" ht="20.100000000000001" customHeight="1" x14ac:dyDescent="0.25">
      <c r="A42" s="5" t="str">
        <f>HYPERLINK("#'5.2.1.1-2 Organic Fert N2O'!A1", "5.2.1.1-2 Organic fert N2O")</f>
        <v>5.2.1.1-2 Organic fert N2O</v>
      </c>
      <c r="C42" s="160"/>
    </row>
    <row r="43" spans="1:12" ht="20.100000000000001" customHeight="1" x14ac:dyDescent="0.25">
      <c r="A43" s="5" t="str">
        <f>HYPERLINK("#'5.3.1.1-2 Lime CO2'!A1", "5.3.1.1-2 Lime CO2")</f>
        <v>5.3.1.1-2 Lime CO2</v>
      </c>
      <c r="C43" s="160"/>
      <c r="D43" s="78" t="s">
        <v>891</v>
      </c>
      <c r="J43" s="160"/>
    </row>
    <row r="44" spans="1:12" ht="20.100000000000001" customHeight="1" x14ac:dyDescent="0.25">
      <c r="A44" s="5" t="str">
        <f>HYPERLINK("#'5.4.1.1-4 Atmos deposition'!A1", "5.4.1.1-4 Atmos. deposition")</f>
        <v>5.4.1.1-4 Atmos. deposition</v>
      </c>
    </row>
    <row r="45" spans="1:12" ht="20.100000000000001" customHeight="1" x14ac:dyDescent="0.25">
      <c r="A45" s="5" t="str">
        <f>HYPERLINK("#'5.5.1.1-2 Leaching and runoff'!A1", "5.5.1.1-2 Leaching &amp; runoff")</f>
        <v>5.5.1.1-2 Leaching &amp; runoff</v>
      </c>
      <c r="D45" s="81" t="s">
        <v>195</v>
      </c>
      <c r="E45" s="81" t="s">
        <v>834</v>
      </c>
      <c r="F45" s="81" t="s">
        <v>881</v>
      </c>
      <c r="G45" s="81" t="s">
        <v>882</v>
      </c>
      <c r="H45" s="81" t="s">
        <v>883</v>
      </c>
      <c r="I45" s="81" t="s">
        <v>884</v>
      </c>
    </row>
    <row r="46" spans="1:12" ht="20.100000000000001" customHeight="1" x14ac:dyDescent="0.25">
      <c r="A46" s="5" t="str">
        <f>HYPERLINK("#'6.2.1.1-2 Pasture residue N2O'!A1", "6.2.1.1-2 Pasture residue N2O")</f>
        <v>6.2.1.1-2 Pasture residue N2O</v>
      </c>
      <c r="D46" s="19" t="s">
        <v>892</v>
      </c>
      <c r="E46" s="197" t="str">
        <f>"Issued for generated electricity"</f>
        <v>Issued for generated electricity</v>
      </c>
      <c r="F46" s="196">
        <v>44697</v>
      </c>
      <c r="G46" s="19">
        <v>10</v>
      </c>
      <c r="H46" s="15">
        <f>Table_Input_RECConsumedByEntity[[#This Row],[Number of certificates]]</f>
        <v>10</v>
      </c>
      <c r="I46" s="15"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A47" s="5" t="str">
        <f>HYPERLINK("#'6.3.1.1-2 Leach runoff pasture'!A1", "6.3.1.1-2 Leach &amp; runoff (pasture)")</f>
        <v>6.3.1.1-2 Leach &amp; runoff (pasture)</v>
      </c>
      <c r="D47" s="19" t="s">
        <v>893</v>
      </c>
      <c r="E47" s="197" t="str">
        <f>"Issued for generated electricity"</f>
        <v>Issued for generated electricity</v>
      </c>
      <c r="F47" s="196">
        <v>45483</v>
      </c>
      <c r="G47" s="19">
        <v>4</v>
      </c>
      <c r="H47" s="15">
        <f>Table_Input_RECConsumedByEntity[[#This Row],[Number of certificates]]</f>
        <v>4</v>
      </c>
      <c r="I47" s="15"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A48" s="5" t="str">
        <f>HYPERLINK("#'8.1.1.1-2 Transport fuel'!A1", "8.1.1.1-2 Transport fuel")</f>
        <v>8.1.1.1-2 Transport fuel</v>
      </c>
      <c r="D48" s="198">
        <v>45597</v>
      </c>
      <c r="E48" s="197" t="str">
        <f>"Issued for generated electricity"</f>
        <v>Issued for generated electricity</v>
      </c>
      <c r="F48" s="196">
        <v>45607</v>
      </c>
      <c r="G48" s="19">
        <v>7</v>
      </c>
      <c r="H48" s="15">
        <f>Table_Input_RECConsumedByEntity[[#This Row],[Number of certificates]]</f>
        <v>7</v>
      </c>
      <c r="I48" s="15" t="str">
        <f>IF(AND(Table_Input_RECConsumedByEntity[[#This Row],[Generation date]]&gt;=DATEVALUE($E$29), Table_Input_RECConsumedByEntity[[#This Row],[Generation date]]&lt;= DATEVALUE($E$30)), "Elegible", "Ineligible - outside reporting year")</f>
        <v>Elegible</v>
      </c>
    </row>
    <row r="49" spans="1:6" ht="20.100000000000001" customHeight="1" x14ac:dyDescent="0.25">
      <c r="A49" s="5" t="str">
        <f>HYPERLINK("#'8.2.1.1-2 Stationary fuel'!A1", "8.2.1.1-2 Stationary fuel")</f>
        <v>8.2.1.1-2 Stationary fuel</v>
      </c>
    </row>
    <row r="50" spans="1:6" ht="20.100000000000001" customHeight="1" x14ac:dyDescent="0.25">
      <c r="A50" s="5" t="str">
        <f>HYPERLINK("#'9.1.1.1-2 Refrigerant use'!A1", "9.1.1.1-2 Refrigerant use")</f>
        <v>9.1.1.1-2 Refrigerant use</v>
      </c>
      <c r="D50" s="1" t="s">
        <v>894</v>
      </c>
      <c r="E50" s="15">
        <f>SUMIF(Table_Input_RECConsumedByEntity[Elegibility], "Elegible", Table_Input_RECConsumedByEntity[Number of certificates])</f>
        <v>11</v>
      </c>
      <c r="F50" s="16" t="s">
        <v>883</v>
      </c>
    </row>
    <row r="51" spans="1:6" ht="20.100000000000001" customHeight="1" x14ac:dyDescent="0.25">
      <c r="A51" s="5" t="str">
        <f>HYPERLINK("#'10.1.1-2 Solid waste treatment'!A1", "10.1.1.1-2 Solid waste")</f>
        <v>10.1.1.1-2 Solid waste</v>
      </c>
    </row>
    <row r="52" spans="1:6" ht="20.100000000000001" customHeight="1" x14ac:dyDescent="0.25">
      <c r="A52" s="5" t="str">
        <f>HYPERLINK("#'14.1.1-2 Purchased electricity'!A1", "14.1.1-2 Purchased electricity")</f>
        <v>14.1.1-2 Purchased electricity</v>
      </c>
    </row>
    <row r="53" spans="1:6" ht="20.100000000000001" customHeight="1" x14ac:dyDescent="0.25">
      <c r="A53" s="5" t="str">
        <f>HYPERLINK("#'15 Scope 3'!A1", "15 Scope 3")</f>
        <v>15 Scope 3</v>
      </c>
    </row>
    <row r="54" spans="1:6" ht="20.100000000000001" customHeight="1" x14ac:dyDescent="0.25">
      <c r="A54" s="5" t="str">
        <f>HYPERLINK("#'Calcs - Manure sent off-site'!A1", "Calcs - Manure sent off-site")</f>
        <v>Calcs - Manure sent off-site</v>
      </c>
    </row>
    <row r="55" spans="1:6" ht="20.100000000000001" customHeight="1" x14ac:dyDescent="0.25">
      <c r="D55" s="199"/>
    </row>
    <row r="56" spans="1:6" ht="20.100000000000001" customHeight="1" x14ac:dyDescent="0.25">
      <c r="D56" s="199"/>
    </row>
    <row r="57" spans="1:6" ht="20.100000000000001" customHeight="1" x14ac:dyDescent="0.25">
      <c r="A57" s="82" t="s">
        <v>1</v>
      </c>
    </row>
    <row r="58" spans="1:6" ht="20.100000000000001" customHeight="1" x14ac:dyDescent="0.25">
      <c r="A58" s="5" t="str">
        <f>HYPERLINK("#'Constants - Dairy'!A1", "Constants - Dairy")</f>
        <v>Constants - Dairy</v>
      </c>
    </row>
    <row r="59" spans="1:6" ht="20.100000000000001" customHeight="1" x14ac:dyDescent="0.25">
      <c r="A59" s="5" t="str">
        <f>HYPERLINK("#'Constants - Ag Residue'!A1", "Constants - Ag residue")</f>
        <v>Constants - Ag residue</v>
      </c>
    </row>
    <row r="60" spans="1:6" ht="20.100000000000001" customHeight="1" x14ac:dyDescent="0.25">
      <c r="A60" s="5" t="str">
        <f>HYPERLINK("#'Constants - Common Livestock'!A1", "Constants - Common Livestock")</f>
        <v>Constants - Common Livestock</v>
      </c>
    </row>
    <row r="61" spans="1:6" ht="20.100000000000001" customHeight="1" x14ac:dyDescent="0.25">
      <c r="A61" s="5" t="str">
        <f>HYPERLINK("#'Constants - Electricity'!A1", "Constants - Electricity")</f>
        <v>Constants - Electricity</v>
      </c>
    </row>
    <row r="62" spans="1:6" ht="20.100000000000001" customHeight="1" x14ac:dyDescent="0.25">
      <c r="A62" s="5" t="str">
        <f>HYPERLINK("#'Constants - Fertiliser'!A1", "Constants - Fertiliser")</f>
        <v>Constants - Fertiliser</v>
      </c>
    </row>
    <row r="63" spans="1:6" ht="20.100000000000001" customHeight="1" x14ac:dyDescent="0.25">
      <c r="A63" s="5" t="str">
        <f>HYPERLINK("#'Constants - Fuel'!A1", "Constants - Fuel")</f>
        <v>Constants - Fuel</v>
      </c>
    </row>
    <row r="64" spans="1:6" ht="20.100000000000001" customHeight="1" x14ac:dyDescent="0.25">
      <c r="A64" s="5" t="str">
        <f>HYPERLINK("#'Constants - Scope 3'!A1", "Constants - Scope 3")</f>
        <v>Constants - Scope 3</v>
      </c>
    </row>
    <row r="65" spans="1:1" ht="20.100000000000001" customHeight="1" x14ac:dyDescent="0.25">
      <c r="A65" s="5" t="str">
        <f>HYPERLINK("#'Constants - Common'!A1", "Constants - Common")</f>
        <v>Constants - Common</v>
      </c>
    </row>
    <row r="66" spans="1:1" ht="20.100000000000001" customHeight="1" x14ac:dyDescent="0.25">
      <c r="A66" s="5" t="str">
        <f>HYPERLINK("#'Constants - Refrigerants'!A1", "Constants - Refrigerants")</f>
        <v>Constants - Refrigerants</v>
      </c>
    </row>
    <row r="67" spans="1:1" ht="20.100000000000001" customHeight="1" x14ac:dyDescent="0.25">
      <c r="A67" s="5" t="str">
        <f>HYPERLINK("#'Constants - Solid Waste'!A1", "Constants - Solid Waste")</f>
        <v>Constants - Solid Waste</v>
      </c>
    </row>
    <row r="68" spans="1:1" ht="20.100000000000001" customHeight="1" x14ac:dyDescent="0.25">
      <c r="A68" s="5" t="str">
        <f>HYPERLINK("#'Acknowledgements'!A1", "Acknowledgements")</f>
        <v>Acknowledgements</v>
      </c>
    </row>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79"/>
    </row>
  </sheetData>
  <conditionalFormatting sqref="F130:F131">
    <cfRule type="cellIs" dxfId="45" priority="8" operator="lessThan">
      <formula>0</formula>
    </cfRule>
  </conditionalFormatting>
  <conditionalFormatting sqref="F142:F143">
    <cfRule type="cellIs" dxfId="44" priority="7" operator="lessThan">
      <formula>0</formula>
    </cfRule>
  </conditionalFormatting>
  <conditionalFormatting sqref="F154:F155">
    <cfRule type="cellIs" dxfId="43" priority="6" operator="lessThan">
      <formula>0</formula>
    </cfRule>
  </conditionalFormatting>
  <conditionalFormatting sqref="F166:F167">
    <cfRule type="cellIs" dxfId="42" priority="5" operator="lessThan">
      <formula>0</formula>
    </cfRule>
  </conditionalFormatting>
  <conditionalFormatting sqref="F254:F255">
    <cfRule type="cellIs" dxfId="41" priority="17" operator="lessThan">
      <formula>0</formula>
    </cfRule>
  </conditionalFormatting>
  <conditionalFormatting sqref="F259:F260">
    <cfRule type="cellIs" dxfId="40" priority="16" operator="lessThan">
      <formula>0</formula>
    </cfRule>
  </conditionalFormatting>
  <conditionalFormatting sqref="F264:F265">
    <cfRule type="cellIs" dxfId="39" priority="15" operator="lessThan">
      <formula>0</formula>
    </cfRule>
  </conditionalFormatting>
  <conditionalFormatting sqref="F288:F289">
    <cfRule type="cellIs" dxfId="38" priority="14" operator="lessThan">
      <formula>0</formula>
    </cfRule>
  </conditionalFormatting>
  <conditionalFormatting sqref="F293:F294">
    <cfRule type="cellIs" dxfId="37" priority="13" operator="lessThan">
      <formula>0</formula>
    </cfRule>
  </conditionalFormatting>
  <conditionalFormatting sqref="F298:F299">
    <cfRule type="cellIs" dxfId="36" priority="12" operator="lessThan">
      <formula>0</formula>
    </cfRule>
  </conditionalFormatting>
  <conditionalFormatting sqref="I59:I63">
    <cfRule type="cellIs" dxfId="35" priority="4" operator="lessThan">
      <formula>0</formula>
    </cfRule>
  </conditionalFormatting>
  <conditionalFormatting sqref="I67 I126">
    <cfRule type="cellIs" dxfId="34" priority="10" operator="lessThan">
      <formula>0</formula>
    </cfRule>
  </conditionalFormatting>
  <conditionalFormatting sqref="I78:I80">
    <cfRule type="cellIs" dxfId="33" priority="3" operator="lessThan">
      <formula>0</formula>
    </cfRule>
  </conditionalFormatting>
  <conditionalFormatting sqref="I84:I87">
    <cfRule type="cellIs" dxfId="32" priority="2" operator="lessThan">
      <formula>0</formula>
    </cfRule>
  </conditionalFormatting>
  <conditionalFormatting sqref="I91:I95">
    <cfRule type="cellIs" dxfId="31" priority="1" operator="lessThan">
      <formula>0</formula>
    </cfRule>
  </conditionalFormatting>
  <conditionalFormatting sqref="J35 I49:I50 H51:H53 I52 I54:I55 I206 I212 E214:G214">
    <cfRule type="cellIs" dxfId="30" priority="11" operator="lessThan">
      <formula>0</formula>
    </cfRule>
  </conditionalFormatting>
  <conditionalFormatting sqref="J39 I40 J41 I43">
    <cfRule type="cellIs" dxfId="29" priority="9" operator="lessThan">
      <formula>0</formula>
    </cfRule>
  </conditionalFormatting>
  <dataValidations count="7">
    <dataValidation type="list" allowBlank="1" showInputMessage="1" showErrorMessage="1" sqref="E5" xr:uid="{FAAD0367-5C5E-4FFE-B38A-C8EEB638F6DC}">
      <formula1>"Location-based (simpler), Market-based (more complex)"</formula1>
    </dataValidation>
    <dataValidation type="list" allowBlank="1" showInputMessage="1" showErrorMessage="1" sqref="E37:E39" xr:uid="{18FD20AC-2A80-45AA-A362-28447A5DB04D}">
      <formula1>"Purchased certificate, Issued for generated electricity"</formula1>
    </dataValidation>
    <dataValidation type="list" allowBlank="1" showInputMessage="1" showErrorMessage="1" sqref="E17" xr:uid="{D9DA5F25-2EB5-449E-BB3A-4B90DA9E65A0}">
      <formula1>INDIRECT("Table_SourceData_ElectricityEFs[State, Territory or grid description]")</formula1>
    </dataValidation>
    <dataValidation type="list" allowBlank="1" showInputMessage="1" showErrorMessage="1" sqref="E69" xr:uid="{F7D98EAA-DB3B-498D-952F-C5FC69B6497E}">
      <formula1>INDIRECT("Table_SourceData_Swine_IrrigationMethods[Irrigation method]")</formula1>
    </dataValidation>
    <dataValidation type="list" allowBlank="1" showInputMessage="1" showErrorMessage="1" sqref="E253 E258 E263 E297 E292 E287 E165 E153 E129 E141" xr:uid="{E612D557-9385-4E10-B7A9-31039411EC34}">
      <formula1>"Yes, No"</formula1>
    </dataValidation>
    <dataValidation type="list" allowBlank="1" showInputMessage="1" showErrorMessage="1" sqref="E229" xr:uid="{029E5D01-7298-48A9-AE52-409222439A12}">
      <formula1>INDIRECT("Table_SourceData_Dairy_ProductionSystemTemplates[Area]")</formula1>
    </dataValidation>
    <dataValidation type="list" allowBlank="1" showInputMessage="1" showErrorMessage="1" sqref="D281" xr:uid="{86B6047B-C566-4994-91F6-F06DA9A34570}">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DE290-07FF-46FF-A2A8-28EE527690E7}">
  <sheetPr>
    <tabColor theme="5" tint="-0.249977111117893"/>
  </sheetPr>
  <dimension ref="A1:S227"/>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style="97" customWidth="1"/>
    <col min="2" max="2" width="4.7109375" style="97" customWidth="1"/>
    <col min="3" max="3" width="4.7109375" style="246" customWidth="1"/>
    <col min="4" max="4" width="47.140625" style="246" customWidth="1"/>
    <col min="5" max="10" width="30.7109375" style="246" customWidth="1"/>
    <col min="11" max="18" width="35" style="1" customWidth="1"/>
    <col min="19" max="19" width="5.28515625" style="1" customWidth="1"/>
    <col min="20" max="16384" width="9.140625" style="97"/>
  </cols>
  <sheetData>
    <row r="1" spans="1:19" ht="30" customHeight="1" x14ac:dyDescent="0.35">
      <c r="A1" s="10" t="e" vm="1">
        <v>#VALUE!</v>
      </c>
      <c r="C1" s="27" t="s">
        <v>1198</v>
      </c>
      <c r="D1" s="21"/>
      <c r="E1" s="21"/>
      <c r="F1" s="21"/>
      <c r="G1" s="21"/>
      <c r="H1" s="21"/>
      <c r="I1" s="21"/>
      <c r="J1" s="21"/>
      <c r="K1" s="21"/>
      <c r="L1" s="21"/>
      <c r="M1" s="21"/>
      <c r="N1" s="21"/>
      <c r="O1" s="21"/>
      <c r="P1" s="21"/>
      <c r="Q1" s="21"/>
      <c r="R1" s="21"/>
      <c r="S1" s="21"/>
    </row>
    <row r="2" spans="1:19" ht="20.100000000000001" customHeight="1" x14ac:dyDescent="0.25">
      <c r="A2"/>
      <c r="C2" s="3"/>
      <c r="D2" s="3"/>
      <c r="E2" s="3"/>
      <c r="F2" s="3"/>
      <c r="G2" s="3"/>
      <c r="H2" s="3"/>
      <c r="I2" s="3"/>
      <c r="J2" s="3"/>
      <c r="K2" s="3"/>
      <c r="L2" s="3"/>
      <c r="M2" s="3"/>
      <c r="N2" s="3"/>
      <c r="O2" s="3"/>
      <c r="P2" s="3"/>
      <c r="Q2" s="3"/>
      <c r="R2" s="3"/>
      <c r="S2" s="3"/>
    </row>
    <row r="3" spans="1:19" ht="20.100000000000001" customHeight="1" x14ac:dyDescent="0.25">
      <c r="A3" s="5" t="str">
        <f>HYPERLINK("#'Home'!A1", "Home")</f>
        <v>Home</v>
      </c>
      <c r="C3" s="28"/>
      <c r="D3" s="28"/>
      <c r="E3" s="28"/>
      <c r="F3" s="28"/>
      <c r="G3" s="28"/>
      <c r="H3" s="28"/>
      <c r="I3" s="28"/>
      <c r="J3" s="28"/>
      <c r="K3" s="28"/>
      <c r="L3" s="28"/>
      <c r="M3" s="28"/>
      <c r="N3" s="28"/>
      <c r="O3" s="28"/>
      <c r="P3" s="28"/>
      <c r="Q3" s="28"/>
      <c r="R3" s="28"/>
      <c r="S3" s="28"/>
    </row>
    <row r="4" spans="1:19" ht="20.100000000000001" customHeight="1" x14ac:dyDescent="0.25">
      <c r="A4" s="5" t="str">
        <f>HYPERLINK("#'Results - Activity period'!A1", "Results - Activity period")</f>
        <v>Results - Activity period</v>
      </c>
      <c r="C4" s="24"/>
      <c r="D4" s="24"/>
      <c r="E4" s="24"/>
      <c r="F4" s="24"/>
      <c r="G4" s="24"/>
      <c r="H4" s="24"/>
      <c r="I4" s="24"/>
      <c r="J4" s="24"/>
    </row>
    <row r="5" spans="1:19" ht="20.100000000000001" customHeight="1" x14ac:dyDescent="0.25">
      <c r="A5" s="5" t="str">
        <f>HYPERLINK("#'Results - Product EI'!A1", "Results - Product Emissions Intensity")</f>
        <v>Results - Product Emissions Intensity</v>
      </c>
      <c r="C5" s="1"/>
      <c r="D5" s="2" t="s">
        <v>1199</v>
      </c>
      <c r="E5" s="24"/>
      <c r="F5" s="24"/>
      <c r="G5" s="24"/>
      <c r="H5" s="24"/>
      <c r="I5" s="24"/>
      <c r="J5" s="24"/>
    </row>
    <row r="6" spans="1:19" ht="20.100000000000001" customHeight="1" x14ac:dyDescent="0.25">
      <c r="A6" s="5" t="str">
        <f>HYPERLINK("#'Results'!A1", "Results")</f>
        <v>Results</v>
      </c>
      <c r="C6" s="1"/>
    </row>
    <row r="7" spans="1:19" ht="20.100000000000001" customHeight="1" x14ac:dyDescent="0.25">
      <c r="A7"/>
      <c r="C7" s="1"/>
      <c r="D7" s="81" t="s">
        <v>1200</v>
      </c>
      <c r="E7" s="81" t="s">
        <v>1201</v>
      </c>
      <c r="F7" s="81" t="s">
        <v>1202</v>
      </c>
    </row>
    <row r="8" spans="1:19" ht="20.100000000000001" customHeight="1" x14ac:dyDescent="0.25">
      <c r="A8"/>
      <c r="C8" s="1"/>
      <c r="D8" s="33" t="s">
        <v>1203</v>
      </c>
      <c r="E8" s="13" t="s">
        <v>1204</v>
      </c>
      <c r="F8" s="75">
        <v>100</v>
      </c>
    </row>
    <row r="9" spans="1:19" ht="20.100000000000001" customHeight="1" x14ac:dyDescent="0.25">
      <c r="A9" s="7" t="s">
        <v>0</v>
      </c>
      <c r="C9" s="1"/>
      <c r="D9" s="33" t="s">
        <v>1205</v>
      </c>
      <c r="E9" s="96" t="s">
        <v>1206</v>
      </c>
      <c r="F9" s="245">
        <v>100</v>
      </c>
    </row>
    <row r="10" spans="1:19" ht="20.100000000000001" customHeight="1" x14ac:dyDescent="0.25">
      <c r="A10" s="5" t="str">
        <f>HYPERLINK("#'Input - Enterprise'!A1", "Enterprise")</f>
        <v>Enterprise</v>
      </c>
      <c r="D10" s="33" t="s">
        <v>1207</v>
      </c>
      <c r="E10" s="96" t="s">
        <v>1208</v>
      </c>
      <c r="F10" s="245">
        <v>100</v>
      </c>
    </row>
    <row r="11" spans="1:19" ht="20.100000000000001" customHeight="1" x14ac:dyDescent="0.25">
      <c r="A11" s="5" t="str">
        <f>HYPERLINK("#'Input - Site'!A1", "Site")</f>
        <v>Site</v>
      </c>
      <c r="D11" s="33" t="s">
        <v>1207</v>
      </c>
      <c r="E11" s="96" t="s">
        <v>1208</v>
      </c>
      <c r="F11" s="245">
        <v>100</v>
      </c>
    </row>
    <row r="12" spans="1:19" ht="20.100000000000001" customHeight="1" x14ac:dyDescent="0.25">
      <c r="A12" s="5" t="str">
        <f>HYPERLINK("#'Input - Dairy'!A1", "Dairy")</f>
        <v>Dairy</v>
      </c>
      <c r="C12" s="1"/>
      <c r="D12" s="33" t="s">
        <v>1203</v>
      </c>
      <c r="E12" s="96" t="s">
        <v>1204</v>
      </c>
      <c r="F12" s="245">
        <v>100</v>
      </c>
    </row>
    <row r="13" spans="1:19" ht="20.100000000000001" customHeight="1" x14ac:dyDescent="0.25">
      <c r="A13" s="5" t="str">
        <f>HYPERLINK("#'Input - Livestock sales'!A1", "Livestock sales")</f>
        <v>Livestock sales</v>
      </c>
      <c r="C13" s="1"/>
      <c r="D13" s="33" t="s">
        <v>1203</v>
      </c>
      <c r="E13" s="96" t="s">
        <v>1204</v>
      </c>
      <c r="F13" s="245">
        <v>100</v>
      </c>
    </row>
    <row r="14" spans="1:19" ht="20.100000000000001" customHeight="1" x14ac:dyDescent="0.25">
      <c r="A14" s="5" t="str">
        <f>HYPERLINK("#'Input - Dairy cattle purchases'!A1", "Dairy cattle purchases")</f>
        <v>Dairy cattle purchases</v>
      </c>
      <c r="D14" s="33"/>
      <c r="E14" s="13"/>
      <c r="F14" s="75"/>
    </row>
    <row r="15" spans="1:19" ht="20.100000000000001" customHeight="1" x14ac:dyDescent="0.25">
      <c r="A15" s="5" t="str">
        <f>HYPERLINK("#'Input - Pasture'!A1", "Pasture")</f>
        <v>Pasture</v>
      </c>
      <c r="D15" s="33"/>
      <c r="E15" s="13"/>
      <c r="F15" s="75"/>
    </row>
    <row r="16" spans="1:19" ht="20.100000000000001" customHeight="1" x14ac:dyDescent="0.25">
      <c r="A16" s="5" t="str">
        <f>HYPERLINK("#'Input - Fert Prod System'!A1", "Fert Prod System")</f>
        <v>Fert Prod System</v>
      </c>
      <c r="D16" s="33"/>
      <c r="E16" s="13"/>
      <c r="F16" s="75"/>
    </row>
    <row r="17" spans="1:10" ht="20.100000000000001" customHeight="1" x14ac:dyDescent="0.25">
      <c r="A17" s="5" t="str">
        <f>HYPERLINK("#'Input - Fertiliser'!A1", "Fertiliser")</f>
        <v>Fertiliser</v>
      </c>
      <c r="C17" s="1"/>
      <c r="D17" s="33"/>
      <c r="E17" s="13"/>
      <c r="F17" s="75"/>
    </row>
    <row r="18" spans="1:10" ht="20.100000000000001" customHeight="1" x14ac:dyDescent="0.25">
      <c r="A18" s="5" t="str">
        <f>HYPERLINK("#'Input - Fuel'!A1", "Fuel")</f>
        <v>Fuel</v>
      </c>
      <c r="C18" s="1"/>
    </row>
    <row r="19" spans="1:10" ht="20.100000000000001" customHeight="1" x14ac:dyDescent="0.25">
      <c r="A19" s="5" t="str">
        <f>HYPERLINK("#'Input - Electricity'!A1", "Electricity")</f>
        <v>Electricity</v>
      </c>
    </row>
    <row r="20" spans="1:10" ht="20.100000000000001" customHeight="1" x14ac:dyDescent="0.25">
      <c r="A20" s="99" t="str">
        <f>HYPERLINK("#'Input - Common farm inputs'!A1", "Common farm inputs")</f>
        <v>Common farm inputs</v>
      </c>
      <c r="D20" s="2" t="s">
        <v>1209</v>
      </c>
    </row>
    <row r="21" spans="1:10" ht="20.100000000000001" customHeight="1" x14ac:dyDescent="0.25">
      <c r="A21" s="5" t="str">
        <f>HYPERLINK("#'Input - Crop pasture farm input'!A1", "Crop pasture farm input")</f>
        <v>Crop pasture farm input</v>
      </c>
      <c r="D21" s="25"/>
      <c r="I21" s="24"/>
      <c r="J21" s="24"/>
    </row>
    <row r="22" spans="1:10" ht="20.100000000000001" customHeight="1" x14ac:dyDescent="0.25">
      <c r="A22" s="5" t="str">
        <f>HYPERLINK("#'Input - Livestock farm Inputs'!A1", "Livestock farm Inputs")</f>
        <v>Livestock farm Inputs</v>
      </c>
      <c r="D22" s="261" t="s">
        <v>1210</v>
      </c>
      <c r="E22" s="261" t="s">
        <v>1211</v>
      </c>
      <c r="F22" s="261" t="s">
        <v>1212</v>
      </c>
      <c r="G22" s="261" t="s">
        <v>916</v>
      </c>
    </row>
    <row r="23" spans="1:10" ht="20.100000000000001" customHeight="1" x14ac:dyDescent="0.25">
      <c r="A23" s="5" t="str">
        <f>HYPERLINK("#'Input - Freight'!A1", "Freight")</f>
        <v>Freight</v>
      </c>
      <c r="D23" s="33" t="s">
        <v>1213</v>
      </c>
      <c r="E23" s="33" t="s">
        <v>1214</v>
      </c>
      <c r="F23" s="75">
        <v>10000</v>
      </c>
      <c r="G23" s="13" t="s">
        <v>1215</v>
      </c>
    </row>
    <row r="24" spans="1:10" ht="20.100000000000001" customHeight="1" x14ac:dyDescent="0.25">
      <c r="A24" s="5" t="str">
        <f>HYPERLINK("#'Input - Solid waste'!A1", "Solid waste")</f>
        <v>Solid waste</v>
      </c>
      <c r="D24" s="33" t="s">
        <v>1216</v>
      </c>
      <c r="E24" s="33" t="s">
        <v>1217</v>
      </c>
      <c r="F24" s="75">
        <v>1000</v>
      </c>
      <c r="G24" s="13" t="s">
        <v>1218</v>
      </c>
    </row>
    <row r="25" spans="1:10" ht="20.100000000000001" customHeight="1" x14ac:dyDescent="0.25">
      <c r="A25" s="5" t="str">
        <f>HYPERLINK("#'Input - Manure sent off-site'!A1", "Manure sent off-site")</f>
        <v>Manure sent off-site</v>
      </c>
      <c r="C25" s="1"/>
      <c r="D25" s="33"/>
      <c r="E25" s="33"/>
      <c r="F25" s="75"/>
      <c r="G25" s="13"/>
    </row>
    <row r="26" spans="1:10" ht="20.100000000000001" customHeight="1" x14ac:dyDescent="0.25">
      <c r="A26" s="5" t="str">
        <f>HYPERLINK("#'Input - Refrigerants'!A1", "Refrigerants")</f>
        <v>Refrigerants</v>
      </c>
      <c r="C26" s="1"/>
      <c r="D26" s="33"/>
      <c r="E26" s="33"/>
      <c r="F26" s="75"/>
      <c r="G26" s="13"/>
    </row>
    <row r="27" spans="1:10" ht="20.100000000000001" customHeight="1" x14ac:dyDescent="0.25">
      <c r="A27" s="5" t="str">
        <f>HYPERLINK("#'Input - Data quality'!A1", "Data quality")</f>
        <v>Data quality</v>
      </c>
      <c r="C27" s="1"/>
      <c r="D27" s="33"/>
      <c r="E27" s="33"/>
      <c r="F27" s="75"/>
      <c r="G27" s="13"/>
    </row>
    <row r="28" spans="1:10" ht="20.100000000000001" customHeight="1" x14ac:dyDescent="0.25">
      <c r="A28"/>
      <c r="D28" s="33"/>
      <c r="E28" s="33"/>
      <c r="F28" s="75"/>
      <c r="G28" s="13"/>
    </row>
    <row r="29" spans="1:10" ht="20.100000000000001" customHeight="1" x14ac:dyDescent="0.25">
      <c r="A29"/>
      <c r="D29" s="33"/>
      <c r="E29" s="33"/>
      <c r="F29" s="75"/>
      <c r="G29" s="13"/>
    </row>
    <row r="30" spans="1:10" ht="20.100000000000001" customHeight="1" x14ac:dyDescent="0.25">
      <c r="A30" s="6" t="s">
        <v>2</v>
      </c>
      <c r="D30" s="33"/>
      <c r="E30" s="33"/>
      <c r="F30" s="75"/>
      <c r="G30" s="13"/>
    </row>
    <row r="31" spans="1:10" ht="20.100000000000001" customHeight="1" x14ac:dyDescent="0.25">
      <c r="A31" s="5" t="str">
        <f>HYPERLINK("#'3.3.1.1-2 Enteric Methane'!A1", "3.3.1.1-2 Enteric methane")</f>
        <v>3.3.1.1-2 Enteric methane</v>
      </c>
      <c r="D31" s="33"/>
      <c r="E31" s="33"/>
      <c r="F31" s="75"/>
      <c r="G31" s="13"/>
    </row>
    <row r="32" spans="1:10" ht="20.100000000000001" customHeight="1" x14ac:dyDescent="0.25">
      <c r="A32" s="5" t="str">
        <f>HYPERLINK("#'4.3.1.1-2 Methane'!A1", "4.3.1.1-2 Manure methane")</f>
        <v>4.3.1.1-2 Manure methane</v>
      </c>
      <c r="D32" s="33"/>
      <c r="E32" s="33"/>
      <c r="F32" s="75"/>
      <c r="G32" s="13"/>
    </row>
    <row r="33" spans="1:6" ht="20.100000000000001" customHeight="1" x14ac:dyDescent="0.25">
      <c r="A33" s="5" t="str">
        <f>HYPERLINK("#'4.3.1.3-4 Direct N20'!A1", "4.3.1.3-4 Direct N20")</f>
        <v>4.3.1.3-4 Direct N20</v>
      </c>
    </row>
    <row r="34" spans="1:6" ht="20.100000000000001" customHeight="1" x14ac:dyDescent="0.25">
      <c r="A34" s="5" t="str">
        <f>HYPERLINK("#'4.3.1.5 Atmos deposition'!A1", "4.3.1.5 Atmos deposition")</f>
        <v>4.3.1.5 Atmos deposition</v>
      </c>
    </row>
    <row r="35" spans="1:6" ht="20.100000000000001" customHeight="1" x14ac:dyDescent="0.25">
      <c r="A35" s="5" t="str">
        <f>HYPERLINK("#'4.3.1.6-7 Leaching and runoff'!A1", "4.3.1.6-7 Leaching &amp; runoff")</f>
        <v>4.3.1.6-7 Leaching &amp; runoff</v>
      </c>
      <c r="D35" s="2" t="s">
        <v>1219</v>
      </c>
    </row>
    <row r="36" spans="1:6" ht="20.100000000000001" customHeight="1" x14ac:dyDescent="0.25">
      <c r="A36" s="5" t="str">
        <f>HYPERLINK("#'4.3.1.8 Manure applied to soils'!A1", "4.3.1.8 Manure applied to soils")</f>
        <v>4.3.1.8 Manure applied to soils</v>
      </c>
      <c r="D36" s="25"/>
    </row>
    <row r="37" spans="1:6" ht="20.100000000000001" customHeight="1" x14ac:dyDescent="0.25">
      <c r="A37" s="5" t="str">
        <f>HYPERLINK("#'4.3.1.9 Soil direct N2O'!A1", "4.3.1.9 Soil direct N2O")</f>
        <v>4.3.1.9 Soil direct N2O</v>
      </c>
      <c r="D37" s="81" t="s">
        <v>1220</v>
      </c>
      <c r="E37" s="81" t="s">
        <v>1066</v>
      </c>
      <c r="F37" s="81" t="s">
        <v>916</v>
      </c>
    </row>
    <row r="38" spans="1:6" ht="20.100000000000001" customHeight="1" x14ac:dyDescent="0.25">
      <c r="A38" s="5" t="str">
        <f>HYPERLINK("#'4.3.1.10-11 Soil Atmos Dep'!A1", "4.3.1.10-11 Soil Atmos Deposition")</f>
        <v>4.3.1.10-11 Soil Atmos Deposition</v>
      </c>
      <c r="D38" s="33" t="s">
        <v>1221</v>
      </c>
      <c r="E38" s="75">
        <v>1000</v>
      </c>
      <c r="F38" s="33" t="s">
        <v>743</v>
      </c>
    </row>
    <row r="39" spans="1:6" ht="20.100000000000001" customHeight="1" x14ac:dyDescent="0.25">
      <c r="A39" s="5" t="str">
        <f>HYPERLINK("#'4.3.1.12-13 Soil leach runoff'!A1", "4.3.1.12-13 Soil leach &amp; runoff")</f>
        <v>4.3.1.12-13 Soil leach &amp; runoff</v>
      </c>
      <c r="D39" s="33"/>
      <c r="E39" s="75"/>
      <c r="F39" s="33"/>
    </row>
    <row r="40" spans="1:6" ht="20.100000000000001" customHeight="1" x14ac:dyDescent="0.25">
      <c r="A40" s="5" t="str">
        <f>HYPERLINK("#'5.1.1.1-2 Inorganic fert N2O'!A1", "5.1.1.1-2 Inorganic fert N2O")</f>
        <v>5.1.1.1-2 Inorganic fert N2O</v>
      </c>
      <c r="D40" s="33"/>
      <c r="E40" s="75"/>
      <c r="F40" s="33"/>
    </row>
    <row r="41" spans="1:6" ht="20.100000000000001" customHeight="1" x14ac:dyDescent="0.25">
      <c r="A41" s="5" t="str">
        <f>HYPERLINK("#'5.1.1.3-4 Inorganic fert CO2'!A1", "5.1.1.3-4 Inorganic fert CO2")</f>
        <v>5.1.1.3-4 Inorganic fert CO2</v>
      </c>
      <c r="D41" s="33"/>
      <c r="E41" s="75"/>
      <c r="F41" s="33"/>
    </row>
    <row r="42" spans="1:6" ht="20.100000000000001" customHeight="1" x14ac:dyDescent="0.25">
      <c r="A42" s="5" t="str">
        <f>HYPERLINK("#'5.2.1.1-2 Organic Fert N2O'!A1", "5.2.1.1-2 Organic fert N2O")</f>
        <v>5.2.1.1-2 Organic fert N2O</v>
      </c>
      <c r="D42" s="33"/>
      <c r="E42" s="75"/>
      <c r="F42" s="33"/>
    </row>
    <row r="43" spans="1:6" ht="20.100000000000001" customHeight="1" x14ac:dyDescent="0.25">
      <c r="A43" s="5" t="str">
        <f>HYPERLINK("#'5.3.1.1-2 Lime CO2'!A1", "5.3.1.1-2 Lime CO2")</f>
        <v>5.3.1.1-2 Lime CO2</v>
      </c>
      <c r="D43" s="33"/>
      <c r="E43" s="75"/>
      <c r="F43" s="33"/>
    </row>
    <row r="44" spans="1:6" ht="20.100000000000001" customHeight="1" x14ac:dyDescent="0.25">
      <c r="A44" s="5" t="str">
        <f>HYPERLINK("#'5.4.1.1-4 Atmos deposition'!A1", "5.4.1.1-4 Atmos. deposition")</f>
        <v>5.4.1.1-4 Atmos. deposition</v>
      </c>
      <c r="C44" s="1"/>
      <c r="D44" s="33"/>
      <c r="E44" s="75"/>
      <c r="F44" s="33"/>
    </row>
    <row r="45" spans="1:6" ht="20.100000000000001" customHeight="1" x14ac:dyDescent="0.25">
      <c r="A45" s="5" t="str">
        <f>HYPERLINK("#'5.5.1.1-2 Leaching and runoff'!A1", "5.5.1.1-2 Leaching &amp; runoff")</f>
        <v>5.5.1.1-2 Leaching &amp; runoff</v>
      </c>
      <c r="C45" s="1"/>
      <c r="D45" s="33"/>
      <c r="E45" s="75"/>
      <c r="F45" s="33"/>
    </row>
    <row r="46" spans="1:6" ht="20.100000000000001" customHeight="1" x14ac:dyDescent="0.25">
      <c r="A46" s="5" t="str">
        <f>HYPERLINK("#'6.2.1.1-2 Pasture residue N2O'!A1", "6.2.1.1-2 Pasture residue N2O")</f>
        <v>6.2.1.1-2 Pasture residue N2O</v>
      </c>
      <c r="C46" s="1"/>
      <c r="D46" s="33"/>
      <c r="E46" s="75"/>
      <c r="F46" s="33"/>
    </row>
    <row r="47" spans="1:6" ht="20.100000000000001" customHeight="1" x14ac:dyDescent="0.25">
      <c r="A47" s="5" t="str">
        <f>HYPERLINK("#'6.3.1.1-2 Leach runoff pasture'!A1", "6.3.1.1-2 Leach &amp; runoff (pasture)")</f>
        <v>6.3.1.1-2 Leach &amp; runoff (pasture)</v>
      </c>
      <c r="C47" s="1"/>
      <c r="D47" s="33"/>
      <c r="E47" s="75"/>
      <c r="F47" s="33"/>
    </row>
    <row r="48" spans="1:6" ht="20.100000000000001" customHeight="1" x14ac:dyDescent="0.25">
      <c r="A48" s="5" t="str">
        <f>HYPERLINK("#'8.1.1.1-2 Transport fuel'!A1", "8.1.1.1-2 Transport fuel")</f>
        <v>8.1.1.1-2 Transport fuel</v>
      </c>
      <c r="C48" s="1"/>
    </row>
    <row r="49" spans="1:3" ht="20.100000000000001" customHeight="1" x14ac:dyDescent="0.25">
      <c r="A49" s="5" t="str">
        <f>HYPERLINK("#'8.2.1.1-2 Stationary fuel'!A1", "8.2.1.1-2 Stationary fuel")</f>
        <v>8.2.1.1-2 Stationary fuel</v>
      </c>
      <c r="C49" s="1"/>
    </row>
    <row r="50" spans="1:3" ht="20.100000000000001" customHeight="1" x14ac:dyDescent="0.25">
      <c r="A50" s="5" t="str">
        <f>HYPERLINK("#'9.1.1.1-2 Refrigerant use'!A1", "9.1.1.1-2 Refrigerant use")</f>
        <v>9.1.1.1-2 Refrigerant use</v>
      </c>
    </row>
    <row r="51" spans="1:3" ht="20.100000000000001" customHeight="1" x14ac:dyDescent="0.25">
      <c r="A51" s="5" t="str">
        <f>HYPERLINK("#'10.1.1-2 Solid waste treatment'!A1", "10.1.1.1-2 Solid waste")</f>
        <v>10.1.1.1-2 Solid waste</v>
      </c>
    </row>
    <row r="52" spans="1:3" ht="20.100000000000001" customHeight="1" x14ac:dyDescent="0.25">
      <c r="A52" s="5" t="str">
        <f>HYPERLINK("#'14.1.1-2 Purchased electricity'!A1", "14.1.1-2 Purchased electricity")</f>
        <v>14.1.1-2 Purchased electricity</v>
      </c>
    </row>
    <row r="53" spans="1:3" ht="20.100000000000001" customHeight="1" x14ac:dyDescent="0.25">
      <c r="A53" s="5" t="str">
        <f>HYPERLINK("#'15 Scope 3'!A1", "15 Scope 3")</f>
        <v>15 Scope 3</v>
      </c>
    </row>
    <row r="54" spans="1:3" ht="20.100000000000001" customHeight="1" x14ac:dyDescent="0.25">
      <c r="A54" s="5" t="str">
        <f>HYPERLINK("#'Calcs - Manure sent off-site'!A1", "Calcs - Manure sent off-site")</f>
        <v>Calcs - Manure sent off-site</v>
      </c>
    </row>
    <row r="55" spans="1:3" ht="20.100000000000001" customHeight="1" x14ac:dyDescent="0.25">
      <c r="A55"/>
    </row>
    <row r="56" spans="1:3" ht="20.100000000000001" customHeight="1" x14ac:dyDescent="0.25">
      <c r="A56"/>
    </row>
    <row r="57" spans="1:3" ht="20.100000000000001" customHeight="1" x14ac:dyDescent="0.25">
      <c r="A57" s="82" t="s">
        <v>1</v>
      </c>
    </row>
    <row r="58" spans="1:3" ht="20.100000000000001" customHeight="1" x14ac:dyDescent="0.25">
      <c r="A58" s="5" t="str">
        <f>HYPERLINK("#'Constants - Dairy'!A1", "Constants - Dairy")</f>
        <v>Constants - Dairy</v>
      </c>
    </row>
    <row r="59" spans="1:3" ht="20.100000000000001" customHeight="1" x14ac:dyDescent="0.25">
      <c r="A59" s="5" t="str">
        <f>HYPERLINK("#'Constants - Ag Residue'!A1", "Constants - Ag residue")</f>
        <v>Constants - Ag residue</v>
      </c>
    </row>
    <row r="60" spans="1:3" ht="20.100000000000001" customHeight="1" x14ac:dyDescent="0.25">
      <c r="A60" s="5" t="str">
        <f>HYPERLINK("#'Constants - Common Livestock'!A1", "Constants - Common Livestock")</f>
        <v>Constants - Common Livestock</v>
      </c>
    </row>
    <row r="61" spans="1:3" ht="20.100000000000001" customHeight="1" x14ac:dyDescent="0.25">
      <c r="A61" s="5" t="str">
        <f>HYPERLINK("#'Constants - Electricity'!A1", "Constants - Electricity")</f>
        <v>Constants - Electricity</v>
      </c>
    </row>
    <row r="62" spans="1:3" ht="20.100000000000001" customHeight="1" x14ac:dyDescent="0.25">
      <c r="A62" s="5" t="str">
        <f>HYPERLINK("#'Constants - Fertiliser'!A1", "Constants - Fertiliser")</f>
        <v>Constants - Fertiliser</v>
      </c>
    </row>
    <row r="63" spans="1:3" ht="20.100000000000001" customHeight="1" x14ac:dyDescent="0.25">
      <c r="A63" s="5" t="str">
        <f>HYPERLINK("#'Constants - Fuel'!A1", "Constants - Fuel")</f>
        <v>Constants - Fuel</v>
      </c>
    </row>
    <row r="64" spans="1:3" ht="20.100000000000001" customHeight="1" x14ac:dyDescent="0.25">
      <c r="A64" s="5" t="str">
        <f>HYPERLINK("#'Constants - Scope 3'!A1", "Constants - Scope 3")</f>
        <v>Constants - Scope 3</v>
      </c>
    </row>
    <row r="65" spans="1:11" ht="20.100000000000001" customHeight="1" x14ac:dyDescent="0.25">
      <c r="A65" s="5" t="str">
        <f>HYPERLINK("#'Constants - Common'!A1", "Constants - Common")</f>
        <v>Constants - Common</v>
      </c>
    </row>
    <row r="66" spans="1:11" ht="20.100000000000001" customHeight="1" x14ac:dyDescent="0.25">
      <c r="A66" s="5" t="str">
        <f>HYPERLINK("#'Constants - Refrigerants'!A1", "Constants - Refrigerants")</f>
        <v>Constants - Refrigerants</v>
      </c>
    </row>
    <row r="67" spans="1:11" ht="20.100000000000001" customHeight="1" x14ac:dyDescent="0.25">
      <c r="A67" s="5" t="str">
        <f>HYPERLINK("#'Constants - Solid Waste'!A1", "Constants - Solid Waste")</f>
        <v>Constants - Solid Waste</v>
      </c>
    </row>
    <row r="68" spans="1:11" ht="20.100000000000001" customHeight="1" x14ac:dyDescent="0.25">
      <c r="A68" s="5" t="str">
        <f>HYPERLINK("#'Acknowledgements'!A1", "Acknowledgements")</f>
        <v>Acknowledgements</v>
      </c>
    </row>
    <row r="69" spans="1:11" ht="20.100000000000001" customHeight="1" x14ac:dyDescent="0.25">
      <c r="A69"/>
    </row>
    <row r="70" spans="1:11" ht="20.100000000000001" customHeight="1" x14ac:dyDescent="0.25">
      <c r="A70"/>
    </row>
    <row r="71" spans="1:11" ht="20.100000000000001" customHeight="1" x14ac:dyDescent="0.25">
      <c r="A71"/>
    </row>
    <row r="72" spans="1:11" ht="20.100000000000001" customHeight="1" x14ac:dyDescent="0.25">
      <c r="A72"/>
    </row>
    <row r="73" spans="1:11" ht="20.100000000000001" customHeight="1" x14ac:dyDescent="0.25">
      <c r="A73"/>
    </row>
    <row r="74" spans="1:11" ht="20.100000000000001" customHeight="1" x14ac:dyDescent="0.25">
      <c r="A74"/>
      <c r="K74" s="246"/>
    </row>
    <row r="75" spans="1:11" ht="20.100000000000001" customHeight="1" x14ac:dyDescent="0.25">
      <c r="A75"/>
    </row>
    <row r="76" spans="1:11" ht="20.100000000000001" customHeight="1" x14ac:dyDescent="0.25">
      <c r="A76"/>
    </row>
    <row r="77" spans="1:11" ht="20.100000000000001" customHeight="1" x14ac:dyDescent="0.25">
      <c r="A77"/>
    </row>
    <row r="78" spans="1:11" ht="20.100000000000001" customHeight="1" x14ac:dyDescent="0.25">
      <c r="A78"/>
    </row>
    <row r="79" spans="1:11" ht="20.100000000000001" customHeight="1" x14ac:dyDescent="0.25">
      <c r="A79"/>
    </row>
    <row r="80" spans="1:11" ht="20.100000000000001" customHeight="1" x14ac:dyDescent="0.25">
      <c r="A80"/>
    </row>
    <row r="81" spans="1:10" ht="20.100000000000001" customHeight="1" x14ac:dyDescent="0.25">
      <c r="A81"/>
    </row>
    <row r="82" spans="1:10" ht="20.100000000000001" customHeight="1" x14ac:dyDescent="0.25">
      <c r="A82"/>
    </row>
    <row r="83" spans="1:10" ht="20.100000000000001" customHeight="1" x14ac:dyDescent="0.25">
      <c r="A83"/>
    </row>
    <row r="84" spans="1:10" ht="20.100000000000001" customHeight="1" x14ac:dyDescent="0.25">
      <c r="A84"/>
    </row>
    <row r="85" spans="1:10" ht="20.100000000000001" customHeight="1" x14ac:dyDescent="0.25">
      <c r="A85"/>
    </row>
    <row r="86" spans="1:10" ht="20.100000000000001" customHeight="1" x14ac:dyDescent="0.25">
      <c r="A86"/>
    </row>
    <row r="87" spans="1:10" ht="20.100000000000001" customHeight="1" x14ac:dyDescent="0.25">
      <c r="A87"/>
    </row>
    <row r="88" spans="1:10" ht="20.100000000000001" customHeight="1" x14ac:dyDescent="0.25">
      <c r="A88"/>
    </row>
    <row r="89" spans="1:10" ht="20.100000000000001" customHeight="1" x14ac:dyDescent="0.25">
      <c r="A89"/>
    </row>
    <row r="90" spans="1:10" ht="20.100000000000001" customHeight="1" x14ac:dyDescent="0.25">
      <c r="A90"/>
    </row>
    <row r="91" spans="1:10" ht="20.100000000000001" customHeight="1" x14ac:dyDescent="0.25">
      <c r="A91"/>
    </row>
    <row r="92" spans="1:10" ht="20.100000000000001" customHeight="1" x14ac:dyDescent="0.25">
      <c r="A92"/>
      <c r="J92" s="24"/>
    </row>
    <row r="93" spans="1:10" ht="20.100000000000001" customHeight="1" x14ac:dyDescent="0.25">
      <c r="A93"/>
      <c r="J93" s="24"/>
    </row>
    <row r="94" spans="1:10" ht="20.100000000000001" customHeight="1" x14ac:dyDescent="0.25">
      <c r="A94"/>
      <c r="J94" s="24"/>
    </row>
    <row r="95" spans="1:10" ht="20.100000000000001" customHeight="1" x14ac:dyDescent="0.25">
      <c r="A95"/>
      <c r="J95" s="24"/>
    </row>
    <row r="96" spans="1:10" ht="20.100000000000001" customHeight="1" x14ac:dyDescent="0.25">
      <c r="A96"/>
      <c r="J96" s="24"/>
    </row>
    <row r="97" spans="1:10" ht="20.100000000000001" customHeight="1" x14ac:dyDescent="0.25">
      <c r="A97"/>
      <c r="J97" s="2"/>
    </row>
    <row r="98" spans="1:10" ht="20.100000000000001" customHeight="1" x14ac:dyDescent="0.25">
      <c r="A98"/>
      <c r="J98" s="1"/>
    </row>
    <row r="99" spans="1:10" ht="20.100000000000001" customHeight="1" x14ac:dyDescent="0.25">
      <c r="A99"/>
      <c r="J99" s="1"/>
    </row>
    <row r="100" spans="1:10" ht="20.100000000000001" customHeight="1" x14ac:dyDescent="0.25">
      <c r="A100"/>
      <c r="J100" s="1"/>
    </row>
    <row r="101" spans="1:10" ht="20.100000000000001" customHeight="1" x14ac:dyDescent="0.25">
      <c r="A101"/>
      <c r="J101" s="1"/>
    </row>
    <row r="102" spans="1:10" ht="20.100000000000001" customHeight="1" x14ac:dyDescent="0.25">
      <c r="A102"/>
      <c r="J102" s="1"/>
    </row>
    <row r="103" spans="1:10" ht="20.100000000000001" customHeight="1" x14ac:dyDescent="0.25">
      <c r="A103"/>
    </row>
    <row r="104" spans="1:10" ht="20.100000000000001" customHeight="1" x14ac:dyDescent="0.25">
      <c r="A104"/>
    </row>
    <row r="105" spans="1:10" ht="20.100000000000001" customHeight="1" x14ac:dyDescent="0.25">
      <c r="A105"/>
    </row>
    <row r="106" spans="1:10" ht="20.100000000000001" customHeight="1" x14ac:dyDescent="0.25">
      <c r="A106"/>
    </row>
    <row r="107" spans="1:10" ht="20.100000000000001" customHeight="1" x14ac:dyDescent="0.25">
      <c r="A107"/>
      <c r="J107" s="1"/>
    </row>
    <row r="108" spans="1:10" ht="20.100000000000001" customHeight="1" x14ac:dyDescent="0.25">
      <c r="A108"/>
      <c r="J108" s="1"/>
    </row>
    <row r="109" spans="1:10" ht="20.100000000000001" customHeight="1" x14ac:dyDescent="0.25">
      <c r="A109"/>
      <c r="J109" s="1"/>
    </row>
    <row r="110" spans="1:10" ht="20.100000000000001" customHeight="1" x14ac:dyDescent="0.25">
      <c r="A110"/>
      <c r="J110" s="1"/>
    </row>
    <row r="111" spans="1:10" ht="20.100000000000001" customHeight="1" x14ac:dyDescent="0.25">
      <c r="A111"/>
      <c r="J111" s="1"/>
    </row>
    <row r="112" spans="1:10" ht="20.100000000000001" customHeight="1" x14ac:dyDescent="0.25">
      <c r="A112"/>
      <c r="J112" s="1"/>
    </row>
    <row r="113" spans="1:16" ht="20.100000000000001" customHeight="1" x14ac:dyDescent="0.25">
      <c r="A113"/>
      <c r="J113" s="1"/>
      <c r="L113" s="24"/>
      <c r="M113" s="24"/>
      <c r="N113" s="24"/>
      <c r="O113" s="24"/>
      <c r="P113" s="24"/>
    </row>
    <row r="114" spans="1:16" ht="20.100000000000001" customHeight="1" x14ac:dyDescent="0.25">
      <c r="A114"/>
      <c r="J114" s="1"/>
      <c r="L114" s="24"/>
      <c r="M114" s="24"/>
      <c r="N114" s="24"/>
      <c r="O114" s="24"/>
      <c r="P114" s="24"/>
    </row>
    <row r="115" spans="1:16" ht="20.100000000000001" customHeight="1" x14ac:dyDescent="0.25">
      <c r="A115"/>
      <c r="J115" s="1"/>
      <c r="L115" s="24"/>
      <c r="M115" s="24"/>
      <c r="N115" s="24"/>
      <c r="O115" s="24"/>
      <c r="P115" s="24"/>
    </row>
    <row r="116" spans="1:16" ht="20.100000000000001" customHeight="1" x14ac:dyDescent="0.25">
      <c r="A116"/>
      <c r="I116" s="24"/>
      <c r="J116" s="1"/>
      <c r="N116" s="24"/>
      <c r="O116" s="24"/>
      <c r="P116" s="24"/>
    </row>
    <row r="117" spans="1:16" ht="20.100000000000001" customHeight="1" x14ac:dyDescent="0.25">
      <c r="A117"/>
      <c r="I117" s="24"/>
      <c r="J117" s="1"/>
      <c r="N117" s="24"/>
      <c r="O117" s="24"/>
      <c r="P117" s="24"/>
    </row>
    <row r="118" spans="1:16" ht="20.100000000000001" customHeight="1" x14ac:dyDescent="0.25">
      <c r="A118"/>
      <c r="J118" s="24"/>
      <c r="N118" s="2"/>
      <c r="O118" s="2"/>
      <c r="P118" s="24"/>
    </row>
    <row r="119" spans="1:16" ht="20.100000000000001" customHeight="1" x14ac:dyDescent="0.25">
      <c r="A119"/>
      <c r="J119" s="24"/>
      <c r="P119" s="262"/>
    </row>
    <row r="120" spans="1:16" ht="20.100000000000001" customHeight="1" x14ac:dyDescent="0.25">
      <c r="A120"/>
      <c r="J120" s="24"/>
      <c r="P120" s="262"/>
    </row>
    <row r="121" spans="1:16" ht="20.100000000000001" customHeight="1" x14ac:dyDescent="0.25">
      <c r="A121"/>
      <c r="J121" s="2"/>
      <c r="P121" s="262"/>
    </row>
    <row r="122" spans="1:16" ht="20.100000000000001" customHeight="1" x14ac:dyDescent="0.25">
      <c r="A122"/>
      <c r="G122" s="24"/>
      <c r="H122" s="1"/>
      <c r="J122" s="1"/>
      <c r="P122" s="262"/>
    </row>
    <row r="123" spans="1:16" ht="20.100000000000001" customHeight="1" x14ac:dyDescent="0.25">
      <c r="A123"/>
      <c r="G123" s="24"/>
      <c r="H123" s="1"/>
      <c r="J123" s="1"/>
      <c r="P123" s="262"/>
    </row>
    <row r="124" spans="1:16" ht="20.100000000000001" customHeight="1" x14ac:dyDescent="0.25">
      <c r="A124"/>
      <c r="G124" s="24"/>
      <c r="H124" s="24"/>
      <c r="J124" s="1"/>
      <c r="N124" s="24"/>
      <c r="O124" s="24"/>
      <c r="P124" s="24"/>
    </row>
    <row r="125" spans="1:16" ht="20.100000000000001" customHeight="1" x14ac:dyDescent="0.25">
      <c r="A125"/>
      <c r="G125" s="24"/>
      <c r="H125" s="24"/>
      <c r="I125" s="24"/>
      <c r="J125" s="1"/>
      <c r="N125" s="24"/>
      <c r="O125" s="24"/>
      <c r="P125" s="24"/>
    </row>
    <row r="126" spans="1:16" ht="20.100000000000001" customHeight="1" x14ac:dyDescent="0.25">
      <c r="A126"/>
      <c r="G126" s="24"/>
      <c r="I126" s="24"/>
      <c r="J126" s="1"/>
    </row>
    <row r="127" spans="1:16" ht="20.100000000000001" customHeight="1" x14ac:dyDescent="0.25">
      <c r="A127"/>
      <c r="I127" s="24"/>
      <c r="J127" s="24"/>
    </row>
    <row r="128" spans="1:16" ht="20.100000000000001" customHeight="1" x14ac:dyDescent="0.25">
      <c r="A128"/>
      <c r="I128" s="24"/>
      <c r="J128" s="24"/>
    </row>
    <row r="129" spans="1:13" ht="20.100000000000001" customHeight="1" x14ac:dyDescent="0.25">
      <c r="A129"/>
      <c r="I129" s="24"/>
      <c r="L129" s="24"/>
      <c r="M129" s="24"/>
    </row>
    <row r="130" spans="1:13" ht="20.100000000000001" customHeight="1" x14ac:dyDescent="0.25">
      <c r="A130"/>
      <c r="I130" s="24"/>
      <c r="L130" s="24"/>
      <c r="M130" s="24"/>
    </row>
    <row r="131" spans="1:13" ht="20.100000000000001" customHeight="1" x14ac:dyDescent="0.25">
      <c r="A131"/>
      <c r="G131" s="1"/>
      <c r="I131" s="1"/>
      <c r="L131" s="2"/>
      <c r="M131" s="2"/>
    </row>
    <row r="132" spans="1:13" ht="20.100000000000001" customHeight="1" x14ac:dyDescent="0.25">
      <c r="A132"/>
      <c r="G132" s="24"/>
      <c r="I132" s="1"/>
    </row>
    <row r="133" spans="1:13" ht="20.100000000000001" customHeight="1" x14ac:dyDescent="0.25">
      <c r="A133"/>
      <c r="G133" s="24"/>
      <c r="I133" s="1"/>
    </row>
    <row r="134" spans="1:13" ht="20.100000000000001" customHeight="1" x14ac:dyDescent="0.25">
      <c r="A134"/>
      <c r="I134" s="1"/>
    </row>
    <row r="135" spans="1:13" ht="20.100000000000001" customHeight="1" x14ac:dyDescent="0.25">
      <c r="A135"/>
      <c r="I135" s="1"/>
    </row>
    <row r="136" spans="1:13" ht="20.100000000000001" customHeight="1" x14ac:dyDescent="0.25">
      <c r="A136"/>
      <c r="I136" s="24"/>
    </row>
    <row r="137" spans="1:13" ht="20.100000000000001" customHeight="1" x14ac:dyDescent="0.25">
      <c r="A137"/>
      <c r="I137" s="24"/>
      <c r="L137" s="24"/>
      <c r="M137" s="24"/>
    </row>
    <row r="138" spans="1:13" ht="20.100000000000001" customHeight="1" x14ac:dyDescent="0.25">
      <c r="A138"/>
      <c r="L138" s="24"/>
      <c r="M138" s="24"/>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97"/>
    </row>
    <row r="166" spans="11:19" ht="20.100000000000001" customHeight="1" x14ac:dyDescent="0.25">
      <c r="S166" s="97"/>
    </row>
    <row r="167" spans="11:19" ht="20.100000000000001" customHeight="1" x14ac:dyDescent="0.25">
      <c r="S167" s="97"/>
    </row>
    <row r="168" spans="11:19" ht="20.100000000000001" customHeight="1" x14ac:dyDescent="0.25">
      <c r="S168" s="97"/>
    </row>
    <row r="169" spans="11:19" ht="20.100000000000001" customHeight="1" x14ac:dyDescent="0.25">
      <c r="S169" s="97"/>
    </row>
    <row r="170" spans="11:19" ht="20.100000000000001" customHeight="1" x14ac:dyDescent="0.25">
      <c r="S170" s="97"/>
    </row>
    <row r="171" spans="11:19" ht="20.100000000000001" customHeight="1" x14ac:dyDescent="0.25">
      <c r="S171" s="97"/>
    </row>
    <row r="172" spans="11:19" ht="20.100000000000001" customHeight="1" x14ac:dyDescent="0.25">
      <c r="S172" s="97"/>
    </row>
    <row r="173" spans="11:19" ht="20.100000000000001" customHeight="1" x14ac:dyDescent="0.25">
      <c r="S173" s="97"/>
    </row>
    <row r="174" spans="11:19" ht="20.100000000000001" customHeight="1" x14ac:dyDescent="0.25">
      <c r="S174" s="97"/>
    </row>
    <row r="175" spans="11:19" ht="20.100000000000001" customHeight="1" x14ac:dyDescent="0.25">
      <c r="S175" s="97"/>
    </row>
    <row r="176" spans="11:19" ht="20.100000000000001" customHeight="1" x14ac:dyDescent="0.25">
      <c r="K176" s="24"/>
    </row>
    <row r="177" spans="11:19" ht="20.100000000000001" customHeight="1" x14ac:dyDescent="0.25">
      <c r="K177" s="24"/>
    </row>
    <row r="178" spans="11:19" ht="20.100000000000001" customHeight="1" x14ac:dyDescent="0.25"/>
    <row r="179" spans="11:19" ht="20.100000000000001" customHeight="1" x14ac:dyDescent="0.25"/>
    <row r="180" spans="11:19" ht="20.100000000000001" customHeight="1" x14ac:dyDescent="0.25">
      <c r="S180" s="97"/>
    </row>
    <row r="181" spans="11:19" ht="20.100000000000001" customHeight="1" x14ac:dyDescent="0.25">
      <c r="S181" s="97"/>
    </row>
    <row r="182" spans="11:19" ht="20.100000000000001" customHeight="1" x14ac:dyDescent="0.25">
      <c r="S182" s="97"/>
    </row>
    <row r="183" spans="11:19" ht="20.100000000000001" customHeight="1" x14ac:dyDescent="0.25">
      <c r="S183" s="97"/>
    </row>
    <row r="184" spans="11:19" ht="20.100000000000001" customHeight="1" x14ac:dyDescent="0.25">
      <c r="S184" s="97"/>
    </row>
    <row r="185" spans="11:19" ht="20.100000000000001" customHeight="1" x14ac:dyDescent="0.25">
      <c r="S185" s="97"/>
    </row>
    <row r="186" spans="11:19" ht="20.100000000000001" customHeight="1" x14ac:dyDescent="0.25">
      <c r="S186" s="97"/>
    </row>
    <row r="187" spans="11:19" ht="20.100000000000001" customHeight="1" x14ac:dyDescent="0.25">
      <c r="S187" s="97"/>
    </row>
    <row r="188" spans="11:19" ht="20.100000000000001" customHeight="1" x14ac:dyDescent="0.25">
      <c r="S188" s="97"/>
    </row>
    <row r="189" spans="11:19" ht="20.100000000000001" customHeight="1" x14ac:dyDescent="0.25">
      <c r="S189" s="97"/>
    </row>
    <row r="190" spans="11:19" ht="20.100000000000001" customHeight="1" x14ac:dyDescent="0.25">
      <c r="S190" s="97"/>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dataValidations count="3">
    <dataValidation type="list" allowBlank="1" showInputMessage="1" showErrorMessage="1" sqref="N122:N123 H122:H123 J125:J126 L135:L136" xr:uid="{2552AF45-8661-4FB2-BFC8-AFCF3216A2B8}">
      <formula1>INDIRECT("Table_Scope3_AquacultureFeedBait[Feed / Bait ingredient]")</formula1>
    </dataValidation>
    <dataValidation type="list" allowBlank="1" showInputMessage="1" showErrorMessage="1" sqref="G23:G32" xr:uid="{8908BC31-DB4F-4224-A56F-0A086150534A}">
      <formula1>"Hour, Hectare"</formula1>
    </dataValidation>
    <dataValidation type="list" allowBlank="1" showInputMessage="1" showErrorMessage="1" sqref="E8:E17" xr:uid="{F7307383-837F-494D-9E77-BA002F3AC1AB}">
      <formula1>INDIRECT("Table_SourceData_Scope3_ChemicalsCleaning[Product]")</formula1>
    </dataValidation>
  </dataValidations>
  <pageMargins left="0.7" right="0.7" top="0.75" bottom="0.75" header="0.3" footer="0.3"/>
  <pageSetup orientation="portrait" r:id="rId1"/>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4E18E-BFF0-4FE1-96D5-8FB223DE06A2}">
  <sheetPr>
    <tabColor theme="5" tint="-0.249977111117893"/>
  </sheetPr>
  <dimension ref="A1:S160"/>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style="259" customWidth="1"/>
    <col min="2" max="2" width="5.28515625" style="259" customWidth="1"/>
    <col min="3" max="3" width="5.28515625" style="1" customWidth="1"/>
    <col min="4" max="18" width="35" style="1" customWidth="1"/>
    <col min="19" max="19" width="5.28515625" style="1" customWidth="1"/>
    <col min="20" max="16384" width="9.140625" style="259"/>
  </cols>
  <sheetData>
    <row r="1" spans="1:19" s="10" customFormat="1" ht="25.5" x14ac:dyDescent="0.35">
      <c r="C1" s="10" t="s">
        <v>1222</v>
      </c>
    </row>
    <row r="2" spans="1:19" s="3" customFormat="1" x14ac:dyDescent="0.25">
      <c r="A2"/>
    </row>
    <row r="3" spans="1:19" ht="20.25" x14ac:dyDescent="0.25">
      <c r="A3" s="5" t="str">
        <f>HYPERLINK("#'Home'!A1", "Home")</f>
        <v>Home</v>
      </c>
      <c r="C3" s="28"/>
      <c r="D3" s="28"/>
      <c r="E3" s="28"/>
      <c r="F3" s="28"/>
      <c r="G3" s="28"/>
      <c r="H3" s="28"/>
      <c r="I3" s="28"/>
      <c r="J3" s="28"/>
      <c r="K3" s="28"/>
      <c r="L3" s="28"/>
      <c r="M3" s="28"/>
      <c r="N3" s="28"/>
      <c r="O3" s="28"/>
      <c r="P3" s="28"/>
      <c r="Q3" s="28"/>
      <c r="R3" s="28"/>
      <c r="S3" s="28"/>
    </row>
    <row r="4" spans="1:19" x14ac:dyDescent="0.25">
      <c r="A4" s="5" t="str">
        <f>HYPERLINK("#'Results - Activity period'!A1", "Results - Activity period")</f>
        <v>Results - Activity period</v>
      </c>
    </row>
    <row r="5" spans="1:19" ht="18.75" x14ac:dyDescent="0.25">
      <c r="A5" s="5" t="str">
        <f>HYPERLINK("#'Results - Product EI'!A1", "Results - Product Emissions Intensity")</f>
        <v>Results - Product Emissions Intensity</v>
      </c>
      <c r="D5" s="263" t="s">
        <v>1223</v>
      </c>
      <c r="E5" s="262"/>
      <c r="F5" s="262"/>
      <c r="G5" s="262"/>
      <c r="H5" s="262"/>
      <c r="I5" s="262"/>
      <c r="J5" s="262"/>
    </row>
    <row r="6" spans="1:19" x14ac:dyDescent="0.25">
      <c r="A6" s="5" t="str">
        <f>HYPERLINK("#'Results'!A1", "Results")</f>
        <v>Results</v>
      </c>
      <c r="D6" s="264" t="s">
        <v>1224</v>
      </c>
      <c r="E6" s="264"/>
      <c r="F6" s="139"/>
      <c r="G6" s="44"/>
      <c r="H6" s="24"/>
      <c r="I6" s="24"/>
      <c r="J6" s="24"/>
    </row>
    <row r="7" spans="1:19" x14ac:dyDescent="0.25">
      <c r="A7"/>
      <c r="D7" s="45" t="s">
        <v>1225</v>
      </c>
      <c r="E7" s="46"/>
      <c r="F7" s="46"/>
      <c r="G7" s="47"/>
      <c r="H7" s="24"/>
      <c r="I7" s="24"/>
      <c r="J7" s="24"/>
    </row>
    <row r="8" spans="1:19" x14ac:dyDescent="0.25">
      <c r="A8"/>
      <c r="D8" s="262"/>
      <c r="E8" s="262"/>
      <c r="F8" s="262"/>
      <c r="G8" s="262"/>
      <c r="H8" s="262"/>
      <c r="I8" s="262"/>
      <c r="J8" s="262"/>
      <c r="K8" s="79" t="str" cm="1">
        <f t="array" ref="K8">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8" s="79" t="str" cm="1">
        <f t="array" ref="N8">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8" s="79" t="str" cm="1">
        <f t="array" ref="Q8">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9" spans="1:19" x14ac:dyDescent="0.25">
      <c r="A9" s="7" t="s">
        <v>0</v>
      </c>
      <c r="D9" s="265" t="s">
        <v>1200</v>
      </c>
      <c r="E9" s="265" t="s">
        <v>1226</v>
      </c>
      <c r="F9" s="265" t="s">
        <v>1227</v>
      </c>
      <c r="G9" s="265" t="s">
        <v>677</v>
      </c>
      <c r="H9" s="265" t="s">
        <v>1228</v>
      </c>
      <c r="I9" s="265" t="s">
        <v>1229</v>
      </c>
      <c r="J9" s="265" t="s">
        <v>1230</v>
      </c>
      <c r="K9" s="260" t="s">
        <v>1231</v>
      </c>
      <c r="L9" s="260" t="s">
        <v>1232</v>
      </c>
      <c r="M9" s="260" t="s">
        <v>1233</v>
      </c>
      <c r="N9" s="260" t="s">
        <v>1234</v>
      </c>
      <c r="O9" s="260" t="s">
        <v>1235</v>
      </c>
      <c r="P9" s="260" t="s">
        <v>1236</v>
      </c>
      <c r="Q9" s="260" t="s">
        <v>1237</v>
      </c>
      <c r="R9" s="260" t="s">
        <v>1238</v>
      </c>
    </row>
    <row r="10" spans="1:19" x14ac:dyDescent="0.25">
      <c r="A10" s="5" t="str">
        <f>HYPERLINK("#'Input - Enterprise'!A1", "Enterprise")</f>
        <v>Enterprise</v>
      </c>
      <c r="D10" s="266" t="s">
        <v>1239</v>
      </c>
      <c r="E10" s="267">
        <v>10</v>
      </c>
      <c r="F10" s="13" t="s">
        <v>741</v>
      </c>
      <c r="G10" s="75">
        <v>100</v>
      </c>
      <c r="H10" s="15">
        <f>Table_Input_Pesticides[[#This Row],[Amount applied per ha]]*Table_Input_Pesticides[[#This Row],[Application area (ha)]]</f>
        <v>1000</v>
      </c>
      <c r="I10" s="13" t="s">
        <v>1240</v>
      </c>
      <c r="J10" s="13" t="s">
        <v>1241</v>
      </c>
      <c r="K10" s="75">
        <v>100</v>
      </c>
      <c r="L10" s="15">
        <f>Table_Input_Pesticides[[#This Row],[Total applied]]*Table_Input_Pesticides[[#This Row],[Active ingredient 1 amount]]*IF(Table_Input_Pesticides[[#This Row],[Constituent unit (select)]]="fraction of product", 1, 10^-3)</f>
        <v>100</v>
      </c>
      <c r="M10" s="13" t="s">
        <v>1241</v>
      </c>
      <c r="N10" s="75">
        <v>100</v>
      </c>
      <c r="O10" s="15">
        <f>Table_Input_Pesticides[[#This Row],[Total applied]]*Table_Input_Pesticides[[#This Row],[Active ingredient 2 amount]]*IF(Table_Input_Pesticides[[#This Row],[Constituent unit (select)]]="fraction of product", 1, 10^-3)</f>
        <v>100</v>
      </c>
      <c r="P10" s="13" t="s">
        <v>1242</v>
      </c>
      <c r="Q10" s="75">
        <v>100</v>
      </c>
      <c r="R10" s="15">
        <f>Table_Input_Pesticides[[#This Row],[Total applied]]*Table_Input_Pesticides[[#This Row],[Active ingredient 3 amount]]*IF(Table_Input_Pesticides[[#This Row],[Constituent unit (select)]]="fraction of product", 1, 10^-3)</f>
        <v>100</v>
      </c>
    </row>
    <row r="11" spans="1:19" x14ac:dyDescent="0.25">
      <c r="A11" s="5" t="str">
        <f>HYPERLINK("#'Input - Site'!A1", "Site")</f>
        <v>Site</v>
      </c>
      <c r="D11" s="266" t="s">
        <v>1243</v>
      </c>
      <c r="E11" s="267">
        <v>10</v>
      </c>
      <c r="F11" s="13" t="s">
        <v>1244</v>
      </c>
      <c r="G11" s="75">
        <v>100</v>
      </c>
      <c r="H11" s="15">
        <f>Table_Input_Pesticides[[#This Row],[Amount applied per ha]]*Table_Input_Pesticides[[#This Row],[Application area (ha)]]</f>
        <v>1000</v>
      </c>
      <c r="I11" s="13" t="s">
        <v>1240</v>
      </c>
      <c r="J11" s="13" t="s">
        <v>1241</v>
      </c>
      <c r="K11" s="75">
        <v>100</v>
      </c>
      <c r="L11" s="15">
        <f>Table_Input_Pesticides[[#This Row],[Total applied]]*Table_Input_Pesticides[[#This Row],[Active ingredient 1 amount]]*IF(Table_Input_Pesticides[[#This Row],[Constituent unit (select)]]="fraction of product", 1, 10^-3)</f>
        <v>100</v>
      </c>
      <c r="M11" s="13" t="s">
        <v>1245</v>
      </c>
      <c r="N11" s="75">
        <v>100</v>
      </c>
      <c r="O11" s="15">
        <f>Table_Input_Pesticides[[#This Row],[Total applied]]*Table_Input_Pesticides[[#This Row],[Active ingredient 2 amount]]*IF(Table_Input_Pesticides[[#This Row],[Constituent unit (select)]]="fraction of product", 1, 10^-3)</f>
        <v>100</v>
      </c>
      <c r="P11" s="13" t="s">
        <v>1246</v>
      </c>
      <c r="Q11" s="75">
        <v>100</v>
      </c>
      <c r="R11" s="15">
        <f>Table_Input_Pesticides[[#This Row],[Total applied]]*Table_Input_Pesticides[[#This Row],[Active ingredient 3 amount]]*IF(Table_Input_Pesticides[[#This Row],[Constituent unit (select)]]="fraction of product", 1, 10^-3)</f>
        <v>100</v>
      </c>
    </row>
    <row r="12" spans="1:19" x14ac:dyDescent="0.25">
      <c r="A12" s="5" t="str">
        <f>HYPERLINK("#'Input - Dairy'!A1", "Dairy")</f>
        <v>Dairy</v>
      </c>
      <c r="D12" s="266" t="s">
        <v>1247</v>
      </c>
      <c r="E12" s="267">
        <v>10</v>
      </c>
      <c r="F12" s="13" t="s">
        <v>741</v>
      </c>
      <c r="G12" s="75">
        <v>100</v>
      </c>
      <c r="H12" s="15">
        <f>Table_Input_Pesticides[[#This Row],[Amount applied per ha]]*Table_Input_Pesticides[[#This Row],[Application area (ha)]]</f>
        <v>1000</v>
      </c>
      <c r="I12" s="13" t="s">
        <v>1240</v>
      </c>
      <c r="J12" s="13" t="s">
        <v>1241</v>
      </c>
      <c r="K12" s="75">
        <v>100</v>
      </c>
      <c r="L12" s="15">
        <f>Table_Input_Pesticides[[#This Row],[Total applied]]*Table_Input_Pesticides[[#This Row],[Active ingredient 1 amount]]*IF(Table_Input_Pesticides[[#This Row],[Constituent unit (select)]]="fraction of product", 1, 10^-3)</f>
        <v>100</v>
      </c>
      <c r="M12" s="13" t="s">
        <v>1248</v>
      </c>
      <c r="N12" s="75">
        <v>100</v>
      </c>
      <c r="O12" s="15">
        <f>Table_Input_Pesticides[[#This Row],[Total applied]]*Table_Input_Pesticides[[#This Row],[Active ingredient 2 amount]]*IF(Table_Input_Pesticides[[#This Row],[Constituent unit (select)]]="fraction of product", 1, 10^-3)</f>
        <v>100</v>
      </c>
      <c r="P12" s="13" t="s">
        <v>1249</v>
      </c>
      <c r="Q12" s="75">
        <v>100</v>
      </c>
      <c r="R12" s="15">
        <f>Table_Input_Pesticides[[#This Row],[Total applied]]*Table_Input_Pesticides[[#This Row],[Active ingredient 3 amount]]*IF(Table_Input_Pesticides[[#This Row],[Constituent unit (select)]]="fraction of product", 1, 10^-3)</f>
        <v>100</v>
      </c>
    </row>
    <row r="13" spans="1:19" x14ac:dyDescent="0.25">
      <c r="A13" s="5" t="str">
        <f>HYPERLINK("#'Input - Livestock sales'!A1", "Livestock sales")</f>
        <v>Livestock sales</v>
      </c>
      <c r="D13" s="266"/>
      <c r="E13" s="267"/>
      <c r="F13" s="13"/>
      <c r="G13" s="75"/>
      <c r="H13" s="15">
        <f>Table_Input_Pesticides[[#This Row],[Amount applied per ha]]*Table_Input_Pesticides[[#This Row],[Application area (ha)]]</f>
        <v>0</v>
      </c>
      <c r="I13" s="13"/>
      <c r="J13" s="13"/>
      <c r="K13" s="75"/>
      <c r="L13" s="15">
        <f>Table_Input_Pesticides[[#This Row],[Total applied]]*Table_Input_Pesticides[[#This Row],[Active ingredient 1 amount]]*IF(Table_Input_Pesticides[[#This Row],[Constituent unit (select)]]="fraction of product", 1, 10^-3)</f>
        <v>0</v>
      </c>
      <c r="M13" s="13"/>
      <c r="N13" s="75"/>
      <c r="O13" s="15">
        <f>Table_Input_Pesticides[[#This Row],[Total applied]]*Table_Input_Pesticides[[#This Row],[Active ingredient 2 amount]]*IF(Table_Input_Pesticides[[#This Row],[Constituent unit (select)]]="fraction of product", 1, 10^-3)</f>
        <v>0</v>
      </c>
      <c r="P13" s="13"/>
      <c r="Q13" s="75"/>
      <c r="R13" s="15">
        <f>Table_Input_Pesticides[[#This Row],[Total applied]]*Table_Input_Pesticides[[#This Row],[Active ingredient 3 amount]]*IF(Table_Input_Pesticides[[#This Row],[Constituent unit (select)]]="fraction of product", 1, 10^-3)</f>
        <v>0</v>
      </c>
    </row>
    <row r="14" spans="1:19" x14ac:dyDescent="0.25">
      <c r="A14" s="5" t="str">
        <f>HYPERLINK("#'Input - Dairy cattle purchases'!A1", "Dairy cattle purchases")</f>
        <v>Dairy cattle purchases</v>
      </c>
      <c r="D14" s="266"/>
      <c r="E14" s="267"/>
      <c r="F14" s="13"/>
      <c r="G14" s="75"/>
      <c r="H14" s="15">
        <f>Table_Input_Pesticides[[#This Row],[Amount applied per ha]]*Table_Input_Pesticides[[#This Row],[Application area (ha)]]</f>
        <v>0</v>
      </c>
      <c r="I14" s="13"/>
      <c r="J14" s="13"/>
      <c r="K14" s="75"/>
      <c r="L14" s="15">
        <f>Table_Input_Pesticides[[#This Row],[Total applied]]*Table_Input_Pesticides[[#This Row],[Active ingredient 1 amount]]*IF(Table_Input_Pesticides[[#This Row],[Constituent unit (select)]]="fraction of product", 1, 10^-3)</f>
        <v>0</v>
      </c>
      <c r="M14" s="13"/>
      <c r="N14" s="75"/>
      <c r="O14" s="15">
        <f>Table_Input_Pesticides[[#This Row],[Total applied]]*Table_Input_Pesticides[[#This Row],[Active ingredient 2 amount]]*IF(Table_Input_Pesticides[[#This Row],[Constituent unit (select)]]="fraction of product", 1, 10^-3)</f>
        <v>0</v>
      </c>
      <c r="P14" s="13"/>
      <c r="Q14" s="75"/>
      <c r="R14" s="15">
        <f>Table_Input_Pesticides[[#This Row],[Total applied]]*Table_Input_Pesticides[[#This Row],[Active ingredient 3 amount]]*IF(Table_Input_Pesticides[[#This Row],[Constituent unit (select)]]="fraction of product", 1, 10^-3)</f>
        <v>0</v>
      </c>
    </row>
    <row r="15" spans="1:19" x14ac:dyDescent="0.25">
      <c r="A15" s="5" t="str">
        <f>HYPERLINK("#'Input - Pasture'!A1", "Pasture")</f>
        <v>Pasture</v>
      </c>
      <c r="D15" s="266"/>
      <c r="E15" s="267"/>
      <c r="F15" s="13"/>
      <c r="G15" s="75"/>
      <c r="H15" s="15">
        <f>Table_Input_Pesticides[[#This Row],[Amount applied per ha]]*Table_Input_Pesticides[[#This Row],[Application area (ha)]]</f>
        <v>0</v>
      </c>
      <c r="I15" s="13"/>
      <c r="J15" s="13"/>
      <c r="K15" s="75"/>
      <c r="L15" s="15">
        <f>Table_Input_Pesticides[[#This Row],[Total applied]]*Table_Input_Pesticides[[#This Row],[Active ingredient 1 amount]]*IF(Table_Input_Pesticides[[#This Row],[Constituent unit (select)]]="fraction of product", 1, 10^-3)</f>
        <v>0</v>
      </c>
      <c r="M15" s="13"/>
      <c r="N15" s="75"/>
      <c r="O15" s="15">
        <f>Table_Input_Pesticides[[#This Row],[Total applied]]*Table_Input_Pesticides[[#This Row],[Active ingredient 2 amount]]*IF(Table_Input_Pesticides[[#This Row],[Constituent unit (select)]]="fraction of product", 1, 10^-3)</f>
        <v>0</v>
      </c>
      <c r="P15" s="13"/>
      <c r="Q15" s="75"/>
      <c r="R15" s="15">
        <f>Table_Input_Pesticides[[#This Row],[Total applied]]*Table_Input_Pesticides[[#This Row],[Active ingredient 3 amount]]*IF(Table_Input_Pesticides[[#This Row],[Constituent unit (select)]]="fraction of product", 1, 10^-3)</f>
        <v>0</v>
      </c>
    </row>
    <row r="16" spans="1:19" x14ac:dyDescent="0.25">
      <c r="A16" s="5" t="str">
        <f>HYPERLINK("#'Input - Fert Prod System'!A1", "Fert Prod System")</f>
        <v>Fert Prod System</v>
      </c>
      <c r="D16" s="266"/>
      <c r="E16" s="267"/>
      <c r="F16" s="13"/>
      <c r="G16" s="75"/>
      <c r="H16" s="15">
        <f>Table_Input_Pesticides[[#This Row],[Amount applied per ha]]*Table_Input_Pesticides[[#This Row],[Application area (ha)]]</f>
        <v>0</v>
      </c>
      <c r="I16" s="13"/>
      <c r="J16" s="13"/>
      <c r="K16" s="75"/>
      <c r="L16" s="15">
        <f>Table_Input_Pesticides[[#This Row],[Total applied]]*Table_Input_Pesticides[[#This Row],[Active ingredient 1 amount]]*IF(Table_Input_Pesticides[[#This Row],[Constituent unit (select)]]="fraction of product", 1, 10^-3)</f>
        <v>0</v>
      </c>
      <c r="M16" s="13"/>
      <c r="N16" s="75"/>
      <c r="O16" s="15">
        <f>Table_Input_Pesticides[[#This Row],[Total applied]]*Table_Input_Pesticides[[#This Row],[Active ingredient 2 amount]]*IF(Table_Input_Pesticides[[#This Row],[Constituent unit (select)]]="fraction of product", 1, 10^-3)</f>
        <v>0</v>
      </c>
      <c r="P16" s="13"/>
      <c r="Q16" s="75"/>
      <c r="R16" s="15">
        <f>Table_Input_Pesticides[[#This Row],[Total applied]]*Table_Input_Pesticides[[#This Row],[Active ingredient 3 amount]]*IF(Table_Input_Pesticides[[#This Row],[Constituent unit (select)]]="fraction of product", 1, 10^-3)</f>
        <v>0</v>
      </c>
    </row>
    <row r="17" spans="1:18" x14ac:dyDescent="0.25">
      <c r="A17" s="5" t="str">
        <f>HYPERLINK("#'Input - Fertiliser'!A1", "Fertiliser")</f>
        <v>Fertiliser</v>
      </c>
      <c r="D17" s="266"/>
      <c r="E17" s="267"/>
      <c r="F17" s="13"/>
      <c r="G17" s="75"/>
      <c r="H17" s="15">
        <f>Table_Input_Pesticides[[#This Row],[Amount applied per ha]]*Table_Input_Pesticides[[#This Row],[Application area (ha)]]</f>
        <v>0</v>
      </c>
      <c r="I17" s="13"/>
      <c r="J17" s="13"/>
      <c r="K17" s="75"/>
      <c r="L17" s="15">
        <f>Table_Input_Pesticides[[#This Row],[Total applied]]*Table_Input_Pesticides[[#This Row],[Active ingredient 1 amount]]*IF(Table_Input_Pesticides[[#This Row],[Constituent unit (select)]]="fraction of product", 1, 10^-3)</f>
        <v>0</v>
      </c>
      <c r="M17" s="13"/>
      <c r="N17" s="75"/>
      <c r="O17" s="15">
        <f>Table_Input_Pesticides[[#This Row],[Total applied]]*Table_Input_Pesticides[[#This Row],[Active ingredient 2 amount]]*IF(Table_Input_Pesticides[[#This Row],[Constituent unit (select)]]="fraction of product", 1, 10^-3)</f>
        <v>0</v>
      </c>
      <c r="P17" s="13"/>
      <c r="Q17" s="75"/>
      <c r="R17" s="15">
        <f>Table_Input_Pesticides[[#This Row],[Total applied]]*Table_Input_Pesticides[[#This Row],[Active ingredient 3 amount]]*IF(Table_Input_Pesticides[[#This Row],[Constituent unit (select)]]="fraction of product", 1, 10^-3)</f>
        <v>0</v>
      </c>
    </row>
    <row r="18" spans="1:18" x14ac:dyDescent="0.25">
      <c r="A18" s="5" t="str">
        <f>HYPERLINK("#'Input - Fuel'!A1", "Fuel")</f>
        <v>Fuel</v>
      </c>
      <c r="D18" s="266"/>
      <c r="E18" s="267"/>
      <c r="F18" s="13"/>
      <c r="G18" s="75"/>
      <c r="H18" s="15">
        <f>Table_Input_Pesticides[[#This Row],[Amount applied per ha]]*Table_Input_Pesticides[[#This Row],[Application area (ha)]]</f>
        <v>0</v>
      </c>
      <c r="I18" s="13"/>
      <c r="J18" s="13"/>
      <c r="K18" s="75"/>
      <c r="L18" s="15">
        <f>Table_Input_Pesticides[[#This Row],[Total applied]]*Table_Input_Pesticides[[#This Row],[Active ingredient 1 amount]]*IF(Table_Input_Pesticides[[#This Row],[Constituent unit (select)]]="fraction of product", 1, 10^-3)</f>
        <v>0</v>
      </c>
      <c r="M18" s="13"/>
      <c r="N18" s="75"/>
      <c r="O18" s="15">
        <f>Table_Input_Pesticides[[#This Row],[Total applied]]*Table_Input_Pesticides[[#This Row],[Active ingredient 2 amount]]*IF(Table_Input_Pesticides[[#This Row],[Constituent unit (select)]]="fraction of product", 1, 10^-3)</f>
        <v>0</v>
      </c>
      <c r="P18" s="13"/>
      <c r="Q18" s="75"/>
      <c r="R18" s="15">
        <f>Table_Input_Pesticides[[#This Row],[Total applied]]*Table_Input_Pesticides[[#This Row],[Active ingredient 3 amount]]*IF(Table_Input_Pesticides[[#This Row],[Constituent unit (select)]]="fraction of product", 1, 10^-3)</f>
        <v>0</v>
      </c>
    </row>
    <row r="19" spans="1:18" x14ac:dyDescent="0.25">
      <c r="A19" s="5" t="str">
        <f>HYPERLINK("#'Input - Electricity'!A1", "Electricity")</f>
        <v>Electricity</v>
      </c>
      <c r="D19" s="266"/>
      <c r="E19" s="267"/>
      <c r="F19" s="13"/>
      <c r="G19" s="75"/>
      <c r="H19" s="15">
        <f>Table_Input_Pesticides[[#This Row],[Amount applied per ha]]*Table_Input_Pesticides[[#This Row],[Application area (ha)]]</f>
        <v>0</v>
      </c>
      <c r="I19" s="13"/>
      <c r="J19" s="13"/>
      <c r="K19" s="75"/>
      <c r="L19" s="15">
        <f>Table_Input_Pesticides[[#This Row],[Total applied]]*Table_Input_Pesticides[[#This Row],[Active ingredient 1 amount]]*IF(Table_Input_Pesticides[[#This Row],[Constituent unit (select)]]="fraction of product", 1, 10^-3)</f>
        <v>0</v>
      </c>
      <c r="M19" s="13"/>
      <c r="N19" s="75"/>
      <c r="O19" s="15">
        <f>Table_Input_Pesticides[[#This Row],[Total applied]]*Table_Input_Pesticides[[#This Row],[Active ingredient 2 amount]]*IF(Table_Input_Pesticides[[#This Row],[Constituent unit (select)]]="fraction of product", 1, 10^-3)</f>
        <v>0</v>
      </c>
      <c r="P19" s="13"/>
      <c r="Q19" s="75"/>
      <c r="R19" s="15">
        <f>Table_Input_Pesticides[[#This Row],[Total applied]]*Table_Input_Pesticides[[#This Row],[Active ingredient 3 amount]]*IF(Table_Input_Pesticides[[#This Row],[Constituent unit (select)]]="fraction of product", 1, 10^-3)</f>
        <v>0</v>
      </c>
    </row>
    <row r="20" spans="1:18" x14ac:dyDescent="0.25">
      <c r="A20" s="5" t="str">
        <f>HYPERLINK("#'Input - Common farm inputs'!A1", "Common farm inputs")</f>
        <v>Common farm inputs</v>
      </c>
    </row>
    <row r="21" spans="1:18" x14ac:dyDescent="0.25">
      <c r="A21" s="99" t="str">
        <f>HYPERLINK("#'Input - Crop pasture farm input'!A1", "Crop pasture farm input")</f>
        <v>Crop pasture farm input</v>
      </c>
    </row>
    <row r="22" spans="1:18" ht="23.25" x14ac:dyDescent="0.25">
      <c r="A22" s="5" t="str">
        <f>HYPERLINK("#'Input - Livestock farm Inputs'!A1", "Livestock farm Inputs")</f>
        <v>Livestock farm Inputs</v>
      </c>
      <c r="D22" s="2" t="s">
        <v>1250</v>
      </c>
      <c r="E22" s="246"/>
      <c r="F22" s="246"/>
    </row>
    <row r="23" spans="1:18" x14ac:dyDescent="0.25">
      <c r="A23" s="5" t="str">
        <f>HYPERLINK("#'Input - Freight'!A1", "Freight")</f>
        <v>Freight</v>
      </c>
      <c r="D23" s="1" t="str">
        <f>'Constants - Scope 3'!E204</f>
        <v>Barley grain (for seed)</v>
      </c>
      <c r="E23" s="75">
        <v>500</v>
      </c>
      <c r="F23" s="16" t="s">
        <v>743</v>
      </c>
    </row>
    <row r="24" spans="1:18" x14ac:dyDescent="0.25">
      <c r="A24" s="5" t="str">
        <f>HYPERLINK("#'Input - Solid waste'!A1", "Solid waste")</f>
        <v>Solid waste</v>
      </c>
      <c r="D24" s="1" t="str">
        <f>'Constants - Scope 3'!E205</f>
        <v>Maize grain (for seed)</v>
      </c>
      <c r="E24" s="75">
        <v>600</v>
      </c>
      <c r="F24" s="16" t="s">
        <v>743</v>
      </c>
    </row>
    <row r="25" spans="1:18" x14ac:dyDescent="0.25">
      <c r="A25" s="5" t="str">
        <f>HYPERLINK("#'Input - Manure sent off-site'!A1", "Manure sent off-site")</f>
        <v>Manure sent off-site</v>
      </c>
      <c r="D25" s="1" t="str">
        <f>'Constants - Scope 3'!E207</f>
        <v>Oat grain (for seed)</v>
      </c>
      <c r="E25" s="75">
        <v>700</v>
      </c>
      <c r="F25" s="16" t="s">
        <v>743</v>
      </c>
    </row>
    <row r="26" spans="1:18" x14ac:dyDescent="0.25">
      <c r="A26" s="5" t="str">
        <f>HYPERLINK("#'Input - Refrigerants'!A1", "Refrigerants")</f>
        <v>Refrigerants</v>
      </c>
      <c r="D26" s="1" t="str">
        <f>'Constants - Scope 3'!E208</f>
        <v>Sorghum grain (for seed)</v>
      </c>
      <c r="E26" s="75">
        <v>800</v>
      </c>
      <c r="F26" s="16" t="s">
        <v>743</v>
      </c>
    </row>
    <row r="27" spans="1:18" x14ac:dyDescent="0.25">
      <c r="A27" s="5" t="str">
        <f>HYPERLINK("#'Input - Data quality'!A1", "Data quality")</f>
        <v>Data quality</v>
      </c>
      <c r="D27" s="1" t="str">
        <f>'Constants - Scope 3'!E209</f>
        <v>Wheat grain (for seed)</v>
      </c>
      <c r="E27" s="75">
        <v>900</v>
      </c>
      <c r="F27" s="16" t="s">
        <v>743</v>
      </c>
    </row>
    <row r="28" spans="1:18" x14ac:dyDescent="0.25">
      <c r="A28"/>
    </row>
    <row r="29" spans="1:18" x14ac:dyDescent="0.25">
      <c r="A29"/>
    </row>
    <row r="30" spans="1:18" x14ac:dyDescent="0.25">
      <c r="A30" s="6" t="s">
        <v>2</v>
      </c>
    </row>
    <row r="31" spans="1:18" x14ac:dyDescent="0.25">
      <c r="A31" s="5" t="str">
        <f>HYPERLINK("#'3.3.1.1-2 Enteric Methane'!A1", "3.3.1.1-2 Enteric methane")</f>
        <v>3.3.1.1-2 Enteric methane</v>
      </c>
    </row>
    <row r="32" spans="1:18" x14ac:dyDescent="0.25">
      <c r="A32" s="5" t="str">
        <f>HYPERLINK("#'4.3.1.1-2 Methane'!A1", "4.3.1.1-2 Manure methane")</f>
        <v>4.3.1.1-2 Manure methane</v>
      </c>
    </row>
    <row r="33" spans="1:1" x14ac:dyDescent="0.25">
      <c r="A33" s="5" t="str">
        <f>HYPERLINK("#'4.3.1.3-4 Direct N20'!A1", "4.3.1.3-4 Direct N20")</f>
        <v>4.3.1.3-4 Direct N20</v>
      </c>
    </row>
    <row r="34" spans="1:1" x14ac:dyDescent="0.25">
      <c r="A34" s="5" t="str">
        <f>HYPERLINK("#'4.3.1.5 Atmos deposition'!A1", "4.3.1.5 Atmos deposition")</f>
        <v>4.3.1.5 Atmos deposition</v>
      </c>
    </row>
    <row r="35" spans="1:1" x14ac:dyDescent="0.25">
      <c r="A35" s="5" t="str">
        <f>HYPERLINK("#'4.3.1.6-7 Leaching and runoff'!A1", "4.3.1.6-7 Leaching &amp; runoff")</f>
        <v>4.3.1.6-7 Leaching &amp; runoff</v>
      </c>
    </row>
    <row r="36" spans="1:1" x14ac:dyDescent="0.25">
      <c r="A36" s="5" t="str">
        <f>HYPERLINK("#'4.3.1.8 Manure applied to soils'!A1", "4.3.1.8 Manure applied to soils")</f>
        <v>4.3.1.8 Manure applied to soils</v>
      </c>
    </row>
    <row r="37" spans="1:1" x14ac:dyDescent="0.25">
      <c r="A37" s="5" t="str">
        <f>HYPERLINK("#'4.3.1.9 Soil direct N2O'!A1", "4.3.1.9 Soil direct N2O")</f>
        <v>4.3.1.9 Soil direct N2O</v>
      </c>
    </row>
    <row r="38" spans="1:1" x14ac:dyDescent="0.25">
      <c r="A38" s="5" t="str">
        <f>HYPERLINK("#'4.3.1.10-11 Soil Atmos Dep'!A1", "4.3.1.10-11 Soil Atmos Deposition")</f>
        <v>4.3.1.10-11 Soil Atmos Deposition</v>
      </c>
    </row>
    <row r="39" spans="1:1" x14ac:dyDescent="0.25">
      <c r="A39" s="5" t="str">
        <f>HYPERLINK("#'4.3.1.12-13 Soil leach runoff'!A1", "4.3.1.12-13 Soil leach &amp; runoff")</f>
        <v>4.3.1.12-13 Soil leach &amp; runoff</v>
      </c>
    </row>
    <row r="40" spans="1:1" x14ac:dyDescent="0.25">
      <c r="A40" s="5" t="str">
        <f>HYPERLINK("#'5.1.1.1-2 Inorganic fert N2O'!A1", "5.1.1.1-2 Inorganic fert N2O")</f>
        <v>5.1.1.1-2 Inorganic fert N2O</v>
      </c>
    </row>
    <row r="41" spans="1:1" x14ac:dyDescent="0.25">
      <c r="A41" s="5" t="str">
        <f>HYPERLINK("#'5.1.1.3-4 Inorganic fert CO2'!A1", "5.1.1.3-4 Inorganic fert CO2")</f>
        <v>5.1.1.3-4 Inorganic fert CO2</v>
      </c>
    </row>
    <row r="42" spans="1:1" x14ac:dyDescent="0.25">
      <c r="A42" s="5" t="str">
        <f>HYPERLINK("#'5.2.1.1-2 Organic Fert N2O'!A1", "5.2.1.1-2 Organic fert N2O")</f>
        <v>5.2.1.1-2 Organic fert N2O</v>
      </c>
    </row>
    <row r="43" spans="1:1" x14ac:dyDescent="0.25">
      <c r="A43" s="5" t="str">
        <f>HYPERLINK("#'5.3.1.1-2 Lime CO2'!A1", "5.3.1.1-2 Lime CO2")</f>
        <v>5.3.1.1-2 Lime CO2</v>
      </c>
    </row>
    <row r="44" spans="1:1" x14ac:dyDescent="0.25">
      <c r="A44" s="5" t="str">
        <f>HYPERLINK("#'5.4.1.1-4 Atmos deposition'!A1", "5.4.1.1-4 Atmos. deposition")</f>
        <v>5.4.1.1-4 Atmos. deposition</v>
      </c>
    </row>
    <row r="45" spans="1:1" x14ac:dyDescent="0.25">
      <c r="A45" s="5" t="str">
        <f>HYPERLINK("#'5.5.1.1-2 Leaching and runoff'!A1", "5.5.1.1-2 Leaching &amp; runoff")</f>
        <v>5.5.1.1-2 Leaching &amp; runoff</v>
      </c>
    </row>
    <row r="46" spans="1:1" x14ac:dyDescent="0.25">
      <c r="A46" s="5" t="str">
        <f>HYPERLINK("#'6.2.1.1-2 Pasture residue N2O'!A1", "6.2.1.1-2 Pasture residue N2O")</f>
        <v>6.2.1.1-2 Pasture residue N2O</v>
      </c>
    </row>
    <row r="47" spans="1:1" x14ac:dyDescent="0.25">
      <c r="A47" s="5" t="str">
        <f>HYPERLINK("#'6.3.1.1-2 Leach runoff pasture'!A1", "6.3.1.1-2 Leach &amp; runoff (pasture)")</f>
        <v>6.3.1.1-2 Leach &amp; runoff (pasture)</v>
      </c>
    </row>
    <row r="48" spans="1:1" x14ac:dyDescent="0.25">
      <c r="A48" s="5" t="str">
        <f>HYPERLINK("#'8.1.1.1-2 Transport fuel'!A1", "8.1.1.1-2 Transport fuel")</f>
        <v>8.1.1.1-2 Transport fuel</v>
      </c>
    </row>
    <row r="49" spans="1:1" x14ac:dyDescent="0.25">
      <c r="A49" s="5" t="str">
        <f>HYPERLINK("#'8.2.1.1-2 Stationary fuel'!A1", "8.2.1.1-2 Stationary fuel")</f>
        <v>8.2.1.1-2 Stationary fuel</v>
      </c>
    </row>
    <row r="50" spans="1:1" x14ac:dyDescent="0.25">
      <c r="A50" s="5" t="str">
        <f>HYPERLINK("#'9.1.1.1-2 Refrigerant use'!A1", "9.1.1.1-2 Refrigerant use")</f>
        <v>9.1.1.1-2 Refrigerant use</v>
      </c>
    </row>
    <row r="51" spans="1:1" x14ac:dyDescent="0.25">
      <c r="A51" s="5" t="str">
        <f>HYPERLINK("#'10.1.1-2 Solid waste treatment'!A1", "10.1.1.1-2 Solid waste")</f>
        <v>10.1.1.1-2 Solid waste</v>
      </c>
    </row>
    <row r="52" spans="1:1" x14ac:dyDescent="0.25">
      <c r="A52" s="5" t="str">
        <f>HYPERLINK("#'14.1.1-2 Purchased electricity'!A1", "14.1.1-2 Purchased electricity")</f>
        <v>14.1.1-2 Purchased electricity</v>
      </c>
    </row>
    <row r="53" spans="1:1" x14ac:dyDescent="0.25">
      <c r="A53" s="5" t="str">
        <f>HYPERLINK("#'15 Scope 3'!A1", "15 Scope 3")</f>
        <v>15 Scope 3</v>
      </c>
    </row>
    <row r="54" spans="1:1" x14ac:dyDescent="0.25">
      <c r="A54" s="5" t="str">
        <f>HYPERLINK("#'Calcs - Manure sent off-site'!A1", "Calcs - Manure sent off-site")</f>
        <v>Calcs - Manure sent off-site</v>
      </c>
    </row>
    <row r="55" spans="1:1" x14ac:dyDescent="0.25">
      <c r="A55"/>
    </row>
    <row r="56" spans="1:1" x14ac:dyDescent="0.25">
      <c r="A56"/>
    </row>
    <row r="57" spans="1:1" x14ac:dyDescent="0.25">
      <c r="A57" s="82" t="s">
        <v>1</v>
      </c>
    </row>
    <row r="58" spans="1:1" x14ac:dyDescent="0.25">
      <c r="A58" s="5" t="str">
        <f>HYPERLINK("#'Constants - Dairy'!A1", "Constants - Dairy")</f>
        <v>Constants - Dairy</v>
      </c>
    </row>
    <row r="59" spans="1:1" x14ac:dyDescent="0.25">
      <c r="A59" s="5" t="str">
        <f>HYPERLINK("#'Constants - Ag Residue'!A1", "Constants - Ag residue")</f>
        <v>Constants - Ag residue</v>
      </c>
    </row>
    <row r="60" spans="1:1" x14ac:dyDescent="0.25">
      <c r="A60" s="5" t="str">
        <f>HYPERLINK("#'Constants - Common Livestock'!A1", "Constants - Common Livestock")</f>
        <v>Constants - Common Livestock</v>
      </c>
    </row>
    <row r="61" spans="1:1" x14ac:dyDescent="0.25">
      <c r="A61" s="5" t="str">
        <f>HYPERLINK("#'Constants - Electricity'!A1", "Constants - Electricity")</f>
        <v>Constants - Electricity</v>
      </c>
    </row>
    <row r="62" spans="1:1" x14ac:dyDescent="0.25">
      <c r="A62" s="5" t="str">
        <f>HYPERLINK("#'Constants - Fertiliser'!A1", "Constants - Fertiliser")</f>
        <v>Constants - Fertiliser</v>
      </c>
    </row>
    <row r="63" spans="1:1" x14ac:dyDescent="0.25">
      <c r="A63" s="5" t="str">
        <f>HYPERLINK("#'Constants - Fuel'!A1", "Constants - Fuel")</f>
        <v>Constants - Fuel</v>
      </c>
    </row>
    <row r="64" spans="1:1" x14ac:dyDescent="0.25">
      <c r="A64" s="5" t="str">
        <f>HYPERLINK("#'Constants - Scope 3'!A1", "Constants - Scope 3")</f>
        <v>Constants - Scope 3</v>
      </c>
    </row>
    <row r="65" spans="1:1" x14ac:dyDescent="0.25">
      <c r="A65" s="5" t="str">
        <f>HYPERLINK("#'Constants - Common'!A1", "Constants - Common")</f>
        <v>Constants - Common</v>
      </c>
    </row>
    <row r="66" spans="1:1" x14ac:dyDescent="0.25">
      <c r="A66" s="5" t="str">
        <f>HYPERLINK("#'Constants - Refrigerants'!A1", "Constants - Refrigerants")</f>
        <v>Constants - Refrigerants</v>
      </c>
    </row>
    <row r="67" spans="1:1" x14ac:dyDescent="0.25">
      <c r="A67" s="5" t="str">
        <f>HYPERLINK("#'Constants - Solid Waste'!A1", "Constants - Solid Waste")</f>
        <v>Constants - Solid Waste</v>
      </c>
    </row>
    <row r="68" spans="1:1" x14ac:dyDescent="0.25">
      <c r="A68" s="5" t="str">
        <f>HYPERLINK("#'Acknowledgements'!A1", "Acknowledgements")</f>
        <v>Acknowledgements</v>
      </c>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J10:J19 M10:M19 P10:P19" xr:uid="{7867AB38-76D6-41DC-B68B-1812C6F70417}">
      <formula1>INDIRECT("Table_SourceData_Scope3_Pesticides[Product]")</formula1>
    </dataValidation>
    <dataValidation type="list" allowBlank="1" showInputMessage="1" showErrorMessage="1" sqref="I10:I19" xr:uid="{9F736DBE-2103-4C9A-B73A-C15F48C100BF}">
      <formula1>"grams/litre or grams/kg, fraction of product"</formula1>
    </dataValidation>
    <dataValidation type="list" allowBlank="1" showInputMessage="1" showErrorMessage="1" sqref="F10:F19" xr:uid="{10C729B7-7F13-4014-AA00-29CA15D1613E}">
      <formula1>"kg / hectare, litre / hectare"</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AB724-CC5D-49B5-A9CF-0500BE578DA7}">
  <sheetPr>
    <tabColor theme="5" tint="-0.249977111117893"/>
  </sheetPr>
  <dimension ref="A1:R160"/>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style="259" customWidth="1"/>
    <col min="2" max="2" width="5.28515625" style="259" customWidth="1"/>
    <col min="3" max="3" width="5.28515625" style="1" customWidth="1"/>
    <col min="4" max="17" width="35" style="1" customWidth="1"/>
    <col min="18" max="18" width="5.28515625" style="1" customWidth="1"/>
    <col min="19" max="16384" width="9.140625" style="259"/>
  </cols>
  <sheetData>
    <row r="1" spans="1:18" s="10" customFormat="1" ht="25.5" x14ac:dyDescent="0.35">
      <c r="C1" s="10" t="s">
        <v>1251</v>
      </c>
    </row>
    <row r="2" spans="1:18" s="3" customFormat="1" ht="20.100000000000001" customHeight="1" x14ac:dyDescent="0.25">
      <c r="A2"/>
    </row>
    <row r="3" spans="1:18" ht="20.100000000000001" customHeight="1" x14ac:dyDescent="0.25">
      <c r="A3" s="5" t="str">
        <f>HYPERLINK("#'Home'!A1", "Home")</f>
        <v>Home</v>
      </c>
      <c r="C3" s="28"/>
      <c r="D3" s="28"/>
      <c r="E3" s="28"/>
      <c r="F3" s="28"/>
      <c r="G3" s="28"/>
      <c r="H3" s="28"/>
      <c r="I3" s="28"/>
      <c r="J3" s="28"/>
      <c r="K3" s="28"/>
      <c r="L3" s="28"/>
      <c r="M3" s="28"/>
      <c r="N3" s="28"/>
      <c r="O3" s="28"/>
      <c r="P3" s="28"/>
      <c r="Q3" s="28"/>
      <c r="R3" s="28"/>
    </row>
    <row r="4" spans="1:18" ht="20.100000000000001" customHeight="1" x14ac:dyDescent="0.25">
      <c r="A4" s="5" t="str">
        <f>HYPERLINK("#'Results - Activity period'!A1", "Results - Activity period")</f>
        <v>Results - Activity period</v>
      </c>
    </row>
    <row r="5" spans="1:18" ht="20.100000000000001" customHeight="1" x14ac:dyDescent="0.25">
      <c r="A5" s="5" t="str">
        <f>HYPERLINK("#'Results - Product EI'!A1", "Results - Product Emissions Intensity")</f>
        <v>Results - Product Emissions Intensity</v>
      </c>
      <c r="D5" s="2" t="s">
        <v>1252</v>
      </c>
      <c r="E5" s="246"/>
      <c r="F5" s="246"/>
      <c r="G5" s="246"/>
      <c r="H5" s="246"/>
      <c r="I5" s="246"/>
      <c r="J5" s="246"/>
    </row>
    <row r="6" spans="1:18" ht="20.100000000000001" customHeight="1" x14ac:dyDescent="0.25">
      <c r="A6" s="5" t="str">
        <f>HYPERLINK("#'Results'!A1", "Results")</f>
        <v>Results</v>
      </c>
      <c r="D6" s="263" t="s">
        <v>1253</v>
      </c>
      <c r="E6" s="268"/>
      <c r="F6" s="269"/>
      <c r="G6" s="246"/>
      <c r="H6" s="246"/>
      <c r="I6" s="246"/>
      <c r="J6" s="246"/>
    </row>
    <row r="7" spans="1:18" ht="20.100000000000001" customHeight="1" x14ac:dyDescent="0.25">
      <c r="A7"/>
      <c r="D7" s="1" t="str" cm="1">
        <f t="array" ref="D7:D9">Table_SourceData_Scope3_LickBlocks[Product]</f>
        <v>Lick block, dry season mix</v>
      </c>
      <c r="E7" s="75">
        <v>100</v>
      </c>
      <c r="F7" s="16" t="s">
        <v>743</v>
      </c>
      <c r="G7" s="246"/>
      <c r="H7" s="246"/>
      <c r="I7" s="246"/>
      <c r="J7" s="246"/>
    </row>
    <row r="8" spans="1:18" ht="20.100000000000001" customHeight="1" x14ac:dyDescent="0.25">
      <c r="A8"/>
      <c r="D8" s="1" t="str">
        <v>Lick block, mineral</v>
      </c>
      <c r="E8" s="75">
        <v>100</v>
      </c>
      <c r="F8" s="16" t="s">
        <v>743</v>
      </c>
      <c r="G8" s="246"/>
      <c r="H8" s="246"/>
      <c r="I8" s="246"/>
      <c r="J8" s="246"/>
    </row>
    <row r="9" spans="1:18" ht="20.100000000000001" customHeight="1" x14ac:dyDescent="0.25">
      <c r="A9" s="7" t="s">
        <v>0</v>
      </c>
      <c r="D9" s="1" t="str">
        <v>Lick block, weaner</v>
      </c>
      <c r="E9" s="75">
        <v>100</v>
      </c>
      <c r="F9" s="16" t="s">
        <v>743</v>
      </c>
      <c r="G9" s="246"/>
      <c r="H9" s="246"/>
      <c r="I9" s="246"/>
      <c r="J9" s="246"/>
    </row>
    <row r="10" spans="1:18" ht="20.100000000000001" customHeight="1" x14ac:dyDescent="0.25">
      <c r="A10" s="5" t="str">
        <f>HYPERLINK("#'Input - Enterprise'!A1", "Enterprise")</f>
        <v>Enterprise</v>
      </c>
      <c r="G10" s="246"/>
      <c r="H10" s="246"/>
      <c r="I10" s="246"/>
      <c r="J10" s="246"/>
    </row>
    <row r="11" spans="1:18" ht="20.100000000000001" customHeight="1" x14ac:dyDescent="0.25">
      <c r="A11" s="5" t="str">
        <f>HYPERLINK("#'Input - Site'!A1", "Site")</f>
        <v>Site</v>
      </c>
      <c r="D11" s="263" t="s">
        <v>1254</v>
      </c>
      <c r="E11" s="24"/>
      <c r="F11" s="24"/>
      <c r="G11" s="246"/>
      <c r="H11" s="246"/>
      <c r="I11" s="246"/>
      <c r="J11" s="246"/>
    </row>
    <row r="12" spans="1:18" ht="20.100000000000001" customHeight="1" x14ac:dyDescent="0.25">
      <c r="A12" s="5" t="str">
        <f>HYPERLINK("#'Input - Dairy'!A1", "Dairy")</f>
        <v>Dairy</v>
      </c>
      <c r="D12" s="1" t="str" cm="1">
        <f t="array" ref="D12:D15">Table_SourceData_Scope3_MixedRations[Product]</f>
        <v>Feed for chickens</v>
      </c>
      <c r="E12" s="75">
        <v>100</v>
      </c>
      <c r="F12" s="16" t="s">
        <v>743</v>
      </c>
      <c r="G12" s="246"/>
      <c r="H12" s="246"/>
      <c r="I12" s="246"/>
      <c r="J12" s="246"/>
    </row>
    <row r="13" spans="1:18" ht="20.100000000000001" customHeight="1" x14ac:dyDescent="0.25">
      <c r="A13" s="5" t="str">
        <f>HYPERLINK("#'Input - Livestock sales'!A1", "Livestock sales")</f>
        <v>Livestock sales</v>
      </c>
      <c r="D13" s="1" t="str">
        <v>Feed for dairy calves</v>
      </c>
      <c r="E13" s="75">
        <v>100</v>
      </c>
      <c r="F13" s="16" t="s">
        <v>743</v>
      </c>
      <c r="G13" s="246"/>
      <c r="H13" s="246"/>
      <c r="I13" s="246"/>
      <c r="J13" s="246"/>
    </row>
    <row r="14" spans="1:18" ht="20.100000000000001" customHeight="1" x14ac:dyDescent="0.25">
      <c r="A14" s="5" t="str">
        <f>HYPERLINK("#'Input - Dairy cattle purchases'!A1", "Dairy cattle purchases")</f>
        <v>Dairy cattle purchases</v>
      </c>
      <c r="D14" s="1" t="str">
        <v>Feed for dairy cows</v>
      </c>
      <c r="E14" s="75">
        <v>100</v>
      </c>
      <c r="F14" s="16" t="s">
        <v>743</v>
      </c>
      <c r="G14" s="246"/>
      <c r="H14" s="246"/>
      <c r="I14" s="246"/>
      <c r="J14" s="246"/>
    </row>
    <row r="15" spans="1:18" ht="20.100000000000001" customHeight="1" x14ac:dyDescent="0.25">
      <c r="A15" s="5" t="str">
        <f>HYPERLINK("#'Input - Pasture'!A1", "Pasture")</f>
        <v>Pasture</v>
      </c>
      <c r="D15" s="1" t="str">
        <v>Feed for pigs</v>
      </c>
      <c r="E15" s="75">
        <v>100</v>
      </c>
      <c r="F15" s="16" t="s">
        <v>743</v>
      </c>
      <c r="G15" s="246"/>
      <c r="H15" s="246"/>
      <c r="I15" s="246"/>
      <c r="J15" s="246"/>
    </row>
    <row r="16" spans="1:18" ht="20.100000000000001" customHeight="1" x14ac:dyDescent="0.25">
      <c r="A16" s="5" t="str">
        <f>HYPERLINK("#'Input - Fert Prod System'!A1", "Fert Prod System")</f>
        <v>Fert Prod System</v>
      </c>
      <c r="D16" s="24"/>
      <c r="E16" s="24"/>
      <c r="F16" s="24"/>
      <c r="G16" s="246"/>
      <c r="H16" s="246"/>
      <c r="I16" s="246"/>
      <c r="J16" s="246"/>
    </row>
    <row r="17" spans="1:17" ht="20.100000000000001" customHeight="1" x14ac:dyDescent="0.25">
      <c r="A17" s="5" t="str">
        <f>HYPERLINK("#'Input - Fertiliser'!A1", "Fertiliser")</f>
        <v>Fertiliser</v>
      </c>
      <c r="D17" s="263" t="s">
        <v>1255</v>
      </c>
      <c r="E17" s="24"/>
      <c r="F17" s="24"/>
      <c r="G17" s="246"/>
      <c r="H17" s="246"/>
      <c r="I17" s="246"/>
      <c r="J17" s="246"/>
    </row>
    <row r="18" spans="1:17" ht="20.100000000000001" customHeight="1" x14ac:dyDescent="0.25">
      <c r="A18" s="5" t="str">
        <f>HYPERLINK("#'Input - Fuel'!A1", "Fuel")</f>
        <v>Fuel</v>
      </c>
      <c r="D18" s="81" t="s">
        <v>1256</v>
      </c>
      <c r="E18" s="81" t="s">
        <v>1257</v>
      </c>
      <c r="F18" s="81" t="s">
        <v>703</v>
      </c>
      <c r="G18" s="81" t="s">
        <v>1258</v>
      </c>
      <c r="H18" s="81" t="s">
        <v>681</v>
      </c>
      <c r="I18" s="81" t="s">
        <v>1259</v>
      </c>
      <c r="J18" s="81" t="s">
        <v>1260</v>
      </c>
      <c r="K18" s="81" t="s">
        <v>683</v>
      </c>
      <c r="L18" s="81" t="s">
        <v>1261</v>
      </c>
      <c r="M18" s="81" t="s">
        <v>1262</v>
      </c>
      <c r="N18" s="81" t="s">
        <v>685</v>
      </c>
      <c r="O18" s="81" t="s">
        <v>1263</v>
      </c>
      <c r="P18" s="81" t="s">
        <v>1264</v>
      </c>
      <c r="Q18" s="202" t="s">
        <v>687</v>
      </c>
    </row>
    <row r="19" spans="1:17" ht="20.100000000000001" customHeight="1" x14ac:dyDescent="0.25">
      <c r="A19" s="5" t="str">
        <f>HYPERLINK("#'Input - Electricity'!A1", "Electricity")</f>
        <v>Electricity</v>
      </c>
      <c r="D19" s="33"/>
      <c r="E19" s="270">
        <v>1200</v>
      </c>
      <c r="F19" s="13" t="s">
        <v>1265</v>
      </c>
      <c r="G19" s="13" t="s">
        <v>639</v>
      </c>
      <c r="H19" s="203">
        <v>0.35</v>
      </c>
      <c r="I19" s="13" t="s">
        <v>1266</v>
      </c>
      <c r="J19" s="13" t="s">
        <v>639</v>
      </c>
      <c r="K19" s="203">
        <v>0.22</v>
      </c>
      <c r="L19" s="13" t="s">
        <v>1267</v>
      </c>
      <c r="M19" s="13" t="s">
        <v>1268</v>
      </c>
      <c r="N19" s="203">
        <v>0.12</v>
      </c>
      <c r="O19" s="13" t="s">
        <v>1269</v>
      </c>
      <c r="P19" s="13" t="s">
        <v>638</v>
      </c>
      <c r="Q19" s="203">
        <v>0.05</v>
      </c>
    </row>
    <row r="20" spans="1:17" ht="20.100000000000001" customHeight="1" x14ac:dyDescent="0.25">
      <c r="A20" s="5" t="str">
        <f>HYPERLINK("#'Input - Common farm inputs'!A1", "Common farm inputs")</f>
        <v>Common farm inputs</v>
      </c>
      <c r="D20" s="33"/>
      <c r="E20" s="270">
        <v>3456</v>
      </c>
      <c r="F20" s="13" t="s">
        <v>1270</v>
      </c>
      <c r="G20" s="13" t="s">
        <v>1268</v>
      </c>
      <c r="H20" s="203">
        <v>0.2</v>
      </c>
      <c r="I20" s="13" t="s">
        <v>1270</v>
      </c>
      <c r="J20" s="13" t="s">
        <v>636</v>
      </c>
      <c r="K20" s="203">
        <v>0.2</v>
      </c>
      <c r="L20" s="13"/>
      <c r="M20" s="13"/>
      <c r="N20" s="203"/>
      <c r="O20" s="13"/>
      <c r="P20" s="13"/>
      <c r="Q20" s="203"/>
    </row>
    <row r="21" spans="1:17" ht="20.100000000000001" customHeight="1" x14ac:dyDescent="0.25">
      <c r="A21" s="5" t="str">
        <f>HYPERLINK("#'Input - Crop pasture farm input'!A1", "Crop pasture farm input")</f>
        <v>Crop pasture farm input</v>
      </c>
      <c r="D21" s="33" t="s">
        <v>1271</v>
      </c>
      <c r="E21" s="270">
        <v>300</v>
      </c>
      <c r="F21" s="13" t="s">
        <v>1272</v>
      </c>
      <c r="G21" s="13" t="s">
        <v>639</v>
      </c>
      <c r="H21" s="203">
        <v>0.8</v>
      </c>
      <c r="I21" s="13" t="s">
        <v>1273</v>
      </c>
      <c r="J21" s="13" t="s">
        <v>1274</v>
      </c>
      <c r="K21" s="203">
        <v>0.2</v>
      </c>
      <c r="L21" s="13"/>
      <c r="M21" s="13"/>
      <c r="N21" s="203"/>
      <c r="O21" s="13"/>
      <c r="P21" s="13"/>
      <c r="Q21" s="203"/>
    </row>
    <row r="22" spans="1:17" ht="20.100000000000001" customHeight="1" x14ac:dyDescent="0.25">
      <c r="A22" s="99" t="str">
        <f>HYPERLINK("#'Input - Livestock farm Inputs'!A1", "Livestock farm Inputs")</f>
        <v>Livestock farm Inputs</v>
      </c>
      <c r="D22" s="33"/>
      <c r="E22" s="270">
        <v>500</v>
      </c>
      <c r="F22" s="13" t="s">
        <v>1275</v>
      </c>
      <c r="G22" s="13" t="s">
        <v>641</v>
      </c>
      <c r="H22" s="203">
        <v>1</v>
      </c>
      <c r="I22" s="13"/>
      <c r="J22" s="13"/>
      <c r="K22" s="203"/>
      <c r="L22" s="13"/>
      <c r="M22" s="13"/>
      <c r="N22" s="203"/>
      <c r="O22" s="13"/>
      <c r="P22" s="13"/>
      <c r="Q22" s="203"/>
    </row>
    <row r="23" spans="1:17" ht="20.100000000000001" customHeight="1" x14ac:dyDescent="0.25">
      <c r="A23" s="5" t="str">
        <f>HYPERLINK("#'Input - Freight'!A1", "Freight")</f>
        <v>Freight</v>
      </c>
      <c r="D23" s="33"/>
      <c r="E23" s="270"/>
      <c r="F23" s="13"/>
      <c r="G23" s="13"/>
      <c r="H23" s="203"/>
      <c r="I23" s="13"/>
      <c r="J23" s="13"/>
      <c r="K23" s="203"/>
      <c r="L23" s="13"/>
      <c r="M23" s="13"/>
      <c r="N23" s="203"/>
      <c r="O23" s="13"/>
      <c r="P23" s="13"/>
      <c r="Q23" s="203"/>
    </row>
    <row r="24" spans="1:17" ht="20.100000000000001" customHeight="1" x14ac:dyDescent="0.25">
      <c r="A24" s="5" t="str">
        <f>HYPERLINK("#'Input - Solid waste'!A1", "Solid waste")</f>
        <v>Solid waste</v>
      </c>
      <c r="D24" s="33"/>
      <c r="E24" s="270"/>
      <c r="F24" s="13"/>
      <c r="G24" s="13"/>
      <c r="H24" s="203"/>
      <c r="I24" s="13"/>
      <c r="J24" s="13"/>
      <c r="K24" s="203"/>
      <c r="L24" s="13"/>
      <c r="M24" s="13"/>
      <c r="N24" s="203"/>
      <c r="O24" s="13"/>
      <c r="P24" s="13"/>
      <c r="Q24" s="203"/>
    </row>
    <row r="25" spans="1:17" ht="20.100000000000001" customHeight="1" x14ac:dyDescent="0.25">
      <c r="A25" s="5" t="str">
        <f>HYPERLINK("#'Input - Manure sent off-site'!A1", "Manure sent off-site")</f>
        <v>Manure sent off-site</v>
      </c>
      <c r="D25" s="33"/>
      <c r="E25" s="270"/>
      <c r="F25" s="13"/>
      <c r="G25" s="13"/>
      <c r="H25" s="203"/>
      <c r="I25" s="13"/>
      <c r="J25" s="13"/>
      <c r="K25" s="203"/>
      <c r="L25" s="13"/>
      <c r="M25" s="13"/>
      <c r="N25" s="203"/>
      <c r="O25" s="13"/>
      <c r="P25" s="13"/>
      <c r="Q25" s="203"/>
    </row>
    <row r="26" spans="1:17" ht="20.100000000000001" customHeight="1" x14ac:dyDescent="0.25">
      <c r="A26" s="5" t="str">
        <f>HYPERLINK("#'Input - Refrigerants'!A1", "Refrigerants")</f>
        <v>Refrigerants</v>
      </c>
      <c r="D26" s="33"/>
      <c r="E26" s="270"/>
      <c r="F26" s="13"/>
      <c r="G26" s="13"/>
      <c r="H26" s="203"/>
      <c r="I26" s="13"/>
      <c r="J26" s="13"/>
      <c r="K26" s="203"/>
      <c r="L26" s="13"/>
      <c r="M26" s="13"/>
      <c r="N26" s="203"/>
      <c r="O26" s="13"/>
      <c r="P26" s="13"/>
      <c r="Q26" s="203"/>
    </row>
    <row r="27" spans="1:17" ht="20.100000000000001" customHeight="1" x14ac:dyDescent="0.25">
      <c r="A27" s="5" t="str">
        <f>HYPERLINK("#'Input - Data quality'!A1", "Data quality")</f>
        <v>Data quality</v>
      </c>
      <c r="D27" s="33"/>
      <c r="E27" s="270"/>
      <c r="F27" s="13"/>
      <c r="G27" s="13"/>
      <c r="H27" s="203"/>
      <c r="I27" s="13"/>
      <c r="J27" s="13"/>
      <c r="K27" s="203"/>
      <c r="L27" s="13"/>
      <c r="M27" s="13"/>
      <c r="N27" s="203"/>
      <c r="O27" s="13"/>
      <c r="P27" s="13"/>
      <c r="Q27" s="203"/>
    </row>
    <row r="28" spans="1:17" ht="20.100000000000001" customHeight="1" x14ac:dyDescent="0.25">
      <c r="A28"/>
      <c r="D28" s="33"/>
      <c r="E28" s="270"/>
      <c r="F28" s="13"/>
      <c r="G28" s="13"/>
      <c r="H28" s="203"/>
      <c r="I28" s="13"/>
      <c r="J28" s="13"/>
      <c r="K28" s="203"/>
      <c r="L28" s="13"/>
      <c r="M28" s="13"/>
      <c r="N28" s="203"/>
      <c r="O28" s="13"/>
      <c r="P28" s="13"/>
      <c r="Q28" s="203"/>
    </row>
    <row r="29" spans="1:17" ht="20.100000000000001" customHeight="1" x14ac:dyDescent="0.25">
      <c r="A29"/>
    </row>
    <row r="30" spans="1:17" ht="20.100000000000001" customHeight="1" x14ac:dyDescent="0.25">
      <c r="A30" s="6" t="s">
        <v>2</v>
      </c>
    </row>
    <row r="31" spans="1:17" ht="20.100000000000001" customHeight="1" x14ac:dyDescent="0.25">
      <c r="A31" s="5" t="str">
        <f>HYPERLINK("#'3.3.1.1-2 Enteric Methane'!A1", "3.3.1.1-2 Enteric methane")</f>
        <v>3.3.1.1-2 Enteric methane</v>
      </c>
      <c r="D31" s="263" t="s">
        <v>1276</v>
      </c>
    </row>
    <row r="32" spans="1:17" ht="20.100000000000001" customHeight="1" x14ac:dyDescent="0.25">
      <c r="A32" s="5" t="str">
        <f>HYPERLINK("#'4.3.1.1-2 Methane'!A1", "4.3.1.1-2 Manure methane")</f>
        <v>4.3.1.1-2 Manure methane</v>
      </c>
      <c r="D32" s="81" t="s">
        <v>1200</v>
      </c>
      <c r="E32" s="81" t="s">
        <v>1201</v>
      </c>
      <c r="F32" s="81" t="s">
        <v>1277</v>
      </c>
    </row>
    <row r="33" spans="1:6" ht="20.100000000000001" customHeight="1" x14ac:dyDescent="0.25">
      <c r="A33" s="5" t="str">
        <f>HYPERLINK("#'4.3.1.3-4 Direct N20'!A1", "4.3.1.3-4 Direct N20")</f>
        <v>4.3.1.3-4 Direct N20</v>
      </c>
      <c r="D33" s="33" t="s">
        <v>1278</v>
      </c>
      <c r="E33" s="150" t="s">
        <v>1279</v>
      </c>
      <c r="F33" s="75">
        <v>100</v>
      </c>
    </row>
    <row r="34" spans="1:6" ht="20.100000000000001" customHeight="1" x14ac:dyDescent="0.25">
      <c r="A34" s="5" t="str">
        <f>HYPERLINK("#'4.3.1.5 Atmos deposition'!A1", "4.3.1.5 Atmos deposition")</f>
        <v>4.3.1.5 Atmos deposition</v>
      </c>
      <c r="D34" s="33" t="s">
        <v>1280</v>
      </c>
      <c r="E34" s="271" t="s">
        <v>1281</v>
      </c>
      <c r="F34" s="245">
        <v>100</v>
      </c>
    </row>
    <row r="35" spans="1:6" ht="20.100000000000001" customHeight="1" x14ac:dyDescent="0.25">
      <c r="A35" s="5" t="str">
        <f>HYPERLINK("#'4.3.1.6-7 Leaching and runoff'!A1", "4.3.1.6-7 Leaching &amp; runoff")</f>
        <v>4.3.1.6-7 Leaching &amp; runoff</v>
      </c>
      <c r="D35" s="33" t="s">
        <v>1282</v>
      </c>
      <c r="E35" s="271" t="s">
        <v>1283</v>
      </c>
      <c r="F35" s="245">
        <v>100</v>
      </c>
    </row>
    <row r="36" spans="1:6" ht="20.100000000000001" customHeight="1" x14ac:dyDescent="0.25">
      <c r="A36" s="5" t="str">
        <f>HYPERLINK("#'4.3.1.8 Manure applied to soils'!A1", "4.3.1.8 Manure applied to soils")</f>
        <v>4.3.1.8 Manure applied to soils</v>
      </c>
      <c r="D36" s="33" t="s">
        <v>1284</v>
      </c>
      <c r="E36" s="271" t="s">
        <v>1285</v>
      </c>
      <c r="F36" s="245">
        <v>100</v>
      </c>
    </row>
    <row r="37" spans="1:6" ht="20.100000000000001" customHeight="1" x14ac:dyDescent="0.25">
      <c r="A37" s="5" t="str">
        <f>HYPERLINK("#'4.3.1.9 Soil direct N2O'!A1", "4.3.1.9 Soil direct N2O")</f>
        <v>4.3.1.9 Soil direct N2O</v>
      </c>
      <c r="D37" s="33" t="s">
        <v>1278</v>
      </c>
      <c r="E37" s="271" t="s">
        <v>1279</v>
      </c>
      <c r="F37" s="245">
        <v>100</v>
      </c>
    </row>
    <row r="38" spans="1:6" ht="20.100000000000001" customHeight="1" x14ac:dyDescent="0.25">
      <c r="A38" s="5" t="str">
        <f>HYPERLINK("#'4.3.1.10-11 Soil Atmos Dep'!A1", "4.3.1.10-11 Soil Atmos Deposition")</f>
        <v>4.3.1.10-11 Soil Atmos Deposition</v>
      </c>
      <c r="D38" s="33" t="s">
        <v>1280</v>
      </c>
      <c r="E38" s="271" t="s">
        <v>1281</v>
      </c>
      <c r="F38" s="245">
        <v>100</v>
      </c>
    </row>
    <row r="39" spans="1:6" ht="20.100000000000001" customHeight="1" x14ac:dyDescent="0.25">
      <c r="A39" s="5" t="str">
        <f>HYPERLINK("#'4.3.1.12-13 Soil leach runoff'!A1", "4.3.1.12-13 Soil leach &amp; runoff")</f>
        <v>4.3.1.12-13 Soil leach &amp; runoff</v>
      </c>
      <c r="D39" s="33"/>
      <c r="E39" s="150"/>
      <c r="F39" s="75"/>
    </row>
    <row r="40" spans="1:6" ht="20.100000000000001" customHeight="1" x14ac:dyDescent="0.25">
      <c r="A40" s="5" t="str">
        <f>HYPERLINK("#'5.1.1.1-2 Inorganic fert N2O'!A1", "5.1.1.1-2 Inorganic fert N2O")</f>
        <v>5.1.1.1-2 Inorganic fert N2O</v>
      </c>
      <c r="D40" s="33"/>
      <c r="E40" s="150"/>
      <c r="F40" s="75"/>
    </row>
    <row r="41" spans="1:6" ht="20.100000000000001" customHeight="1" x14ac:dyDescent="0.25">
      <c r="A41" s="5" t="str">
        <f>HYPERLINK("#'5.1.1.3-4 Inorganic fert CO2'!A1", "5.1.1.3-4 Inorganic fert CO2")</f>
        <v>5.1.1.3-4 Inorganic fert CO2</v>
      </c>
      <c r="D41" s="33"/>
      <c r="E41" s="150"/>
      <c r="F41" s="75"/>
    </row>
    <row r="42" spans="1:6" ht="20.100000000000001" customHeight="1" x14ac:dyDescent="0.25">
      <c r="A42" s="5" t="str">
        <f>HYPERLINK("#'5.2.1.1-2 Organic Fert N2O'!A1", "5.2.1.1-2 Organic fert N2O")</f>
        <v>5.2.1.1-2 Organic fert N2O</v>
      </c>
      <c r="D42" s="33"/>
      <c r="E42" s="150"/>
      <c r="F42" s="75"/>
    </row>
    <row r="43" spans="1:6" ht="20.100000000000001" customHeight="1" x14ac:dyDescent="0.25">
      <c r="A43" s="5" t="str">
        <f>HYPERLINK("#'5.3.1.1-2 Lime CO2'!A1", "5.3.1.1-2 Lime CO2")</f>
        <v>5.3.1.1-2 Lime CO2</v>
      </c>
    </row>
    <row r="44" spans="1:6" ht="20.100000000000001" customHeight="1" x14ac:dyDescent="0.25">
      <c r="A44" s="5" t="str">
        <f>HYPERLINK("#'5.4.1.1-4 Atmos deposition'!A1", "5.4.1.1-4 Atmos. deposition")</f>
        <v>5.4.1.1-4 Atmos. deposition</v>
      </c>
    </row>
    <row r="45" spans="1:6" ht="20.100000000000001" customHeight="1" x14ac:dyDescent="0.25">
      <c r="A45" s="5" t="str">
        <f>HYPERLINK("#'5.5.1.1-2 Leaching and runoff'!A1", "5.5.1.1-2 Leaching &amp; runoff")</f>
        <v>5.5.1.1-2 Leaching &amp; runoff</v>
      </c>
    </row>
    <row r="46" spans="1:6" ht="20.100000000000001" customHeight="1" x14ac:dyDescent="0.25">
      <c r="A46" s="5" t="str">
        <f>HYPERLINK("#'6.2.1.1-2 Pasture residue N2O'!A1", "6.2.1.1-2 Pasture residue N2O")</f>
        <v>6.2.1.1-2 Pasture residue N2O</v>
      </c>
      <c r="D46" s="2" t="s">
        <v>1286</v>
      </c>
      <c r="E46" s="246"/>
      <c r="F46" s="246"/>
    </row>
    <row r="47" spans="1:6" ht="20.100000000000001" customHeight="1" x14ac:dyDescent="0.25">
      <c r="A47" s="5" t="str">
        <f>HYPERLINK("#'6.3.1.1-2 Leach runoff pasture'!A1", "6.3.1.1-2 Leach &amp; runoff (pasture)")</f>
        <v>6.3.1.1-2 Leach &amp; runoff (pasture)</v>
      </c>
      <c r="D47" s="1" t="str">
        <f>'Constants - Scope 3'!E202</f>
        <v>Animal ear tags (large)</v>
      </c>
      <c r="E47" s="75">
        <v>100</v>
      </c>
      <c r="F47" s="16" t="s">
        <v>1287</v>
      </c>
    </row>
    <row r="48" spans="1:6" ht="20.100000000000001" customHeight="1" x14ac:dyDescent="0.25">
      <c r="A48" s="5" t="str">
        <f>HYPERLINK("#'8.1.1.1-2 Transport fuel'!A1", "8.1.1.1-2 Transport fuel")</f>
        <v>8.1.1.1-2 Transport fuel</v>
      </c>
      <c r="D48" s="1" t="str">
        <f>'Constants - Scope 3'!E203</f>
        <v>Animal ear tags (small)</v>
      </c>
      <c r="E48" s="75">
        <v>200</v>
      </c>
      <c r="F48" s="16" t="s">
        <v>1287</v>
      </c>
    </row>
    <row r="49" spans="1:1" ht="20.100000000000001" customHeight="1" x14ac:dyDescent="0.25">
      <c r="A49" s="5" t="str">
        <f>HYPERLINK("#'8.2.1.1-2 Stationary fuel'!A1", "8.2.1.1-2 Stationary fuel")</f>
        <v>8.2.1.1-2 Stationary fuel</v>
      </c>
    </row>
    <row r="50" spans="1:1" ht="20.100000000000001" customHeight="1" x14ac:dyDescent="0.25">
      <c r="A50" s="5" t="str">
        <f>HYPERLINK("#'9.1.1.1-2 Refrigerant use'!A1", "9.1.1.1-2 Refrigerant use")</f>
        <v>9.1.1.1-2 Refrigerant use</v>
      </c>
    </row>
    <row r="51" spans="1:1" ht="20.100000000000001" customHeight="1" x14ac:dyDescent="0.25">
      <c r="A51" s="5" t="str">
        <f>HYPERLINK("#'10.1.1-2 Solid waste treatment'!A1", "10.1.1.1-2 Solid waste")</f>
        <v>10.1.1.1-2 Solid waste</v>
      </c>
    </row>
    <row r="52" spans="1:1" ht="20.100000000000001" customHeight="1" x14ac:dyDescent="0.25">
      <c r="A52" s="5" t="str">
        <f>HYPERLINK("#'14.1.1-2 Purchased electricity'!A1", "14.1.1-2 Purchased electricity")</f>
        <v>14.1.1-2 Purchased electricity</v>
      </c>
    </row>
    <row r="53" spans="1:1" ht="20.100000000000001" customHeight="1" x14ac:dyDescent="0.25">
      <c r="A53" s="5" t="str">
        <f>HYPERLINK("#'15 Scope 3'!A1", "15 Scope 3")</f>
        <v>15 Scope 3</v>
      </c>
    </row>
    <row r="54" spans="1:1" ht="20.100000000000001" customHeight="1" x14ac:dyDescent="0.25">
      <c r="A54" s="5" t="str">
        <f>HYPERLINK("#'Calcs - Manure sent off-site'!A1", "Calcs - Manure sent off-site")</f>
        <v>Calcs - Manure sent off-site</v>
      </c>
    </row>
    <row r="55" spans="1:1" ht="20.100000000000001" customHeight="1" x14ac:dyDescent="0.25">
      <c r="A55"/>
    </row>
    <row r="56" spans="1:1" ht="20.100000000000001" customHeight="1" x14ac:dyDescent="0.25">
      <c r="A56"/>
    </row>
    <row r="57" spans="1:1" ht="20.100000000000001" customHeight="1" x14ac:dyDescent="0.25">
      <c r="A57" s="82" t="s">
        <v>1</v>
      </c>
    </row>
    <row r="58" spans="1:1" ht="20.100000000000001" customHeight="1" x14ac:dyDescent="0.25">
      <c r="A58" s="5" t="str">
        <f>HYPERLINK("#'Constants - Dairy'!A1", "Constants - Dairy")</f>
        <v>Constants - Dairy</v>
      </c>
    </row>
    <row r="59" spans="1:1" ht="20.100000000000001" customHeight="1" x14ac:dyDescent="0.25">
      <c r="A59" s="5" t="str">
        <f>HYPERLINK("#'Constants - Ag Residue'!A1", "Constants - Ag residue")</f>
        <v>Constants - Ag residue</v>
      </c>
    </row>
    <row r="60" spans="1:1" ht="20.100000000000001" customHeight="1" x14ac:dyDescent="0.25">
      <c r="A60" s="5" t="str">
        <f>HYPERLINK("#'Constants - Common Livestock'!A1", "Constants - Common Livestock")</f>
        <v>Constants - Common Livestock</v>
      </c>
    </row>
    <row r="61" spans="1:1" ht="20.100000000000001" customHeight="1" x14ac:dyDescent="0.25">
      <c r="A61" s="5" t="str">
        <f>HYPERLINK("#'Constants - Electricity'!A1", "Constants - Electricity")</f>
        <v>Constants - Electricity</v>
      </c>
    </row>
    <row r="62" spans="1:1" ht="20.100000000000001" customHeight="1" x14ac:dyDescent="0.25">
      <c r="A62" s="5" t="str">
        <f>HYPERLINK("#'Constants - Fertiliser'!A1", "Constants - Fertiliser")</f>
        <v>Constants - Fertiliser</v>
      </c>
    </row>
    <row r="63" spans="1:1" ht="20.100000000000001" customHeight="1" x14ac:dyDescent="0.25">
      <c r="A63" s="5" t="str">
        <f>HYPERLINK("#'Constants - Fuel'!A1", "Constants - Fuel")</f>
        <v>Constants - Fuel</v>
      </c>
    </row>
    <row r="64" spans="1:1" ht="20.100000000000001" customHeight="1" x14ac:dyDescent="0.25">
      <c r="A64" s="5" t="str">
        <f>HYPERLINK("#'Constants - Scope 3'!A1", "Constants - Scope 3")</f>
        <v>Constants - Scope 3</v>
      </c>
    </row>
    <row r="65" spans="1:1" ht="20.100000000000001" customHeight="1" x14ac:dyDescent="0.25">
      <c r="A65" s="5" t="str">
        <f>HYPERLINK("#'Constants - Common'!A1", "Constants - Common")</f>
        <v>Constants - Common</v>
      </c>
    </row>
    <row r="66" spans="1:1" ht="20.100000000000001" customHeight="1" x14ac:dyDescent="0.25">
      <c r="A66" s="5" t="str">
        <f>HYPERLINK("#'Constants - Refrigerants'!A1", "Constants - Refrigerants")</f>
        <v>Constants - Refrigerants</v>
      </c>
    </row>
    <row r="67" spans="1:1" ht="20.100000000000001" customHeight="1" x14ac:dyDescent="0.25">
      <c r="A67" s="5" t="str">
        <f>HYPERLINK("#'Constants - Solid Waste'!A1", "Constants - Solid Waste")</f>
        <v>Constants - Solid Waste</v>
      </c>
    </row>
    <row r="68" spans="1:1" ht="20.100000000000001" customHeight="1" x14ac:dyDescent="0.25">
      <c r="A68" s="5" t="str">
        <f>HYPERLINK("#'Acknowledgements'!A1", "Acknowledgements")</f>
        <v>Acknowledgements</v>
      </c>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E33:E42" xr:uid="{6A76DFC1-14E5-4547-84A3-0F5CE20BA005}">
      <formula1>INDIRECT("Table_SourceData_Scope3_ChemicalsPharmacy[Product]")</formula1>
    </dataValidation>
    <dataValidation type="list" allowBlank="1" showInputMessage="1" showErrorMessage="1" sqref="M19:M28 P19:P28 J19:J28 G19:G28" xr:uid="{C8D09380-BCE0-4895-A636-5CAE312E89FA}">
      <formula1>INDIRECT("Table_ProductRegions_" &amp; SUBSTITUTE(SUBSTITUTE(SUBSTITUTE(SUBSTITUTE(F19, " ", ""), ",", ""), "(", ""), ")", "") &amp; "[Region]")</formula1>
    </dataValidation>
    <dataValidation type="list" allowBlank="1" showInputMessage="1" showErrorMessage="1" sqref="F19:F28 I19:I28 L19:L28 O19:O28" xr:uid="{8E5F8315-EC11-46FD-BF6F-8760DC21BCC6}">
      <formula1>INDIRECT(_xlfn.UNIQUE("Table_SourceData_Scope3_Feed[Product]"))</formula1>
    </dataValidation>
  </dataValidation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6851F-8C85-4044-A321-E2C1B5906849}">
  <sheetPr>
    <tabColor theme="5" tint="-0.249977111117893"/>
  </sheetPr>
  <dimension ref="A1:J160"/>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style="259" customWidth="1"/>
    <col min="2" max="2" width="5.28515625" style="259" customWidth="1"/>
    <col min="3" max="3" width="5.28515625" style="1" customWidth="1"/>
    <col min="4" max="4" width="46.5703125" style="1" customWidth="1"/>
    <col min="5" max="9" width="35" style="1" customWidth="1"/>
    <col min="10" max="10" width="5.28515625" style="1" customWidth="1"/>
    <col min="11" max="16384" width="9.140625" style="259"/>
  </cols>
  <sheetData>
    <row r="1" spans="1:10" s="10" customFormat="1" ht="30" customHeight="1" x14ac:dyDescent="0.35">
      <c r="C1" s="10" t="s">
        <v>1288</v>
      </c>
    </row>
    <row r="2" spans="1:10" s="3" customFormat="1" ht="20.100000000000001" customHeight="1" x14ac:dyDescent="0.25">
      <c r="A2"/>
    </row>
    <row r="3" spans="1:10" ht="20.100000000000001" customHeight="1" x14ac:dyDescent="0.25">
      <c r="A3" s="5" t="str">
        <f>HYPERLINK("#'Home'!A1", "Home")</f>
        <v>Home</v>
      </c>
      <c r="C3" s="28"/>
      <c r="D3" s="28"/>
      <c r="E3" s="28"/>
      <c r="F3" s="28"/>
      <c r="G3" s="28"/>
      <c r="H3" s="28"/>
      <c r="I3" s="28"/>
      <c r="J3" s="28"/>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Emissions Intensity")</f>
        <v>Results - Product Emissions Intensity</v>
      </c>
    </row>
    <row r="6" spans="1:10" ht="20.100000000000001" customHeight="1" x14ac:dyDescent="0.25">
      <c r="A6" s="5" t="str">
        <f>HYPERLINK("#'Results'!A1", "Results")</f>
        <v>Results</v>
      </c>
      <c r="D6" s="2" t="s">
        <v>1289</v>
      </c>
    </row>
    <row r="7" spans="1:10" ht="20.100000000000001" customHeight="1" x14ac:dyDescent="0.25">
      <c r="A7"/>
    </row>
    <row r="8" spans="1:10" ht="20.100000000000001" customHeight="1" x14ac:dyDescent="0.25">
      <c r="A8"/>
      <c r="D8" s="19" t="s">
        <v>1290</v>
      </c>
      <c r="E8" s="19" t="s">
        <v>1291</v>
      </c>
      <c r="F8" s="19" t="s">
        <v>1292</v>
      </c>
      <c r="G8" s="19" t="s">
        <v>1293</v>
      </c>
      <c r="H8" s="19" t="s">
        <v>1294</v>
      </c>
    </row>
    <row r="9" spans="1:10" ht="20.100000000000001" customHeight="1" x14ac:dyDescent="0.25">
      <c r="A9" s="7" t="s">
        <v>0</v>
      </c>
      <c r="D9" s="33" t="s">
        <v>1295</v>
      </c>
      <c r="E9" s="13" t="s">
        <v>1296</v>
      </c>
      <c r="F9" s="19">
        <v>986</v>
      </c>
      <c r="G9" s="19">
        <v>10</v>
      </c>
      <c r="H9" s="19">
        <v>52</v>
      </c>
    </row>
    <row r="10" spans="1:10" ht="20.100000000000001" customHeight="1" x14ac:dyDescent="0.25">
      <c r="A10" s="5" t="str">
        <f>HYPERLINK("#'Input - Enterprise'!A1", "Enterprise")</f>
        <v>Enterprise</v>
      </c>
      <c r="D10" s="33" t="s">
        <v>1297</v>
      </c>
      <c r="E10" s="13" t="s">
        <v>1298</v>
      </c>
      <c r="F10" s="19">
        <v>65</v>
      </c>
      <c r="G10" s="19">
        <v>10</v>
      </c>
      <c r="H10" s="19">
        <v>6</v>
      </c>
    </row>
    <row r="11" spans="1:10" ht="20.100000000000001" customHeight="1" x14ac:dyDescent="0.25">
      <c r="A11" s="5" t="str">
        <f>HYPERLINK("#'Input - Site'!A1", "Site")</f>
        <v>Site</v>
      </c>
      <c r="D11" s="33"/>
      <c r="E11" s="13"/>
      <c r="F11" s="19"/>
      <c r="G11" s="19"/>
      <c r="H11" s="19"/>
    </row>
    <row r="12" spans="1:10" ht="20.100000000000001" customHeight="1" x14ac:dyDescent="0.25">
      <c r="A12" s="5" t="str">
        <f>HYPERLINK("#'Input - Dairy'!A1", "Dairy")</f>
        <v>Dairy</v>
      </c>
      <c r="D12" s="33"/>
      <c r="E12" s="13"/>
      <c r="F12" s="19"/>
      <c r="G12" s="19"/>
      <c r="H12" s="19"/>
    </row>
    <row r="13" spans="1:10" ht="20.100000000000001" customHeight="1" x14ac:dyDescent="0.25">
      <c r="A13" s="5" t="str">
        <f>HYPERLINK("#'Input - Livestock sales'!A1", "Livestock sales")</f>
        <v>Livestock sales</v>
      </c>
      <c r="D13" s="33"/>
      <c r="E13" s="13"/>
      <c r="F13" s="19"/>
      <c r="G13" s="19"/>
      <c r="H13" s="19"/>
    </row>
    <row r="14" spans="1:10" ht="20.100000000000001" customHeight="1" x14ac:dyDescent="0.25">
      <c r="A14" s="5" t="str">
        <f>HYPERLINK("#'Input - Dairy cattle purchases'!A1", "Dairy cattle purchases")</f>
        <v>Dairy cattle purchases</v>
      </c>
      <c r="D14" s="33"/>
      <c r="E14" s="13"/>
      <c r="F14" s="19"/>
      <c r="G14" s="19"/>
      <c r="H14" s="19"/>
    </row>
    <row r="15" spans="1:10" ht="20.100000000000001" customHeight="1" x14ac:dyDescent="0.25">
      <c r="A15" s="5" t="str">
        <f>HYPERLINK("#'Input - Pasture'!A1", "Pasture")</f>
        <v>Pasture</v>
      </c>
      <c r="D15" s="33"/>
      <c r="E15" s="13"/>
      <c r="F15" s="19"/>
      <c r="G15" s="19"/>
      <c r="H15" s="19"/>
    </row>
    <row r="16" spans="1:10" ht="20.100000000000001" customHeight="1" x14ac:dyDescent="0.25">
      <c r="A16" s="5" t="str">
        <f>HYPERLINK("#'Input - Fert Prod System'!A1", "Fert Prod System")</f>
        <v>Fert Prod System</v>
      </c>
      <c r="D16" s="33"/>
      <c r="E16" s="13"/>
      <c r="F16" s="19"/>
      <c r="G16" s="19"/>
      <c r="H16" s="19"/>
    </row>
    <row r="17" spans="1:8" ht="20.100000000000001" customHeight="1" x14ac:dyDescent="0.25">
      <c r="A17" s="5" t="str">
        <f>HYPERLINK("#'Input - Fertiliser'!A1", "Fertiliser")</f>
        <v>Fertiliser</v>
      </c>
      <c r="D17" s="33"/>
      <c r="E17" s="13"/>
      <c r="F17" s="19"/>
      <c r="G17" s="19"/>
      <c r="H17" s="19"/>
    </row>
    <row r="18" spans="1:8" ht="20.100000000000001" customHeight="1" x14ac:dyDescent="0.25">
      <c r="A18" s="5" t="str">
        <f>HYPERLINK("#'Input - Fuel'!A1", "Fuel")</f>
        <v>Fuel</v>
      </c>
      <c r="D18" s="33"/>
      <c r="E18" s="13"/>
      <c r="F18" s="19"/>
      <c r="G18" s="19"/>
      <c r="H18" s="19"/>
    </row>
    <row r="19" spans="1:8" ht="20.100000000000001" customHeight="1" x14ac:dyDescent="0.25">
      <c r="A19" s="5" t="str">
        <f>HYPERLINK("#'Input - Electricity'!A1", "Electricity")</f>
        <v>Electricity</v>
      </c>
    </row>
    <row r="20" spans="1:8" ht="20.100000000000001" customHeight="1" x14ac:dyDescent="0.25">
      <c r="A20" s="5" t="str">
        <f>HYPERLINK("#'Input - Common farm inputs'!A1", "Common farm inputs")</f>
        <v>Common farm inputs</v>
      </c>
    </row>
    <row r="21" spans="1:8" ht="20.100000000000001" customHeight="1" x14ac:dyDescent="0.25">
      <c r="A21" s="5" t="str">
        <f>HYPERLINK("#'Input - Crop pasture farm input'!A1", "Crop pasture farm input")</f>
        <v>Crop pasture farm input</v>
      </c>
    </row>
    <row r="22" spans="1:8" ht="20.100000000000001" customHeight="1" x14ac:dyDescent="0.25">
      <c r="A22" s="5" t="str">
        <f>HYPERLINK("#'Input - Livestock farm Inputs'!A1", "Livestock farm Inputs")</f>
        <v>Livestock farm Inputs</v>
      </c>
      <c r="D22" s="2" t="s">
        <v>1299</v>
      </c>
    </row>
    <row r="23" spans="1:8" ht="20.100000000000001" customHeight="1" x14ac:dyDescent="0.25">
      <c r="A23" s="99" t="str">
        <f>HYPERLINK("#'Input - Freight'!A1", "Freight")</f>
        <v>Freight</v>
      </c>
    </row>
    <row r="24" spans="1:8" ht="20.100000000000001" customHeight="1" x14ac:dyDescent="0.25">
      <c r="A24" s="5" t="str">
        <f>HYPERLINK("#'Input - Solid waste'!A1", "Solid waste")</f>
        <v>Solid waste</v>
      </c>
      <c r="D24" s="19" t="s">
        <v>1290</v>
      </c>
      <c r="E24" s="19" t="s">
        <v>1291</v>
      </c>
      <c r="F24" s="19" t="s">
        <v>1292</v>
      </c>
      <c r="G24" s="19" t="s">
        <v>1293</v>
      </c>
      <c r="H24" s="19" t="s">
        <v>1294</v>
      </c>
    </row>
    <row r="25" spans="1:8" ht="20.100000000000001" customHeight="1" x14ac:dyDescent="0.25">
      <c r="A25" s="5" t="str">
        <f>HYPERLINK("#'Input - Manure sent off-site'!A1", "Manure sent off-site")</f>
        <v>Manure sent off-site</v>
      </c>
      <c r="D25" s="33" t="s">
        <v>1300</v>
      </c>
      <c r="E25" s="13" t="s">
        <v>1296</v>
      </c>
      <c r="F25" s="19">
        <v>65</v>
      </c>
      <c r="G25" s="19">
        <v>20</v>
      </c>
      <c r="H25" s="19">
        <v>52</v>
      </c>
    </row>
    <row r="26" spans="1:8" ht="20.100000000000001" customHeight="1" x14ac:dyDescent="0.25">
      <c r="A26" s="5" t="str">
        <f>HYPERLINK("#'Input - Refrigerants'!A1", "Refrigerants")</f>
        <v>Refrigerants</v>
      </c>
      <c r="D26" s="33"/>
      <c r="E26" s="13"/>
      <c r="F26" s="19"/>
      <c r="G26" s="19"/>
      <c r="H26" s="19"/>
    </row>
    <row r="27" spans="1:8" ht="20.100000000000001" customHeight="1" x14ac:dyDescent="0.25">
      <c r="A27" s="5" t="str">
        <f>HYPERLINK("#'Input - Data quality'!A1", "Data quality")</f>
        <v>Data quality</v>
      </c>
      <c r="D27" s="33"/>
      <c r="E27" s="13"/>
      <c r="F27" s="19"/>
      <c r="G27" s="19"/>
      <c r="H27" s="19"/>
    </row>
    <row r="28" spans="1:8" ht="20.100000000000001" customHeight="1" x14ac:dyDescent="0.25">
      <c r="A28"/>
      <c r="D28" s="33"/>
      <c r="E28" s="13"/>
      <c r="F28" s="19"/>
      <c r="G28" s="19"/>
      <c r="H28" s="19"/>
    </row>
    <row r="29" spans="1:8" ht="20.100000000000001" customHeight="1" x14ac:dyDescent="0.25">
      <c r="A29"/>
      <c r="D29" s="33"/>
      <c r="E29" s="13"/>
      <c r="F29" s="19"/>
      <c r="G29" s="19"/>
      <c r="H29" s="19"/>
    </row>
    <row r="30" spans="1:8" ht="20.100000000000001" customHeight="1" x14ac:dyDescent="0.25">
      <c r="A30" s="6" t="s">
        <v>2</v>
      </c>
      <c r="D30" s="33"/>
      <c r="E30" s="13"/>
      <c r="F30" s="19"/>
      <c r="G30" s="19"/>
      <c r="H30" s="19"/>
    </row>
    <row r="31" spans="1:8" ht="20.100000000000001" customHeight="1" x14ac:dyDescent="0.25">
      <c r="A31" s="5" t="str">
        <f>HYPERLINK("#'3.3.1.1-2 Enteric Methane'!A1", "3.3.1.1-2 Enteric methane")</f>
        <v>3.3.1.1-2 Enteric methane</v>
      </c>
      <c r="D31" s="33"/>
      <c r="E31" s="13"/>
      <c r="F31" s="19"/>
      <c r="G31" s="19"/>
      <c r="H31" s="19"/>
    </row>
    <row r="32" spans="1:8" ht="20.100000000000001" customHeight="1" x14ac:dyDescent="0.25">
      <c r="A32" s="5" t="str">
        <f>HYPERLINK("#'4.3.1.1-2 Methane'!A1", "4.3.1.1-2 Manure methane")</f>
        <v>4.3.1.1-2 Manure methane</v>
      </c>
      <c r="D32" s="33"/>
      <c r="E32" s="13"/>
      <c r="F32" s="19"/>
      <c r="G32" s="19"/>
      <c r="H32" s="19"/>
    </row>
    <row r="33" spans="1:8" ht="20.100000000000001" customHeight="1" x14ac:dyDescent="0.25">
      <c r="A33" s="5" t="str">
        <f>HYPERLINK("#'4.3.1.3-4 Direct N20'!A1", "4.3.1.3-4 Direct N20")</f>
        <v>4.3.1.3-4 Direct N20</v>
      </c>
      <c r="D33" s="33"/>
      <c r="E33" s="13"/>
      <c r="F33" s="19"/>
      <c r="G33" s="19"/>
      <c r="H33" s="19"/>
    </row>
    <row r="34" spans="1:8" ht="20.100000000000001" customHeight="1" x14ac:dyDescent="0.25">
      <c r="A34" s="5" t="str">
        <f>HYPERLINK("#'4.3.1.5 Atmos deposition'!A1", "4.3.1.5 Atmos deposition")</f>
        <v>4.3.1.5 Atmos deposition</v>
      </c>
      <c r="D34" s="33"/>
      <c r="E34" s="13"/>
      <c r="F34" s="19"/>
      <c r="G34" s="19"/>
      <c r="H34" s="19"/>
    </row>
    <row r="35" spans="1:8" ht="20.100000000000001" customHeight="1" x14ac:dyDescent="0.25">
      <c r="A35" s="5" t="str">
        <f>HYPERLINK("#'4.3.1.6-7 Leaching and runoff'!A1", "4.3.1.6-7 Leaching &amp; runoff")</f>
        <v>4.3.1.6-7 Leaching &amp; runoff</v>
      </c>
    </row>
    <row r="36" spans="1:8" ht="20.100000000000001" customHeight="1" x14ac:dyDescent="0.25">
      <c r="A36" s="5" t="str">
        <f>HYPERLINK("#'4.3.1.8 Manure applied to soils'!A1", "4.3.1.8 Manure applied to soils")</f>
        <v>4.3.1.8 Manure applied to soils</v>
      </c>
    </row>
    <row r="37" spans="1:8" ht="20.100000000000001" customHeight="1" x14ac:dyDescent="0.25">
      <c r="A37" s="5" t="str">
        <f>HYPERLINK("#'4.3.1.9 Soil direct N2O'!A1", "4.3.1.9 Soil direct N2O")</f>
        <v>4.3.1.9 Soil direct N2O</v>
      </c>
    </row>
    <row r="38" spans="1:8" ht="20.100000000000001" customHeight="1" x14ac:dyDescent="0.25">
      <c r="A38" s="5" t="str">
        <f>HYPERLINK("#'4.3.1.10-11 Soil Atmos Dep'!A1", "4.3.1.10-11 Soil Atmos Deposition")</f>
        <v>4.3.1.10-11 Soil Atmos Deposition</v>
      </c>
    </row>
    <row r="39" spans="1:8" ht="20.100000000000001" customHeight="1" x14ac:dyDescent="0.25">
      <c r="A39" s="5" t="str">
        <f>HYPERLINK("#'4.3.1.12-13 Soil leach runoff'!A1", "4.3.1.12-13 Soil leach &amp; runoff")</f>
        <v>4.3.1.12-13 Soil leach &amp; runoff</v>
      </c>
    </row>
    <row r="40" spans="1:8" ht="20.100000000000001" customHeight="1" x14ac:dyDescent="0.25">
      <c r="A40" s="5" t="str">
        <f>HYPERLINK("#'5.1.1.1-2 Inorganic fert N2O'!A1", "5.1.1.1-2 Inorganic fert N2O")</f>
        <v>5.1.1.1-2 Inorganic fert N2O</v>
      </c>
    </row>
    <row r="41" spans="1:8" ht="20.100000000000001" customHeight="1" x14ac:dyDescent="0.25">
      <c r="A41" s="5" t="str">
        <f>HYPERLINK("#'5.1.1.3-4 Inorganic fert CO2'!A1", "5.1.1.3-4 Inorganic fert CO2")</f>
        <v>5.1.1.3-4 Inorganic fert CO2</v>
      </c>
    </row>
    <row r="42" spans="1:8" ht="20.100000000000001" customHeight="1" x14ac:dyDescent="0.25">
      <c r="A42" s="5" t="str">
        <f>HYPERLINK("#'5.2.1.1-2 Organic Fert N2O'!A1", "5.2.1.1-2 Organic fert N2O")</f>
        <v>5.2.1.1-2 Organic fert N2O</v>
      </c>
    </row>
    <row r="43" spans="1:8" ht="20.100000000000001" customHeight="1" x14ac:dyDescent="0.25">
      <c r="A43" s="5" t="str">
        <f>HYPERLINK("#'5.3.1.1-2 Lime CO2'!A1", "5.3.1.1-2 Lime CO2")</f>
        <v>5.3.1.1-2 Lime CO2</v>
      </c>
    </row>
    <row r="44" spans="1:8" ht="20.100000000000001" customHeight="1" x14ac:dyDescent="0.25">
      <c r="A44" s="5" t="str">
        <f>HYPERLINK("#'5.4.1.1-4 Atmos deposition'!A1", "5.4.1.1-4 Atmos. deposition")</f>
        <v>5.4.1.1-4 Atmos. deposition</v>
      </c>
    </row>
    <row r="45" spans="1:8" ht="20.100000000000001" customHeight="1" x14ac:dyDescent="0.25">
      <c r="A45" s="5" t="str">
        <f>HYPERLINK("#'5.5.1.1-2 Leaching and runoff'!A1", "5.5.1.1-2 Leaching &amp; runoff")</f>
        <v>5.5.1.1-2 Leaching &amp; runoff</v>
      </c>
    </row>
    <row r="46" spans="1:8" ht="20.100000000000001" customHeight="1" x14ac:dyDescent="0.25">
      <c r="A46" s="5" t="str">
        <f>HYPERLINK("#'6.2.1.1-2 Pasture residue N2O'!A1", "6.2.1.1-2 Pasture residue N2O")</f>
        <v>6.2.1.1-2 Pasture residue N2O</v>
      </c>
    </row>
    <row r="47" spans="1:8" ht="20.100000000000001" customHeight="1" x14ac:dyDescent="0.25">
      <c r="A47" s="5" t="str">
        <f>HYPERLINK("#'6.3.1.1-2 Leach runoff pasture'!A1", "6.3.1.1-2 Leach &amp; runoff (pasture)")</f>
        <v>6.3.1.1-2 Leach &amp; runoff (pasture)</v>
      </c>
    </row>
    <row r="48" spans="1:8" ht="20.100000000000001" customHeight="1" x14ac:dyDescent="0.25">
      <c r="A48" s="5" t="str">
        <f>HYPERLINK("#'8.1.1.1-2 Transport fuel'!A1", "8.1.1.1-2 Transport fuel")</f>
        <v>8.1.1.1-2 Transport fuel</v>
      </c>
    </row>
    <row r="49" spans="1:1" ht="20.100000000000001" customHeight="1" x14ac:dyDescent="0.25">
      <c r="A49" s="5" t="str">
        <f>HYPERLINK("#'8.2.1.1-2 Stationary fuel'!A1", "8.2.1.1-2 Stationary fuel")</f>
        <v>8.2.1.1-2 Stationary fuel</v>
      </c>
    </row>
    <row r="50" spans="1:1" ht="20.100000000000001" customHeight="1" x14ac:dyDescent="0.25">
      <c r="A50" s="5" t="str">
        <f>HYPERLINK("#'9.1.1.1-2 Refrigerant use'!A1", "9.1.1.1-2 Refrigerant use")</f>
        <v>9.1.1.1-2 Refrigerant use</v>
      </c>
    </row>
    <row r="51" spans="1:1" ht="20.100000000000001" customHeight="1" x14ac:dyDescent="0.25">
      <c r="A51" s="5" t="str">
        <f>HYPERLINK("#'10.1.1-2 Solid waste treatment'!A1", "10.1.1.1-2 Solid waste")</f>
        <v>10.1.1.1-2 Solid waste</v>
      </c>
    </row>
    <row r="52" spans="1:1" x14ac:dyDescent="0.25">
      <c r="A52" s="5" t="str">
        <f>HYPERLINK("#'14.1.1-2 Purchased electricity'!A1", "14.1.1-2 Purchased electricity")</f>
        <v>14.1.1-2 Purchased electricity</v>
      </c>
    </row>
    <row r="53" spans="1:1" x14ac:dyDescent="0.25">
      <c r="A53" s="5" t="str">
        <f>HYPERLINK("#'15 Scope 3'!A1", "15 Scope 3")</f>
        <v>15 Scope 3</v>
      </c>
    </row>
    <row r="54" spans="1:1" x14ac:dyDescent="0.25">
      <c r="A54" s="5" t="str">
        <f>HYPERLINK("#'Calcs - Manure sent off-site'!A1", "Calcs - Manure sent off-site")</f>
        <v>Calcs - Manure sent off-site</v>
      </c>
    </row>
    <row r="55" spans="1:1" x14ac:dyDescent="0.25">
      <c r="A55"/>
    </row>
    <row r="56" spans="1:1" x14ac:dyDescent="0.25">
      <c r="A56"/>
    </row>
    <row r="57" spans="1:1" x14ac:dyDescent="0.25">
      <c r="A57" s="82" t="s">
        <v>1</v>
      </c>
    </row>
    <row r="58" spans="1:1" x14ac:dyDescent="0.25">
      <c r="A58" s="5" t="str">
        <f>HYPERLINK("#'Constants - Dairy'!A1", "Constants - Dairy")</f>
        <v>Constants - Dairy</v>
      </c>
    </row>
    <row r="59" spans="1:1" x14ac:dyDescent="0.25">
      <c r="A59" s="5" t="str">
        <f>HYPERLINK("#'Constants - Ag Residue'!A1", "Constants - Ag residue")</f>
        <v>Constants - Ag residue</v>
      </c>
    </row>
    <row r="60" spans="1:1" x14ac:dyDescent="0.25">
      <c r="A60" s="5" t="str">
        <f>HYPERLINK("#'Constants - Common Livestock'!A1", "Constants - Common Livestock")</f>
        <v>Constants - Common Livestock</v>
      </c>
    </row>
    <row r="61" spans="1:1" x14ac:dyDescent="0.25">
      <c r="A61" s="5" t="str">
        <f>HYPERLINK("#'Constants - Electricity'!A1", "Constants - Electricity")</f>
        <v>Constants - Electricity</v>
      </c>
    </row>
    <row r="62" spans="1:1" x14ac:dyDescent="0.25">
      <c r="A62" s="5" t="str">
        <f>HYPERLINK("#'Constants - Fertiliser'!A1", "Constants - Fertiliser")</f>
        <v>Constants - Fertiliser</v>
      </c>
    </row>
    <row r="63" spans="1:1" x14ac:dyDescent="0.25">
      <c r="A63" s="5" t="str">
        <f>HYPERLINK("#'Constants - Fuel'!A1", "Constants - Fuel")</f>
        <v>Constants - Fuel</v>
      </c>
    </row>
    <row r="64" spans="1:1" x14ac:dyDescent="0.25">
      <c r="A64" s="5" t="str">
        <f>HYPERLINK("#'Constants - Scope 3'!A1", "Constants - Scope 3")</f>
        <v>Constants - Scope 3</v>
      </c>
    </row>
    <row r="65" spans="1:1" x14ac:dyDescent="0.25">
      <c r="A65" s="5" t="str">
        <f>HYPERLINK("#'Constants - Common'!A1", "Constants - Common")</f>
        <v>Constants - Common</v>
      </c>
    </row>
    <row r="66" spans="1:1" x14ac:dyDescent="0.25">
      <c r="A66" s="5" t="str">
        <f>HYPERLINK("#'Constants - Refrigerants'!A1", "Constants - Refrigerants")</f>
        <v>Constants - Refrigerants</v>
      </c>
    </row>
    <row r="67" spans="1:1" x14ac:dyDescent="0.25">
      <c r="A67" s="5" t="str">
        <f>HYPERLINK("#'Constants - Solid Waste'!A1", "Constants - Solid Waste")</f>
        <v>Constants - Solid Waste</v>
      </c>
    </row>
    <row r="68" spans="1:1" x14ac:dyDescent="0.25">
      <c r="A68" s="5" t="str">
        <f>HYPERLINK("#'Acknowledgements'!A1", "Acknowledgements")</f>
        <v>Acknowledgements</v>
      </c>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1">
    <dataValidation type="list" allowBlank="1" showInputMessage="1" showErrorMessage="1" sqref="E9:E18 E25:E34" xr:uid="{A267FF47-2FBF-4E76-8581-2985F5BCA9E2}">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F0B5E-2234-42E1-B2F3-6D1C5B008644}">
  <sheetPr>
    <tabColor theme="5" tint="-0.249977111117893"/>
  </sheetPr>
  <dimension ref="A1:L385"/>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1061</v>
      </c>
    </row>
    <row r="2" spans="1:10" s="3" customFormat="1" ht="20.100000000000001" customHeight="1" x14ac:dyDescent="0.25">
      <c r="A2"/>
    </row>
    <row r="3" spans="1:10" ht="20.100000000000001" customHeight="1" x14ac:dyDescent="0.25">
      <c r="A3" s="5" t="str">
        <f>HYPERLINK("#'Home'!A1", "Home")</f>
        <v>Home</v>
      </c>
      <c r="C3" s="28"/>
      <c r="D3" s="28"/>
      <c r="E3" s="28"/>
      <c r="F3" s="28"/>
      <c r="G3" s="28"/>
      <c r="H3" s="28"/>
      <c r="I3" s="28"/>
      <c r="J3" s="28"/>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Emissions Intensity")</f>
        <v>Results - Product Emissions Intensity</v>
      </c>
      <c r="D5" s="2" t="s">
        <v>1062</v>
      </c>
    </row>
    <row r="6" spans="1:10" ht="20.100000000000001" customHeight="1" x14ac:dyDescent="0.25">
      <c r="A6" s="5" t="str">
        <f>HYPERLINK("#'Results'!A1", "Results")</f>
        <v>Results</v>
      </c>
    </row>
    <row r="7" spans="1:10" ht="20.100000000000001" customHeight="1" x14ac:dyDescent="0.25">
      <c r="D7" s="35" t="s">
        <v>879</v>
      </c>
      <c r="E7" s="38"/>
    </row>
    <row r="8" spans="1:10" ht="20.100000000000001" customHeight="1" x14ac:dyDescent="0.25"/>
    <row r="9" spans="1:10" ht="20.100000000000001" customHeight="1" x14ac:dyDescent="0.25">
      <c r="A9" s="7" t="s">
        <v>0</v>
      </c>
      <c r="D9" s="81" t="s">
        <v>195</v>
      </c>
      <c r="E9" s="81" t="s">
        <v>1063</v>
      </c>
      <c r="F9" s="81" t="s">
        <v>1064</v>
      </c>
      <c r="G9" s="81" t="s">
        <v>1065</v>
      </c>
      <c r="H9" s="81" t="s">
        <v>1066</v>
      </c>
      <c r="I9" s="81" t="s">
        <v>1067</v>
      </c>
    </row>
    <row r="10" spans="1:10" ht="20.100000000000001" customHeight="1" x14ac:dyDescent="0.25">
      <c r="A10" s="5" t="str">
        <f>HYPERLINK("#'Input - Enterprise'!A1", "Enterprise")</f>
        <v>Enterprise</v>
      </c>
      <c r="D10" s="33" t="s">
        <v>1068</v>
      </c>
      <c r="E10" s="13" t="s">
        <v>1069</v>
      </c>
      <c r="F10" s="13" t="s">
        <v>1070</v>
      </c>
      <c r="G10" s="13" t="s">
        <v>1071</v>
      </c>
      <c r="H10" s="75">
        <v>50</v>
      </c>
      <c r="I10" s="13" t="s">
        <v>19</v>
      </c>
    </row>
    <row r="11" spans="1:10" ht="20.100000000000001" customHeight="1" x14ac:dyDescent="0.25">
      <c r="A11" s="5" t="str">
        <f>HYPERLINK("#'Input - Site'!A1", "Site")</f>
        <v>Site</v>
      </c>
      <c r="D11" s="33" t="s">
        <v>1072</v>
      </c>
      <c r="E11" s="13" t="s">
        <v>1069</v>
      </c>
      <c r="F11" s="13" t="s">
        <v>1070</v>
      </c>
      <c r="G11" s="13" t="s">
        <v>1073</v>
      </c>
      <c r="H11" s="75">
        <v>50</v>
      </c>
      <c r="I11" s="13" t="s">
        <v>1074</v>
      </c>
    </row>
    <row r="12" spans="1:10" ht="20.100000000000001" customHeight="1" x14ac:dyDescent="0.25">
      <c r="A12" s="5" t="str">
        <f>HYPERLINK("#'Input - Dairy'!A1", "Dairy")</f>
        <v>Dairy</v>
      </c>
      <c r="D12" s="33" t="s">
        <v>1075</v>
      </c>
      <c r="E12" s="13" t="s">
        <v>1069</v>
      </c>
      <c r="F12" s="13" t="s">
        <v>1076</v>
      </c>
      <c r="G12" s="13" t="s">
        <v>1071</v>
      </c>
      <c r="H12" s="75">
        <v>50</v>
      </c>
      <c r="I12" s="13" t="s">
        <v>19</v>
      </c>
    </row>
    <row r="13" spans="1:10" ht="20.100000000000001" customHeight="1" x14ac:dyDescent="0.25">
      <c r="A13" s="5" t="str">
        <f>HYPERLINK("#'Input - Livestock sales'!A1", "Livestock sales")</f>
        <v>Livestock sales</v>
      </c>
      <c r="D13" s="33" t="s">
        <v>1077</v>
      </c>
      <c r="E13" s="13" t="s">
        <v>1069</v>
      </c>
      <c r="F13" s="13" t="s">
        <v>1076</v>
      </c>
      <c r="G13" s="13" t="s">
        <v>1073</v>
      </c>
      <c r="H13" s="75">
        <v>50</v>
      </c>
      <c r="I13" s="13" t="s">
        <v>1074</v>
      </c>
    </row>
    <row r="14" spans="1:10" ht="20.100000000000001" customHeight="1" x14ac:dyDescent="0.25">
      <c r="A14" s="5" t="str">
        <f>HYPERLINK("#'Input - Dairy cattle purchases'!A1", "Dairy cattle purchases")</f>
        <v>Dairy cattle purchases</v>
      </c>
      <c r="D14" s="33" t="s">
        <v>1078</v>
      </c>
      <c r="E14" s="13" t="s">
        <v>1079</v>
      </c>
      <c r="F14" s="13" t="s">
        <v>1076</v>
      </c>
      <c r="G14" s="13" t="s">
        <v>1071</v>
      </c>
      <c r="H14" s="75">
        <v>50</v>
      </c>
      <c r="I14" s="13" t="s">
        <v>19</v>
      </c>
    </row>
    <row r="15" spans="1:10" ht="20.100000000000001" customHeight="1" x14ac:dyDescent="0.25">
      <c r="A15" s="5" t="str">
        <f>HYPERLINK("#'Input - Pasture'!A1", "Pasture")</f>
        <v>Pasture</v>
      </c>
      <c r="D15" s="33" t="s">
        <v>1080</v>
      </c>
      <c r="E15" s="13" t="s">
        <v>1079</v>
      </c>
      <c r="F15" s="13" t="s">
        <v>1076</v>
      </c>
      <c r="G15" s="13" t="s">
        <v>1071</v>
      </c>
      <c r="H15" s="75">
        <v>50</v>
      </c>
      <c r="I15" s="13" t="s">
        <v>1074</v>
      </c>
    </row>
    <row r="16" spans="1:10" ht="20.100000000000001" customHeight="1" x14ac:dyDescent="0.25">
      <c r="A16" s="5" t="str">
        <f>HYPERLINK("#'Input - Fert Prod System'!A1", "Fert Prod System")</f>
        <v>Fert Prod System</v>
      </c>
      <c r="D16" s="33" t="s">
        <v>1081</v>
      </c>
      <c r="E16" s="13" t="s">
        <v>1079</v>
      </c>
      <c r="F16" s="13" t="s">
        <v>1076</v>
      </c>
      <c r="G16" s="13" t="s">
        <v>1073</v>
      </c>
      <c r="H16" s="75">
        <v>50</v>
      </c>
      <c r="I16" s="13" t="s">
        <v>19</v>
      </c>
    </row>
    <row r="17" spans="1:11" ht="20.100000000000001" customHeight="1" x14ac:dyDescent="0.25">
      <c r="A17" s="5" t="str">
        <f>HYPERLINK("#'Input - Fertiliser'!A1", "Fertiliser")</f>
        <v>Fertiliser</v>
      </c>
      <c r="D17" s="33" t="s">
        <v>1082</v>
      </c>
      <c r="E17" s="13" t="s">
        <v>1079</v>
      </c>
      <c r="F17" s="13" t="s">
        <v>1076</v>
      </c>
      <c r="G17" s="13" t="s">
        <v>1073</v>
      </c>
      <c r="H17" s="75">
        <v>50</v>
      </c>
      <c r="I17" s="13" t="s">
        <v>1074</v>
      </c>
    </row>
    <row r="18" spans="1:11" ht="20.100000000000001" customHeight="1" x14ac:dyDescent="0.25">
      <c r="A18" s="5" t="str">
        <f>HYPERLINK("#'Input - Fuel'!A1", "Fuel")</f>
        <v>Fuel</v>
      </c>
      <c r="D18" s="33" t="s">
        <v>1083</v>
      </c>
      <c r="E18" s="13" t="s">
        <v>1079</v>
      </c>
      <c r="F18" s="13" t="s">
        <v>1070</v>
      </c>
      <c r="G18" s="13" t="s">
        <v>1071</v>
      </c>
      <c r="H18" s="75">
        <v>50</v>
      </c>
      <c r="I18" s="13" t="s">
        <v>19</v>
      </c>
    </row>
    <row r="19" spans="1:11" ht="20.100000000000001" customHeight="1" x14ac:dyDescent="0.25">
      <c r="A19" s="5" t="str">
        <f>HYPERLINK("#'Input - Electricity'!A1", "Electricity")</f>
        <v>Electricity</v>
      </c>
      <c r="D19" s="33" t="s">
        <v>1084</v>
      </c>
      <c r="E19" s="13" t="s">
        <v>1079</v>
      </c>
      <c r="F19" s="13" t="s">
        <v>1070</v>
      </c>
      <c r="G19" s="13" t="s">
        <v>1071</v>
      </c>
      <c r="H19" s="75">
        <v>50</v>
      </c>
      <c r="I19" s="13" t="s">
        <v>1074</v>
      </c>
    </row>
    <row r="20" spans="1:11" ht="20.100000000000001" customHeight="1" x14ac:dyDescent="0.25">
      <c r="A20" s="5" t="str">
        <f>HYPERLINK("#'Input - Common farm inputs'!A1", "Common farm inputs")</f>
        <v>Common farm inputs</v>
      </c>
      <c r="D20" s="33" t="s">
        <v>1085</v>
      </c>
      <c r="E20" s="13" t="s">
        <v>1079</v>
      </c>
      <c r="F20" s="13" t="s">
        <v>1070</v>
      </c>
      <c r="G20" s="13" t="s">
        <v>1073</v>
      </c>
      <c r="H20" s="75">
        <v>50</v>
      </c>
      <c r="I20" s="13" t="s">
        <v>19</v>
      </c>
    </row>
    <row r="21" spans="1:11" ht="20.100000000000001" customHeight="1" x14ac:dyDescent="0.25">
      <c r="A21" s="5" t="str">
        <f>HYPERLINK("#'Input - Crop pasture farm input'!A1", "Crop pasture farm input")</f>
        <v>Crop pasture farm input</v>
      </c>
      <c r="D21" s="33" t="s">
        <v>1086</v>
      </c>
      <c r="E21" s="13" t="s">
        <v>1079</v>
      </c>
      <c r="F21" s="13" t="s">
        <v>1070</v>
      </c>
      <c r="G21" s="13" t="s">
        <v>1073</v>
      </c>
      <c r="H21" s="75">
        <v>50</v>
      </c>
      <c r="I21" s="13" t="s">
        <v>1074</v>
      </c>
    </row>
    <row r="22" spans="1:11" ht="20.100000000000001" customHeight="1" x14ac:dyDescent="0.25">
      <c r="A22" s="5" t="str">
        <f>HYPERLINK("#'Input - Livestock farm Inputs'!A1", "Livestock farm Inputs")</f>
        <v>Livestock farm Inputs</v>
      </c>
      <c r="D22" s="33" t="s">
        <v>1087</v>
      </c>
      <c r="E22" s="13" t="s">
        <v>1079</v>
      </c>
      <c r="F22" s="13" t="s">
        <v>1088</v>
      </c>
      <c r="G22" s="13" t="s">
        <v>1071</v>
      </c>
      <c r="H22" s="75">
        <v>50</v>
      </c>
      <c r="I22" s="13" t="s">
        <v>19</v>
      </c>
    </row>
    <row r="23" spans="1:11" ht="20.100000000000001" customHeight="1" x14ac:dyDescent="0.25">
      <c r="A23" s="5" t="str">
        <f>HYPERLINK("#'Input - Freight'!A1", "Freight")</f>
        <v>Freight</v>
      </c>
      <c r="D23" s="33" t="s">
        <v>1089</v>
      </c>
      <c r="E23" s="13" t="s">
        <v>1079</v>
      </c>
      <c r="F23" s="13" t="s">
        <v>1088</v>
      </c>
      <c r="G23" s="13" t="s">
        <v>1071</v>
      </c>
      <c r="H23" s="75">
        <v>50</v>
      </c>
      <c r="I23" s="13" t="s">
        <v>1074</v>
      </c>
    </row>
    <row r="24" spans="1:11" ht="20.100000000000001" customHeight="1" x14ac:dyDescent="0.25">
      <c r="A24" s="99" t="str">
        <f>HYPERLINK("#'Input - Solid waste'!A1", "Solid waste")</f>
        <v>Solid waste</v>
      </c>
      <c r="D24" s="33" t="s">
        <v>1090</v>
      </c>
      <c r="E24" s="13" t="s">
        <v>1079</v>
      </c>
      <c r="F24" s="13" t="s">
        <v>1088</v>
      </c>
      <c r="G24" s="13" t="s">
        <v>1073</v>
      </c>
      <c r="H24" s="75">
        <v>50</v>
      </c>
      <c r="I24" s="13" t="s">
        <v>19</v>
      </c>
    </row>
    <row r="25" spans="1:11" ht="20.100000000000001" customHeight="1" x14ac:dyDescent="0.25">
      <c r="A25" s="5" t="str">
        <f>HYPERLINK("#'Input - Manure sent off-site'!A1", "Manure sent off-site")</f>
        <v>Manure sent off-site</v>
      </c>
      <c r="D25" s="33" t="s">
        <v>1091</v>
      </c>
      <c r="E25" s="13" t="s">
        <v>1079</v>
      </c>
      <c r="F25" s="13" t="s">
        <v>1088</v>
      </c>
      <c r="G25" s="13" t="s">
        <v>1073</v>
      </c>
      <c r="H25" s="75">
        <v>50</v>
      </c>
      <c r="I25" s="13" t="s">
        <v>1074</v>
      </c>
    </row>
    <row r="26" spans="1:11" ht="20.100000000000001" customHeight="1" x14ac:dyDescent="0.25">
      <c r="A26" s="5" t="str">
        <f>HYPERLINK("#'Input - Refrigerants'!A1", "Refrigerants")</f>
        <v>Refrigerants</v>
      </c>
      <c r="D26" s="33" t="s">
        <v>1092</v>
      </c>
      <c r="E26" s="13" t="s">
        <v>1093</v>
      </c>
      <c r="F26" s="13" t="s">
        <v>1070</v>
      </c>
      <c r="G26" s="13" t="s">
        <v>1073</v>
      </c>
      <c r="H26" s="75">
        <v>50</v>
      </c>
      <c r="I26" s="13" t="s">
        <v>19</v>
      </c>
    </row>
    <row r="27" spans="1:11" ht="20.100000000000001" customHeight="1" x14ac:dyDescent="0.25">
      <c r="A27" s="5" t="str">
        <f>HYPERLINK("#'Input - Data quality'!A1", "Data quality")</f>
        <v>Data quality</v>
      </c>
      <c r="D27" s="33" t="s">
        <v>1094</v>
      </c>
      <c r="E27" s="13" t="s">
        <v>1093</v>
      </c>
      <c r="F27" s="13" t="s">
        <v>1070</v>
      </c>
      <c r="G27" s="13" t="s">
        <v>1073</v>
      </c>
      <c r="H27" s="75">
        <v>50</v>
      </c>
      <c r="I27" s="13" t="s">
        <v>1074</v>
      </c>
    </row>
    <row r="28" spans="1:11" ht="20.100000000000001" customHeight="1" x14ac:dyDescent="0.25">
      <c r="D28" s="33" t="s">
        <v>1095</v>
      </c>
      <c r="E28" s="13" t="s">
        <v>1093</v>
      </c>
      <c r="F28" s="13" t="s">
        <v>1088</v>
      </c>
      <c r="G28" s="13" t="s">
        <v>1073</v>
      </c>
      <c r="H28" s="75">
        <v>50</v>
      </c>
      <c r="I28" s="13" t="s">
        <v>19</v>
      </c>
    </row>
    <row r="29" spans="1:11" ht="20.100000000000001" customHeight="1" x14ac:dyDescent="0.25">
      <c r="D29" s="33" t="s">
        <v>1096</v>
      </c>
      <c r="E29" s="13" t="s">
        <v>1093</v>
      </c>
      <c r="F29" s="13" t="s">
        <v>1088</v>
      </c>
      <c r="G29" s="13" t="s">
        <v>1073</v>
      </c>
      <c r="H29" s="75">
        <v>50</v>
      </c>
      <c r="I29" s="13" t="s">
        <v>1074</v>
      </c>
      <c r="K29" s="172"/>
    </row>
    <row r="30" spans="1:11" ht="20.100000000000001" customHeight="1" x14ac:dyDescent="0.25">
      <c r="A30" s="6" t="s">
        <v>2</v>
      </c>
      <c r="D30" s="33" t="s">
        <v>1097</v>
      </c>
      <c r="E30" s="13" t="s">
        <v>1093</v>
      </c>
      <c r="F30" s="13" t="s">
        <v>1088</v>
      </c>
      <c r="G30" s="13" t="s">
        <v>1071</v>
      </c>
      <c r="H30" s="75">
        <v>50</v>
      </c>
      <c r="I30" s="13" t="s">
        <v>19</v>
      </c>
      <c r="K30" s="172"/>
    </row>
    <row r="31" spans="1:11" ht="20.100000000000001" customHeight="1" x14ac:dyDescent="0.25">
      <c r="A31" s="5" t="str">
        <f>HYPERLINK("#'3.3.1.1-2 Enteric Methane'!A1", "3.3.1.1-2 Enteric methane")</f>
        <v>3.3.1.1-2 Enteric methane</v>
      </c>
      <c r="D31" s="33" t="s">
        <v>1098</v>
      </c>
      <c r="E31" s="13" t="s">
        <v>1093</v>
      </c>
      <c r="F31" s="13" t="s">
        <v>1088</v>
      </c>
      <c r="G31" s="13" t="s">
        <v>1071</v>
      </c>
      <c r="H31" s="75">
        <v>50</v>
      </c>
      <c r="I31" s="13" t="s">
        <v>1074</v>
      </c>
      <c r="K31" s="172"/>
    </row>
    <row r="32" spans="1:11" ht="20.100000000000001" customHeight="1" x14ac:dyDescent="0.25">
      <c r="A32" s="5" t="str">
        <f>HYPERLINK("#'4.3.1.1-2 Methane'!A1", "4.3.1.1-2 Manure methane")</f>
        <v>4.3.1.1-2 Manure methane</v>
      </c>
      <c r="D32" s="33" t="s">
        <v>1096</v>
      </c>
      <c r="E32" s="13" t="s">
        <v>1093</v>
      </c>
      <c r="F32" s="13" t="s">
        <v>1088</v>
      </c>
      <c r="G32" s="13" t="s">
        <v>1073</v>
      </c>
      <c r="H32" s="75">
        <v>50</v>
      </c>
      <c r="I32" s="13" t="s">
        <v>1074</v>
      </c>
      <c r="K32" s="172"/>
    </row>
    <row r="33" spans="1:12" ht="20.100000000000001" customHeight="1" x14ac:dyDescent="0.25">
      <c r="A33" s="5" t="str">
        <f>HYPERLINK("#'4.3.1.3-4 Direct N20'!A1", "4.3.1.3-4 Direct N20")</f>
        <v>4.3.1.3-4 Direct N20</v>
      </c>
      <c r="K33" s="172"/>
    </row>
    <row r="34" spans="1:12" ht="20.100000000000001" customHeight="1" x14ac:dyDescent="0.25">
      <c r="A34" s="5" t="str">
        <f>HYPERLINK("#'4.3.1.5 Atmos deposition'!A1", "4.3.1.5 Atmos deposition")</f>
        <v>4.3.1.5 Atmos deposition</v>
      </c>
      <c r="K34" s="172"/>
    </row>
    <row r="35" spans="1:12" ht="20.100000000000001" customHeight="1" x14ac:dyDescent="0.25">
      <c r="A35" s="5" t="str">
        <f>HYPERLINK("#'4.3.1.6-7 Leaching and runoff'!A1", "4.3.1.6-7 Leaching &amp; runoff")</f>
        <v>4.3.1.6-7 Leaching &amp; runoff</v>
      </c>
    </row>
    <row r="36" spans="1:12" ht="20.100000000000001" customHeight="1" x14ac:dyDescent="0.25">
      <c r="A36" s="5" t="str">
        <f>HYPERLINK("#'4.3.1.8 Manure applied to soils'!A1", "4.3.1.8 Manure applied to soils")</f>
        <v>4.3.1.8 Manure applied to soils</v>
      </c>
      <c r="L36" s="172"/>
    </row>
    <row r="37" spans="1:12" ht="20.100000000000001" customHeight="1" x14ac:dyDescent="0.25">
      <c r="A37" s="5" t="str">
        <f>HYPERLINK("#'4.3.1.9 Soil direct N2O'!A1", "4.3.1.9 Soil direct N2O")</f>
        <v>4.3.1.9 Soil direct N2O</v>
      </c>
      <c r="L37" s="172"/>
    </row>
    <row r="38" spans="1:12" ht="20.100000000000001" customHeight="1" x14ac:dyDescent="0.25">
      <c r="A38" s="5" t="str">
        <f>HYPERLINK("#'4.3.1.10-11 Soil Atmos Dep'!A1", "4.3.1.10-11 Soil Atmos Deposition")</f>
        <v>4.3.1.10-11 Soil Atmos Deposition</v>
      </c>
      <c r="C38" s="160"/>
    </row>
    <row r="39" spans="1:12" ht="20.100000000000001" customHeight="1" x14ac:dyDescent="0.25">
      <c r="A39" s="5" t="str">
        <f>HYPERLINK("#'4.3.1.12-13 Soil leach runoff'!A1", "4.3.1.12-13 Soil leach &amp; runoff")</f>
        <v>4.3.1.12-13 Soil leach &amp; runoff</v>
      </c>
      <c r="C39" s="160"/>
      <c r="J39" s="160"/>
    </row>
    <row r="40" spans="1:12" s="172" customFormat="1" ht="20.100000000000001" customHeight="1" x14ac:dyDescent="0.25">
      <c r="A40" s="5" t="str">
        <f>HYPERLINK("#'5.1.1.1-2 Inorganic fert N2O'!A1", "5.1.1.1-2 Inorganic fert N2O")</f>
        <v>5.1.1.1-2 Inorganic fert N2O</v>
      </c>
      <c r="C40" s="1"/>
      <c r="D40" s="1"/>
      <c r="E40" s="1"/>
      <c r="F40" s="1"/>
      <c r="G40" s="1"/>
      <c r="H40" s="1"/>
      <c r="I40" s="1"/>
      <c r="J40" s="1"/>
    </row>
    <row r="41" spans="1:12" s="172" customFormat="1" ht="20.100000000000001" customHeight="1" x14ac:dyDescent="0.25">
      <c r="A41" s="5" t="str">
        <f>HYPERLINK("#'5.1.1.3-4 Inorganic fert CO2'!A1", "5.1.1.3-4 Inorganic fert CO2")</f>
        <v>5.1.1.3-4 Inorganic fert CO2</v>
      </c>
      <c r="C41" s="1"/>
      <c r="D41" s="1"/>
      <c r="E41" s="1"/>
      <c r="F41" s="1"/>
      <c r="G41" s="1"/>
      <c r="H41" s="1"/>
      <c r="I41" s="1"/>
      <c r="J41" s="1"/>
      <c r="L41" s="172" t="s">
        <v>607</v>
      </c>
    </row>
    <row r="42" spans="1:12" ht="20.100000000000001" customHeight="1" x14ac:dyDescent="0.25">
      <c r="A42" s="5" t="str">
        <f>HYPERLINK("#'5.2.1.1-2 Organic Fert N2O'!A1", "5.2.1.1-2 Organic fert N2O")</f>
        <v>5.2.1.1-2 Organic fert N2O</v>
      </c>
    </row>
    <row r="43" spans="1:12" ht="20.100000000000001" customHeight="1" x14ac:dyDescent="0.25">
      <c r="A43" s="5" t="str">
        <f>HYPERLINK("#'5.3.1.1-2 Lime CO2'!A1", "5.3.1.1-2 Lime CO2")</f>
        <v>5.3.1.1-2 Lime CO2</v>
      </c>
    </row>
    <row r="44" spans="1:12" ht="20.100000000000001" customHeight="1" x14ac:dyDescent="0.25">
      <c r="A44" s="5" t="str">
        <f>HYPERLINK("#'5.4.1.1-4 Atmos deposition'!A1", "5.4.1.1-4 Atmos. deposition")</f>
        <v>5.4.1.1-4 Atmos. deposition</v>
      </c>
    </row>
    <row r="45" spans="1:12" ht="20.100000000000001" customHeight="1" x14ac:dyDescent="0.25">
      <c r="A45" s="5" t="str">
        <f>HYPERLINK("#'5.5.1.1-2 Leaching and runoff'!A1", "5.5.1.1-2 Leaching &amp; runoff")</f>
        <v>5.5.1.1-2 Leaching &amp; runoff</v>
      </c>
    </row>
    <row r="46" spans="1:12" ht="20.100000000000001" customHeight="1" x14ac:dyDescent="0.25">
      <c r="A46" s="5" t="str">
        <f>HYPERLINK("#'6.2.1.1-2 Pasture residue N2O'!A1", "6.2.1.1-2 Pasture residue N2O")</f>
        <v>6.2.1.1-2 Pasture residue N2O</v>
      </c>
    </row>
    <row r="47" spans="1:12" ht="20.100000000000001" customHeight="1" x14ac:dyDescent="0.25">
      <c r="A47" s="5" t="str">
        <f>HYPERLINK("#'6.3.1.1-2 Leach runoff pasture'!A1", "6.3.1.1-2 Leach &amp; runoff (pasture)")</f>
        <v>6.3.1.1-2 Leach &amp; runoff (pasture)</v>
      </c>
    </row>
    <row r="48" spans="1:12" ht="20.100000000000001" customHeight="1" x14ac:dyDescent="0.25">
      <c r="A48" s="5" t="str">
        <f>HYPERLINK("#'8.1.1.1-2 Transport fuel'!A1", "8.1.1.1-2 Transport fuel")</f>
        <v>8.1.1.1-2 Transport fuel</v>
      </c>
    </row>
    <row r="49" spans="1:1" ht="20.100000000000001" customHeight="1" x14ac:dyDescent="0.25">
      <c r="A49" s="5" t="str">
        <f>HYPERLINK("#'8.2.1.1-2 Stationary fuel'!A1", "8.2.1.1-2 Stationary fuel")</f>
        <v>8.2.1.1-2 Stationary fuel</v>
      </c>
    </row>
    <row r="50" spans="1:1" ht="20.100000000000001" customHeight="1" x14ac:dyDescent="0.25">
      <c r="A50" s="5" t="str">
        <f>HYPERLINK("#'9.1.1.1-2 Refrigerant use'!A1", "9.1.1.1-2 Refrigerant use")</f>
        <v>9.1.1.1-2 Refrigerant use</v>
      </c>
    </row>
    <row r="51" spans="1:1" ht="20.100000000000001" customHeight="1" x14ac:dyDescent="0.25">
      <c r="A51" s="5" t="str">
        <f>HYPERLINK("#'10.1.1-2 Solid waste treatment'!A1", "10.1.1.1-2 Solid waste")</f>
        <v>10.1.1.1-2 Solid waste</v>
      </c>
    </row>
    <row r="52" spans="1:1" ht="20.100000000000001" customHeight="1" x14ac:dyDescent="0.25">
      <c r="A52" s="5" t="str">
        <f>HYPERLINK("#'14.1.1-2 Purchased electricity'!A1", "14.1.1-2 Purchased electricity")</f>
        <v>14.1.1-2 Purchased electricity</v>
      </c>
    </row>
    <row r="53" spans="1:1" ht="20.100000000000001" customHeight="1" x14ac:dyDescent="0.25">
      <c r="A53" s="5" t="str">
        <f>HYPERLINK("#'15 Scope 3'!A1", "15 Scope 3")</f>
        <v>15 Scope 3</v>
      </c>
    </row>
    <row r="54" spans="1:1" ht="20.100000000000001" customHeight="1" x14ac:dyDescent="0.25">
      <c r="A54" s="5" t="str">
        <f>HYPERLINK("#'Calcs - Manure sent off-site'!A1", "Calcs - Manure sent off-site")</f>
        <v>Calcs - Manure sent off-site</v>
      </c>
    </row>
    <row r="55" spans="1:1" ht="20.100000000000001" customHeight="1" x14ac:dyDescent="0.25"/>
    <row r="56" spans="1:1" ht="20.100000000000001" customHeight="1" x14ac:dyDescent="0.25"/>
    <row r="57" spans="1:1" ht="20.100000000000001" customHeight="1" x14ac:dyDescent="0.25">
      <c r="A57" s="82" t="s">
        <v>1</v>
      </c>
    </row>
    <row r="58" spans="1:1" ht="20.100000000000001" customHeight="1" x14ac:dyDescent="0.25">
      <c r="A58" s="5" t="str">
        <f>HYPERLINK("#'Constants - Dairy'!A1", "Constants - Dairy")</f>
        <v>Constants - Dairy</v>
      </c>
    </row>
    <row r="59" spans="1:1" ht="20.100000000000001" customHeight="1" x14ac:dyDescent="0.25">
      <c r="A59" s="5" t="str">
        <f>HYPERLINK("#'Constants - Ag Residue'!A1", "Constants - Ag residue")</f>
        <v>Constants - Ag residue</v>
      </c>
    </row>
    <row r="60" spans="1:1" ht="20.100000000000001" customHeight="1" x14ac:dyDescent="0.25">
      <c r="A60" s="5" t="str">
        <f>HYPERLINK("#'Constants - Common Livestock'!A1", "Constants - Common Livestock")</f>
        <v>Constants - Common Livestock</v>
      </c>
    </row>
    <row r="61" spans="1:1" ht="20.100000000000001" customHeight="1" x14ac:dyDescent="0.25">
      <c r="A61" s="5" t="str">
        <f>HYPERLINK("#'Constants - Electricity'!A1", "Constants - Electricity")</f>
        <v>Constants - Electricity</v>
      </c>
    </row>
    <row r="62" spans="1:1" ht="20.100000000000001" customHeight="1" x14ac:dyDescent="0.25">
      <c r="A62" s="5" t="str">
        <f>HYPERLINK("#'Constants - Fertiliser'!A1", "Constants - Fertiliser")</f>
        <v>Constants - Fertiliser</v>
      </c>
    </row>
    <row r="63" spans="1:1" ht="20.100000000000001" customHeight="1" x14ac:dyDescent="0.25">
      <c r="A63" s="5" t="str">
        <f>HYPERLINK("#'Constants - Fuel'!A1", "Constants - Fuel")</f>
        <v>Constants - Fuel</v>
      </c>
    </row>
    <row r="64" spans="1:1" ht="20.100000000000001" customHeight="1" x14ac:dyDescent="0.25">
      <c r="A64" s="5" t="str">
        <f>HYPERLINK("#'Constants - Scope 3'!A1", "Constants - Scope 3")</f>
        <v>Constants - Scope 3</v>
      </c>
    </row>
    <row r="65" spans="1:4" ht="20.100000000000001" customHeight="1" x14ac:dyDescent="0.25">
      <c r="A65" s="5" t="str">
        <f>HYPERLINK("#'Constants - Common'!A1", "Constants - Common")</f>
        <v>Constants - Common</v>
      </c>
    </row>
    <row r="66" spans="1:4" ht="20.100000000000001" customHeight="1" x14ac:dyDescent="0.25">
      <c r="A66" s="5" t="str">
        <f>HYPERLINK("#'Constants - Refrigerants'!A1", "Constants - Refrigerants")</f>
        <v>Constants - Refrigerants</v>
      </c>
    </row>
    <row r="67" spans="1:4" ht="20.100000000000001" customHeight="1" x14ac:dyDescent="0.25">
      <c r="A67" s="5" t="str">
        <f>HYPERLINK("#'Constants - Solid Waste'!A1", "Constants - Solid Waste")</f>
        <v>Constants - Solid Waste</v>
      </c>
    </row>
    <row r="68" spans="1:4" ht="20.100000000000001" customHeight="1" x14ac:dyDescent="0.25">
      <c r="A68" s="5" t="str">
        <f>HYPERLINK("#'Acknowledgements'!A1", "Acknowledgements")</f>
        <v>Acknowledgements</v>
      </c>
    </row>
    <row r="69" spans="1:4" ht="20.100000000000001" customHeight="1" x14ac:dyDescent="0.25"/>
    <row r="70" spans="1:4" ht="20.100000000000001" customHeight="1" x14ac:dyDescent="0.25"/>
    <row r="71" spans="1:4" ht="20.100000000000001" customHeight="1" x14ac:dyDescent="0.25"/>
    <row r="72" spans="1:4" ht="20.100000000000001" customHeight="1" x14ac:dyDescent="0.25"/>
    <row r="73" spans="1:4" ht="20.100000000000001" customHeight="1" x14ac:dyDescent="0.25">
      <c r="D73" s="199"/>
    </row>
    <row r="74" spans="1:4" ht="20.100000000000001" customHeight="1" x14ac:dyDescent="0.25"/>
    <row r="75" spans="1:4" ht="20.100000000000001" customHeight="1" x14ac:dyDescent="0.25">
      <c r="D75" s="199"/>
    </row>
    <row r="76" spans="1:4" ht="20.100000000000001" customHeight="1" x14ac:dyDescent="0.25">
      <c r="D76" s="199"/>
    </row>
    <row r="77" spans="1:4" ht="20.100000000000001" customHeight="1" x14ac:dyDescent="0.25"/>
    <row r="78" spans="1:4" ht="20.100000000000001" customHeight="1" x14ac:dyDescent="0.25"/>
    <row r="79" spans="1:4" ht="20.100000000000001" customHeight="1" x14ac:dyDescent="0.25"/>
    <row r="80" spans="1:4"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79"/>
    </row>
  </sheetData>
  <conditionalFormatting sqref="F162:F163">
    <cfRule type="cellIs" dxfId="28" priority="7" operator="lessThan">
      <formula>0</formula>
    </cfRule>
  </conditionalFormatting>
  <conditionalFormatting sqref="F174:F175">
    <cfRule type="cellIs" dxfId="27" priority="6" operator="lessThan">
      <formula>0</formula>
    </cfRule>
  </conditionalFormatting>
  <conditionalFormatting sqref="F186:F187">
    <cfRule type="cellIs" dxfId="26" priority="5" operator="lessThan">
      <formula>0</formula>
    </cfRule>
  </conditionalFormatting>
  <conditionalFormatting sqref="F274:F275">
    <cfRule type="cellIs" dxfId="25" priority="17" operator="lessThan">
      <formula>0</formula>
    </cfRule>
  </conditionalFormatting>
  <conditionalFormatting sqref="F279:F280">
    <cfRule type="cellIs" dxfId="24" priority="16" operator="lessThan">
      <formula>0</formula>
    </cfRule>
  </conditionalFormatting>
  <conditionalFormatting sqref="F284:F285">
    <cfRule type="cellIs" dxfId="23" priority="15" operator="lessThan">
      <formula>0</formula>
    </cfRule>
  </conditionalFormatting>
  <conditionalFormatting sqref="F308:F309">
    <cfRule type="cellIs" dxfId="22" priority="14" operator="lessThan">
      <formula>0</formula>
    </cfRule>
  </conditionalFormatting>
  <conditionalFormatting sqref="F313:F314">
    <cfRule type="cellIs" dxfId="21" priority="13" operator="lessThan">
      <formula>0</formula>
    </cfRule>
  </conditionalFormatting>
  <conditionalFormatting sqref="F318:F319">
    <cfRule type="cellIs" dxfId="20" priority="12" operator="lessThan">
      <formula>0</formula>
    </cfRule>
  </conditionalFormatting>
  <conditionalFormatting sqref="I33 F71">
    <cfRule type="cellIs" dxfId="19" priority="9" operator="lessThan">
      <formula>0</formula>
    </cfRule>
  </conditionalFormatting>
  <conditionalFormatting sqref="I79:I83">
    <cfRule type="cellIs" dxfId="18" priority="4" operator="lessThan">
      <formula>0</formula>
    </cfRule>
  </conditionalFormatting>
  <conditionalFormatting sqref="I87 I146">
    <cfRule type="cellIs" dxfId="17" priority="10" operator="lessThan">
      <formula>0</formula>
    </cfRule>
  </conditionalFormatting>
  <conditionalFormatting sqref="I98:I100">
    <cfRule type="cellIs" dxfId="16" priority="3" operator="lessThan">
      <formula>0</formula>
    </cfRule>
  </conditionalFormatting>
  <conditionalFormatting sqref="I104:I107">
    <cfRule type="cellIs" dxfId="15" priority="2" operator="lessThan">
      <formula>0</formula>
    </cfRule>
  </conditionalFormatting>
  <conditionalFormatting sqref="I111:I115">
    <cfRule type="cellIs" dxfId="14" priority="1" operator="lessThan">
      <formula>0</formula>
    </cfRule>
  </conditionalFormatting>
  <conditionalFormatting sqref="J8 I65:I66 H67:H69 I68 I70:I72 I74:I75 I226 I232 E234:G234">
    <cfRule type="cellIs" dxfId="13" priority="11" operator="lessThan">
      <formula>0</formula>
    </cfRule>
  </conditionalFormatting>
  <conditionalFormatting sqref="J37 I59 F150:F151">
    <cfRule type="cellIs" dxfId="12" priority="8" operator="lessThan">
      <formula>0</formula>
    </cfRule>
  </conditionalFormatting>
  <dataValidations count="9">
    <dataValidation type="list" allowBlank="1" showInputMessage="1" showErrorMessage="1" sqref="F10:F32" xr:uid="{7668CFB1-1D1E-4103-B341-E6E9C269B8C1}">
      <formula1>INDIRECT("Table_WasteTypes_" &amp; SUBSTITUTE(E10, " ", "") &amp; "[Waste type w]")</formula1>
    </dataValidation>
    <dataValidation type="list" allowBlank="1" showInputMessage="1" showErrorMessage="1" sqref="I10:I32" xr:uid="{D831C8B3-924A-40D2-AD4D-822865ADEAC0}">
      <formula1>"tonnes, cubic metres m3"</formula1>
    </dataValidation>
    <dataValidation type="list" allowBlank="1" showInputMessage="1" showErrorMessage="1" sqref="G10:G32" xr:uid="{CA514AE4-6C12-496A-A9CC-1576065B3933}">
      <formula1>"Treated on-site, Removed and treated off-site"</formula1>
    </dataValidation>
    <dataValidation type="list" allowBlank="1" showInputMessage="1" showErrorMessage="1" sqref="E10:E32" xr:uid="{3A67B60F-7B5D-4899-A81F-44BAE66F644E}">
      <formula1>INDIRECT(_xlfn.UNIQUE("Table_SourceData_WasteSolid_WasteTreatmentEFs[Treatment type t]"))</formula1>
    </dataValidation>
    <dataValidation type="list" allowBlank="1" showInputMessage="1" showErrorMessage="1" sqref="E35" xr:uid="{2BA944FB-3F6E-4D44-ACD3-46F6FC4A4A0B}">
      <formula1>INDIRECT("Table_SourceData_ElectricityEFs[State, Territory or grid description]")</formula1>
    </dataValidation>
    <dataValidation type="list" allowBlank="1" showInputMessage="1" showErrorMessage="1" sqref="E89" xr:uid="{ECE82457-BC52-44E0-9FFB-48C5478ABCFB}">
      <formula1>INDIRECT("Table_SourceData_Swine_IrrigationMethods[Irrigation method]")</formula1>
    </dataValidation>
    <dataValidation type="list" allowBlank="1" showInputMessage="1" showErrorMessage="1" sqref="E273 E278 E283 E317 E312 E307 E185 E173 E149 E161" xr:uid="{CFDF43EB-6C98-454D-9EAD-86A83C4B4E5E}">
      <formula1>"Yes, No"</formula1>
    </dataValidation>
    <dataValidation type="list" allowBlank="1" showInputMessage="1" showErrorMessage="1" sqref="E249" xr:uid="{737E7586-3894-4E04-B6E2-62093D2F1070}">
      <formula1>INDIRECT("Table_SourceData_Dairy_ProductionSystemTemplates[Area]")</formula1>
    </dataValidation>
    <dataValidation type="list" allowBlank="1" showInputMessage="1" showErrorMessage="1" sqref="D301" xr:uid="{CDB35EF0-321F-44A3-875D-635F5BDF05FB}">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F9CF3-D00F-4663-8F75-0CA29F47DE26}">
  <sheetPr>
    <tabColor theme="5" tint="-0.249977111117893"/>
  </sheetPr>
  <dimension ref="A1:K160"/>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style="259" customWidth="1"/>
    <col min="2" max="2" width="5.28515625" style="259" customWidth="1"/>
    <col min="3" max="3" width="5.28515625" style="1" customWidth="1"/>
    <col min="4" max="10" width="35" style="1" customWidth="1"/>
    <col min="11" max="11" width="5.28515625" style="1" customWidth="1"/>
    <col min="12" max="16384" width="9.140625" style="259"/>
  </cols>
  <sheetData>
    <row r="1" spans="1:11" ht="25.5" x14ac:dyDescent="0.35">
      <c r="A1" s="10" t="e" vm="1">
        <v>#VALUE!</v>
      </c>
      <c r="C1" s="10" t="s">
        <v>1301</v>
      </c>
      <c r="D1" s="10"/>
      <c r="E1" s="10"/>
      <c r="F1" s="10"/>
      <c r="G1" s="10"/>
      <c r="H1" s="10"/>
      <c r="I1" s="10"/>
      <c r="J1" s="10"/>
      <c r="K1" s="10"/>
    </row>
    <row r="2" spans="1:11" s="3" customFormat="1" x14ac:dyDescent="0.25">
      <c r="A2"/>
    </row>
    <row r="3" spans="1:11" ht="20.25" x14ac:dyDescent="0.25">
      <c r="A3" s="5" t="str">
        <f>HYPERLINK("#'Home'!A1", "Home")</f>
        <v>Home</v>
      </c>
      <c r="C3" s="28"/>
      <c r="D3" s="28"/>
      <c r="E3" s="28"/>
      <c r="F3" s="28"/>
      <c r="G3" s="28"/>
      <c r="H3" s="28"/>
      <c r="I3" s="28"/>
      <c r="J3" s="28"/>
      <c r="K3" s="28"/>
    </row>
    <row r="4" spans="1:11" x14ac:dyDescent="0.25">
      <c r="A4" s="5" t="str">
        <f>HYPERLINK("#'Results - Activity period'!A1", "Results - Activity period")</f>
        <v>Results - Activity period</v>
      </c>
    </row>
    <row r="5" spans="1:11" ht="23.25" x14ac:dyDescent="0.25">
      <c r="A5" s="5" t="str">
        <f>HYPERLINK("#'Results - Product EI'!A1", "Results - Product Emissions Intensity")</f>
        <v>Results - Product Emissions Intensity</v>
      </c>
      <c r="D5" s="2" t="s">
        <v>1302</v>
      </c>
    </row>
    <row r="6" spans="1:11" x14ac:dyDescent="0.25">
      <c r="A6" s="5" t="str">
        <f>HYPERLINK("#'Results'!A1", "Results")</f>
        <v>Results</v>
      </c>
    </row>
    <row r="7" spans="1:11" x14ac:dyDescent="0.25">
      <c r="A7"/>
      <c r="D7" s="1" t="s">
        <v>1303</v>
      </c>
    </row>
    <row r="8" spans="1:11" ht="18.75" x14ac:dyDescent="0.25">
      <c r="A8"/>
      <c r="D8" s="1" t="s">
        <v>1304</v>
      </c>
    </row>
    <row r="9" spans="1:11" x14ac:dyDescent="0.25">
      <c r="A9" s="7" t="s">
        <v>0</v>
      </c>
    </row>
    <row r="10" spans="1:11" x14ac:dyDescent="0.25">
      <c r="A10" s="5" t="str">
        <f>HYPERLINK("#'Input - Enterprise'!A1", "Enterprise")</f>
        <v>Enterprise</v>
      </c>
      <c r="D10" s="1" t="s">
        <v>1305</v>
      </c>
      <c r="F10" s="75">
        <v>1000</v>
      </c>
      <c r="G10" s="16" t="s">
        <v>1306</v>
      </c>
    </row>
    <row r="11" spans="1:11" x14ac:dyDescent="0.25">
      <c r="A11" s="5" t="str">
        <f>HYPERLINK("#'Input - Site'!A1", "Site")</f>
        <v>Site</v>
      </c>
      <c r="D11" s="1" t="s">
        <v>1307</v>
      </c>
      <c r="F11" s="75">
        <v>2000</v>
      </c>
      <c r="G11" s="16" t="s">
        <v>1306</v>
      </c>
    </row>
    <row r="12" spans="1:11" x14ac:dyDescent="0.25">
      <c r="A12" s="5" t="str">
        <f>HYPERLINK("#'Input - Dairy'!A1", "Dairy")</f>
        <v>Dairy</v>
      </c>
    </row>
    <row r="13" spans="1:11" x14ac:dyDescent="0.25">
      <c r="A13" s="5" t="str">
        <f>HYPERLINK("#'Input - Livestock sales'!A1", "Livestock sales")</f>
        <v>Livestock sales</v>
      </c>
      <c r="D13" s="1" t="s">
        <v>1308</v>
      </c>
      <c r="F13" s="13" t="s">
        <v>839</v>
      </c>
      <c r="G13" s="16" t="s">
        <v>100</v>
      </c>
    </row>
    <row r="14" spans="1:11" x14ac:dyDescent="0.25">
      <c r="A14" s="5" t="str">
        <f>HYPERLINK("#'Input - Dairy cattle purchases'!A1", "Dairy cattle purchases")</f>
        <v>Dairy cattle purchases</v>
      </c>
      <c r="D14" s="1" t="s">
        <v>1309</v>
      </c>
      <c r="F14" s="13" t="s">
        <v>380</v>
      </c>
      <c r="G14" s="16" t="s">
        <v>100</v>
      </c>
    </row>
    <row r="15" spans="1:11" x14ac:dyDescent="0.25">
      <c r="A15" s="5" t="str">
        <f>HYPERLINK("#'Input - Pasture'!A1", "Pasture")</f>
        <v>Pasture</v>
      </c>
    </row>
    <row r="16" spans="1:11" x14ac:dyDescent="0.25">
      <c r="A16" s="5" t="str">
        <f>HYPERLINK("#'Input - Fert Prod System'!A1", "Fert Prod System")</f>
        <v>Fert Prod System</v>
      </c>
    </row>
    <row r="17" spans="1:1" x14ac:dyDescent="0.25">
      <c r="A17" s="5" t="str">
        <f>HYPERLINK("#'Input - Fertiliser'!A1", "Fertiliser")</f>
        <v>Fertiliser</v>
      </c>
    </row>
    <row r="18" spans="1:1" x14ac:dyDescent="0.25">
      <c r="A18" s="5" t="str">
        <f>HYPERLINK("#'Input - Fuel'!A1", "Fuel")</f>
        <v>Fuel</v>
      </c>
    </row>
    <row r="19" spans="1:1" x14ac:dyDescent="0.25">
      <c r="A19" s="5" t="str">
        <f>HYPERLINK("#'Input - Electricity'!A1", "Electricity")</f>
        <v>Electricity</v>
      </c>
    </row>
    <row r="20" spans="1:1" x14ac:dyDescent="0.25">
      <c r="A20" s="5" t="str">
        <f>HYPERLINK("#'Input - Common farm inputs'!A1", "Common farm inputs")</f>
        <v>Common farm inputs</v>
      </c>
    </row>
    <row r="21" spans="1:1" x14ac:dyDescent="0.25">
      <c r="A21" s="5" t="str">
        <f>HYPERLINK("#'Input - Crop pasture farm input'!A1", "Crop pasture farm input")</f>
        <v>Crop pasture farm input</v>
      </c>
    </row>
    <row r="22" spans="1:1" x14ac:dyDescent="0.25">
      <c r="A22" s="5" t="str">
        <f>HYPERLINK("#'Input - Livestock farm Inputs'!A1", "Livestock farm Inputs")</f>
        <v>Livestock farm Inputs</v>
      </c>
    </row>
    <row r="23" spans="1:1" x14ac:dyDescent="0.25">
      <c r="A23" s="5" t="str">
        <f>HYPERLINK("#'Input - Freight'!A1", "Freight")</f>
        <v>Freight</v>
      </c>
    </row>
    <row r="24" spans="1:1" x14ac:dyDescent="0.25">
      <c r="A24" s="5" t="str">
        <f>HYPERLINK("#'Input - Solid waste'!A1", "Solid waste")</f>
        <v>Solid waste</v>
      </c>
    </row>
    <row r="25" spans="1:1" x14ac:dyDescent="0.25">
      <c r="A25" s="99" t="str">
        <f>HYPERLINK("#'Input - Manure sent off-site'!A1", "Manure sent off-site")</f>
        <v>Manure sent off-site</v>
      </c>
    </row>
    <row r="26" spans="1:1" x14ac:dyDescent="0.25">
      <c r="A26" s="5" t="str">
        <f>HYPERLINK("#'Input - Refrigerants'!A1", "Refrigerants")</f>
        <v>Refrigerants</v>
      </c>
    </row>
    <row r="27" spans="1:1" x14ac:dyDescent="0.25">
      <c r="A27" s="5" t="str">
        <f>HYPERLINK("#'Input - Data quality'!A1", "Data quality")</f>
        <v>Data quality</v>
      </c>
    </row>
    <row r="28" spans="1:1" x14ac:dyDescent="0.25">
      <c r="A28"/>
    </row>
    <row r="29" spans="1:1" x14ac:dyDescent="0.25">
      <c r="A29"/>
    </row>
    <row r="30" spans="1:1" x14ac:dyDescent="0.25">
      <c r="A30" s="6" t="s">
        <v>2</v>
      </c>
    </row>
    <row r="31" spans="1:1" x14ac:dyDescent="0.25">
      <c r="A31" s="5" t="str">
        <f>HYPERLINK("#'3.3.1.1-2 Enteric Methane'!A1", "3.3.1.1-2 Enteric methane")</f>
        <v>3.3.1.1-2 Enteric methane</v>
      </c>
    </row>
    <row r="32" spans="1:1" x14ac:dyDescent="0.25">
      <c r="A32" s="5" t="str">
        <f>HYPERLINK("#'4.3.1.1-2 Methane'!A1", "4.3.1.1-2 Manure methane")</f>
        <v>4.3.1.1-2 Manure methane</v>
      </c>
    </row>
    <row r="33" spans="1:1" x14ac:dyDescent="0.25">
      <c r="A33" s="5" t="str">
        <f>HYPERLINK("#'4.3.1.3-4 Direct N20'!A1", "4.3.1.3-4 Direct N20")</f>
        <v>4.3.1.3-4 Direct N20</v>
      </c>
    </row>
    <row r="34" spans="1:1" x14ac:dyDescent="0.25">
      <c r="A34" s="5" t="str">
        <f>HYPERLINK("#'4.3.1.5 Atmos deposition'!A1", "4.3.1.5 Atmos deposition")</f>
        <v>4.3.1.5 Atmos deposition</v>
      </c>
    </row>
    <row r="35" spans="1:1" x14ac:dyDescent="0.25">
      <c r="A35" s="5" t="str">
        <f>HYPERLINK("#'4.3.1.6-7 Leaching and runoff'!A1", "4.3.1.6-7 Leaching &amp; runoff")</f>
        <v>4.3.1.6-7 Leaching &amp; runoff</v>
      </c>
    </row>
    <row r="36" spans="1:1" x14ac:dyDescent="0.25">
      <c r="A36" s="5" t="str">
        <f>HYPERLINK("#'4.3.1.8 Manure applied to soils'!A1", "4.3.1.8 Manure applied to soils")</f>
        <v>4.3.1.8 Manure applied to soils</v>
      </c>
    </row>
    <row r="37" spans="1:1" x14ac:dyDescent="0.25">
      <c r="A37" s="5" t="str">
        <f>HYPERLINK("#'4.3.1.9 Soil direct N2O'!A1", "4.3.1.9 Soil direct N2O")</f>
        <v>4.3.1.9 Soil direct N2O</v>
      </c>
    </row>
    <row r="38" spans="1:1" x14ac:dyDescent="0.25">
      <c r="A38" s="5" t="str">
        <f>HYPERLINK("#'4.3.1.10-11 Soil Atmos Dep'!A1", "4.3.1.10-11 Soil Atmos Deposition")</f>
        <v>4.3.1.10-11 Soil Atmos Deposition</v>
      </c>
    </row>
    <row r="39" spans="1:1" x14ac:dyDescent="0.25">
      <c r="A39" s="5" t="str">
        <f>HYPERLINK("#'4.3.1.12-13 Soil leach runoff'!A1", "4.3.1.12-13 Soil leach &amp; runoff")</f>
        <v>4.3.1.12-13 Soil leach &amp; runoff</v>
      </c>
    </row>
    <row r="40" spans="1:1" x14ac:dyDescent="0.25">
      <c r="A40" s="5" t="str">
        <f>HYPERLINK("#'5.1.1.1-2 Inorganic fert N2O'!A1", "5.1.1.1-2 Inorganic fert N2O")</f>
        <v>5.1.1.1-2 Inorganic fert N2O</v>
      </c>
    </row>
    <row r="41" spans="1:1" x14ac:dyDescent="0.25">
      <c r="A41" s="5" t="str">
        <f>HYPERLINK("#'5.1.1.3-4 Inorganic fert CO2'!A1", "5.1.1.3-4 Inorganic fert CO2")</f>
        <v>5.1.1.3-4 Inorganic fert CO2</v>
      </c>
    </row>
    <row r="42" spans="1:1" x14ac:dyDescent="0.25">
      <c r="A42" s="5" t="str">
        <f>HYPERLINK("#'5.2.1.1-2 Organic Fert N2O'!A1", "5.2.1.1-2 Organic fert N2O")</f>
        <v>5.2.1.1-2 Organic fert N2O</v>
      </c>
    </row>
    <row r="43" spans="1:1" x14ac:dyDescent="0.25">
      <c r="A43" s="5" t="str">
        <f>HYPERLINK("#'5.3.1.1-2 Lime CO2'!A1", "5.3.1.1-2 Lime CO2")</f>
        <v>5.3.1.1-2 Lime CO2</v>
      </c>
    </row>
    <row r="44" spans="1:1" x14ac:dyDescent="0.25">
      <c r="A44" s="5" t="str">
        <f>HYPERLINK("#'5.4.1.1-4 Atmos deposition'!A1", "5.4.1.1-4 Atmos. deposition")</f>
        <v>5.4.1.1-4 Atmos. deposition</v>
      </c>
    </row>
    <row r="45" spans="1:1" x14ac:dyDescent="0.25">
      <c r="A45" s="5" t="str">
        <f>HYPERLINK("#'5.5.1.1-2 Leaching and runoff'!A1", "5.5.1.1-2 Leaching &amp; runoff")</f>
        <v>5.5.1.1-2 Leaching &amp; runoff</v>
      </c>
    </row>
    <row r="46" spans="1:1" x14ac:dyDescent="0.25">
      <c r="A46" s="5" t="str">
        <f>HYPERLINK("#'6.2.1.1-2 Pasture residue N2O'!A1", "6.2.1.1-2 Pasture residue N2O")</f>
        <v>6.2.1.1-2 Pasture residue N2O</v>
      </c>
    </row>
    <row r="47" spans="1:1" x14ac:dyDescent="0.25">
      <c r="A47" s="5" t="str">
        <f>HYPERLINK("#'6.3.1.1-2 Leach runoff pasture'!A1", "6.3.1.1-2 Leach &amp; runoff (pasture)")</f>
        <v>6.3.1.1-2 Leach &amp; runoff (pasture)</v>
      </c>
    </row>
    <row r="48" spans="1:1" x14ac:dyDescent="0.25">
      <c r="A48" s="5" t="str">
        <f>HYPERLINK("#'8.1.1.1-2 Transport fuel'!A1", "8.1.1.1-2 Transport fuel")</f>
        <v>8.1.1.1-2 Transport fuel</v>
      </c>
    </row>
    <row r="49" spans="1:1" x14ac:dyDescent="0.25">
      <c r="A49" s="5" t="str">
        <f>HYPERLINK("#'8.2.1.1-2 Stationary fuel'!A1", "8.2.1.1-2 Stationary fuel")</f>
        <v>8.2.1.1-2 Stationary fuel</v>
      </c>
    </row>
    <row r="50" spans="1:1" x14ac:dyDescent="0.25">
      <c r="A50" s="5" t="str">
        <f>HYPERLINK("#'9.1.1.1-2 Refrigerant use'!A1", "9.1.1.1-2 Refrigerant use")</f>
        <v>9.1.1.1-2 Refrigerant use</v>
      </c>
    </row>
    <row r="51" spans="1:1" x14ac:dyDescent="0.25">
      <c r="A51" s="5" t="str">
        <f>HYPERLINK("#'10.1.1-2 Solid waste treatment'!A1", "10.1.1.1-2 Solid waste")</f>
        <v>10.1.1.1-2 Solid waste</v>
      </c>
    </row>
    <row r="52" spans="1:1" x14ac:dyDescent="0.25">
      <c r="A52" s="5" t="str">
        <f>HYPERLINK("#'14.1.1-2 Purchased electricity'!A1", "14.1.1-2 Purchased electricity")</f>
        <v>14.1.1-2 Purchased electricity</v>
      </c>
    </row>
    <row r="53" spans="1:1" x14ac:dyDescent="0.25">
      <c r="A53" s="5" t="str">
        <f>HYPERLINK("#'15 Scope 3'!A1", "15 Scope 3")</f>
        <v>15 Scope 3</v>
      </c>
    </row>
    <row r="54" spans="1:1" x14ac:dyDescent="0.25">
      <c r="A54" s="5" t="str">
        <f>HYPERLINK("#'Calcs - Manure sent off-site'!A1", "Calcs - Manure sent off-site")</f>
        <v>Calcs - Manure sent off-site</v>
      </c>
    </row>
    <row r="55" spans="1:1" x14ac:dyDescent="0.25">
      <c r="A55"/>
    </row>
    <row r="56" spans="1:1" x14ac:dyDescent="0.25">
      <c r="A56"/>
    </row>
    <row r="57" spans="1:1" x14ac:dyDescent="0.25">
      <c r="A57" s="82" t="s">
        <v>1</v>
      </c>
    </row>
    <row r="58" spans="1:1" x14ac:dyDescent="0.25">
      <c r="A58" s="5" t="str">
        <f>HYPERLINK("#'Constants - Dairy'!A1", "Constants - Dairy")</f>
        <v>Constants - Dairy</v>
      </c>
    </row>
    <row r="59" spans="1:1" x14ac:dyDescent="0.25">
      <c r="A59" s="5" t="str">
        <f>HYPERLINK("#'Constants - Ag Residue'!A1", "Constants - Ag residue")</f>
        <v>Constants - Ag residue</v>
      </c>
    </row>
    <row r="60" spans="1:1" x14ac:dyDescent="0.25">
      <c r="A60" s="5" t="str">
        <f>HYPERLINK("#'Constants - Common Livestock'!A1", "Constants - Common Livestock")</f>
        <v>Constants - Common Livestock</v>
      </c>
    </row>
    <row r="61" spans="1:1" x14ac:dyDescent="0.25">
      <c r="A61" s="5" t="str">
        <f>HYPERLINK("#'Constants - Electricity'!A1", "Constants - Electricity")</f>
        <v>Constants - Electricity</v>
      </c>
    </row>
    <row r="62" spans="1:1" x14ac:dyDescent="0.25">
      <c r="A62" s="5" t="str">
        <f>HYPERLINK("#'Constants - Fertiliser'!A1", "Constants - Fertiliser")</f>
        <v>Constants - Fertiliser</v>
      </c>
    </row>
    <row r="63" spans="1:1" x14ac:dyDescent="0.25">
      <c r="A63" s="5" t="str">
        <f>HYPERLINK("#'Constants - Fuel'!A1", "Constants - Fuel")</f>
        <v>Constants - Fuel</v>
      </c>
    </row>
    <row r="64" spans="1:1" x14ac:dyDescent="0.25">
      <c r="A64" s="5" t="str">
        <f>HYPERLINK("#'Constants - Scope 3'!A1", "Constants - Scope 3")</f>
        <v>Constants - Scope 3</v>
      </c>
    </row>
    <row r="65" spans="1:1" x14ac:dyDescent="0.25">
      <c r="A65" s="5" t="str">
        <f>HYPERLINK("#'Constants - Common'!A1", "Constants - Common")</f>
        <v>Constants - Common</v>
      </c>
    </row>
    <row r="66" spans="1:1" x14ac:dyDescent="0.25">
      <c r="A66" s="5" t="str">
        <f>HYPERLINK("#'Constants - Refrigerants'!A1", "Constants - Refrigerants")</f>
        <v>Constants - Refrigerants</v>
      </c>
    </row>
    <row r="67" spans="1:1" x14ac:dyDescent="0.25">
      <c r="A67" s="5" t="str">
        <f>HYPERLINK("#'Constants - Solid Waste'!A1", "Constants - Solid Waste")</f>
        <v>Constants - Solid Waste</v>
      </c>
    </row>
    <row r="68" spans="1:1" x14ac:dyDescent="0.25">
      <c r="A68" s="5" t="str">
        <f>HYPERLINK("#'Acknowledgements'!A1", "Acknowledgements")</f>
        <v>Acknowledgements</v>
      </c>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2">
    <dataValidation type="list" allowBlank="1" showInputMessage="1" showErrorMessage="1" sqref="F14" xr:uid="{5850BB77-EE63-494C-9816-1421DF059B2F}">
      <formula1>INDIRECT("Table_SourceData_Fertiliser_IrrigationMethods[Irrigation method]")</formula1>
    </dataValidation>
    <dataValidation type="list" allowBlank="1" showInputMessage="1" showErrorMessage="1" sqref="F13" xr:uid="{A781BB38-DD78-4067-921B-DFA4275C0EF0}">
      <formula1>INDIRECT("Table_SourceData_Fertiliser_CropProdSystems[Production system]")</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EFC46-C24A-4FC7-AF70-D577F2260F19}">
  <sheetPr>
    <tabColor rgb="FF008000"/>
  </sheetPr>
  <dimension ref="A1:S275"/>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0" customFormat="1" ht="30" customHeight="1" x14ac:dyDescent="0.35">
      <c r="A1" s="10" t="e" vm="1">
        <v>#VALUE!</v>
      </c>
      <c r="C1" s="20" t="s">
        <v>653</v>
      </c>
      <c r="K1"/>
    </row>
    <row r="2" spans="1:19" s="3" customFormat="1" ht="20.100000000000001" customHeight="1" x14ac:dyDescent="0.25">
      <c r="A2"/>
      <c r="K2"/>
    </row>
    <row r="3" spans="1:19" ht="20.100000000000001" customHeight="1" x14ac:dyDescent="0.25">
      <c r="A3" s="5" t="str">
        <f>HYPERLINK("#'Home'!A1", "Home")</f>
        <v>Home</v>
      </c>
      <c r="C3" s="22"/>
      <c r="D3" s="22" t="s">
        <v>129</v>
      </c>
      <c r="E3" s="22"/>
      <c r="F3" s="22"/>
      <c r="G3" s="22"/>
      <c r="H3" s="22"/>
      <c r="I3" s="22"/>
      <c r="J3" s="22"/>
      <c r="L3" s="22"/>
      <c r="M3" s="22" t="s">
        <v>130</v>
      </c>
      <c r="N3" s="22"/>
      <c r="O3" s="22"/>
      <c r="P3" s="22"/>
      <c r="Q3" s="22"/>
      <c r="R3" s="22"/>
      <c r="S3" s="22"/>
    </row>
    <row r="4" spans="1:19" ht="20.100000000000001" customHeight="1" x14ac:dyDescent="0.25">
      <c r="A4" s="5" t="str">
        <f>HYPERLINK("#'Results - Activity period'!A1", "Results - Activity period")</f>
        <v>Results - Activity period</v>
      </c>
    </row>
    <row r="5" spans="1:19" ht="20.100000000000001" customHeight="1" x14ac:dyDescent="0.25">
      <c r="A5" s="5" t="str">
        <f>HYPERLINK("#'Results - Product EI'!A1", "Results - Product Emissions Intensity")</f>
        <v>Results - Product Emissions Intensity</v>
      </c>
      <c r="D5" s="2" t="str" cm="1">
        <f t="array" ref="D5">EntericMethane_Dairy_Equations.VEERG_3_3_1_1__6_MetabolisabilityOfDiet_Title()</f>
        <v>Metabolisability of diet</v>
      </c>
    </row>
    <row r="6" spans="1:19" ht="20.100000000000001" customHeight="1" x14ac:dyDescent="0.25">
      <c r="A6" s="5" t="str">
        <f>HYPERLINK("#'Results'!A1", "Results")</f>
        <v>Results</v>
      </c>
      <c r="D6" s="25" t="str" cm="1">
        <f t="array" ref="D6">EntericMethane_Dairy_Equations.VEERG_3_3_1_1__6_MetabolisabilityOfDiet_Variation()</f>
        <v>VARIATION ON SOURCE: changed 0.795 to 0.00795 which is the value used in the National Inventory Report</v>
      </c>
    </row>
    <row r="7" spans="1:19" ht="20.100000000000001" customHeight="1" x14ac:dyDescent="0.25">
      <c r="D7" s="17" t="str" cm="1">
        <f t="array" ref="D7">EntericMethane_Dairy_Equations.VEERG_3_3_1_1__6_MetabolisabilityOfDiet_Source()</f>
        <v>VEERG 2026: 3.3.1.1, Equation (6)</v>
      </c>
    </row>
    <row r="8" spans="1:19" ht="20.100000000000001" customHeight="1" x14ac:dyDescent="0.25">
      <c r="D8" s="117" t="s">
        <v>382</v>
      </c>
      <c r="E8" s="117" t="str" cm="1">
        <f t="array" aca="1" ref="E8" ca="1">Common_InputFunctions.Utility_DisplayFunctionName(D24)</f>
        <v>=EntericMethane_Dairy_Equations.VEERG_3_3_1_1__6_MetabolisabilityOfDietVariation</v>
      </c>
    </row>
    <row r="9" spans="1:19" ht="20.100000000000001" customHeight="1" x14ac:dyDescent="0.25">
      <c r="A9" s="7" t="s">
        <v>0</v>
      </c>
    </row>
    <row r="10" spans="1:19" ht="20.100000000000001" customHeight="1" x14ac:dyDescent="0.25">
      <c r="A10" s="5" t="str">
        <f>HYPERLINK("#'Input - Enterprise'!A1", "Enterprise")</f>
        <v>Enterprise</v>
      </c>
    </row>
    <row r="11" spans="1:19" ht="20.100000000000001" customHeight="1" x14ac:dyDescent="0.25">
      <c r="A11" s="5" t="str">
        <f>HYPERLINK("#'Input - Site'!A1", "Site")</f>
        <v>Site</v>
      </c>
      <c r="D11" s="76" t="s">
        <v>383</v>
      </c>
      <c r="E11" s="1" t="str" cm="1">
        <f t="array" ref="E11">EntericMethane_Dairy_Equations.VEERG_3_3_1_1__6_MetabolisabilityOfDiet_Variable()</f>
        <v>qm_j</v>
      </c>
    </row>
    <row r="12" spans="1:19" ht="20.100000000000001" customHeight="1" x14ac:dyDescent="0.25">
      <c r="A12" s="5" t="str">
        <f>HYPERLINK("#'Input - Dairy'!A1", "Dairy")</f>
        <v>Dairy</v>
      </c>
      <c r="D12" s="76" t="s">
        <v>118</v>
      </c>
      <c r="E12" s="9" t="str" cm="1">
        <f t="array" ref="E12">EntericMethane_Dairy_Equations.VEERG_3_3_1_1__6_MetabolisabilityOfDiet_Unit()</f>
        <v>fraction</v>
      </c>
    </row>
    <row r="13" spans="1:19" ht="20.100000000000001" customHeight="1" x14ac:dyDescent="0.25">
      <c r="A13" s="5" t="str">
        <f>HYPERLINK("#'Input - Livestock sales'!A1", "Livestock sales")</f>
        <v>Livestock sales</v>
      </c>
    </row>
    <row r="14" spans="1:19" ht="20.100000000000001" customHeight="1" x14ac:dyDescent="0.25">
      <c r="A14" s="5" t="str">
        <f>HYPERLINK("#'Input - Dairy cattle purchases'!A1", "Dairy cattle purchases")</f>
        <v>Dairy cattle purchases</v>
      </c>
      <c r="D14" s="119" t="str" cm="1">
        <f t="array" ref="D14:E14">_xlfn.CHOOSECOLS(EntericMethane_Dairy_Equations.VEERG_3_3_1_1__6_MetabolisabilityOfDiet_Arguments(), 1,2)</f>
        <v>DMD_j</v>
      </c>
      <c r="E14" s="119" t="str">
        <v>dry matter digestibility expressed as a fraction</v>
      </c>
      <c r="F14" s="119"/>
      <c r="G14" s="119" t="str" cm="1">
        <f t="array" ref="G14:H14">_xlfn.CHOOSECOLS(EntericMethane_Dairy_Equations.VEERG_3_3_1_1__6_MetabolisabilityOfDiet_Arguments(), 3,4)</f>
        <v>fraction</v>
      </c>
      <c r="H14" s="120" t="str">
        <v>Input</v>
      </c>
      <c r="I14" s="119" t="str">
        <f>"See " &amp; D16</f>
        <v>See M1_Table_DMD_j</v>
      </c>
    </row>
    <row r="15" spans="1:19" ht="20.100000000000001" customHeight="1" x14ac:dyDescent="0.25">
      <c r="A15" s="5" t="str">
        <f>HYPERLINK("#'Input - Pasture'!A1", "Pasture")</f>
        <v>Pasture</v>
      </c>
    </row>
    <row r="16" spans="1:19" ht="20.100000000000001" customHeight="1" x14ac:dyDescent="0.25">
      <c r="A16" s="5" t="str">
        <f>HYPERLINK("#'Input - Fert Prod System'!A1", "Fert Prod System")</f>
        <v>Fert Prod System</v>
      </c>
      <c r="D16" s="121" t="s">
        <v>384</v>
      </c>
      <c r="M16" s="121" t="s">
        <v>385</v>
      </c>
    </row>
    <row r="17" spans="1:19" ht="20.100000000000001" customHeight="1" x14ac:dyDescent="0.25">
      <c r="A17" s="5" t="str">
        <f>HYPERLINK("#'Input - Fertiliser'!A1", "Fertiliser")</f>
        <v>Fertiliser</v>
      </c>
      <c r="D17" s="122" t="s">
        <v>386</v>
      </c>
      <c r="M17" s="122" t="s">
        <v>387</v>
      </c>
    </row>
    <row r="18" spans="1:19" ht="20.100000000000001" customHeight="1" x14ac:dyDescent="0.25">
      <c r="A18" s="5" t="str">
        <f>HYPERLINK("#'Input - Fuel'!A1", "Fuel")</f>
        <v>Fuel</v>
      </c>
      <c r="D18" s="81" t="s">
        <v>334</v>
      </c>
      <c r="E18" s="81" t="s">
        <v>335</v>
      </c>
      <c r="F18" s="81" t="s">
        <v>336</v>
      </c>
      <c r="G18" s="81" t="s">
        <v>337</v>
      </c>
      <c r="H18" s="81" t="s">
        <v>338</v>
      </c>
      <c r="M18" s="81" t="s">
        <v>334</v>
      </c>
      <c r="N18" s="81" t="s">
        <v>335</v>
      </c>
      <c r="O18" s="81" t="s">
        <v>336</v>
      </c>
      <c r="P18" s="81" t="s">
        <v>337</v>
      </c>
      <c r="Q18" s="81" t="s">
        <v>338</v>
      </c>
    </row>
    <row r="19" spans="1:19" ht="20.100000000000001" customHeight="1" x14ac:dyDescent="0.25">
      <c r="A19" s="5" t="str">
        <f>HYPERLINK("#'Input - Electricity'!A1", "Electricity")</f>
        <v>Electricity</v>
      </c>
      <c r="D19" s="15">
        <f>INDEX(X_Table_Dairy_Diet_Method1,2,2)</f>
        <v>0.75</v>
      </c>
      <c r="E19" s="15">
        <f>INDEX(X_Table_Dairy_Diet_Method1,2,3)</f>
        <v>0.75</v>
      </c>
      <c r="F19" s="15">
        <f>INDEX(X_Table_Dairy_Diet_Method1,2,4)</f>
        <v>0.75</v>
      </c>
      <c r="G19" s="15">
        <f>INDEX(X_Table_Dairy_Diet_Method1,2,5)</f>
        <v>0.75</v>
      </c>
      <c r="H19" s="15">
        <f>INDEX(X_Table_Dairy_Diet_Method1,2,6)</f>
        <v>0.75</v>
      </c>
      <c r="I19" s="16" t="s">
        <v>388</v>
      </c>
      <c r="M19" s="15">
        <f>INDEX(X_Table_Dairy_Diet_Method2,2,2)</f>
        <v>0.75</v>
      </c>
      <c r="N19" s="15">
        <f>INDEX(X_Table_Dairy_Diet_Method2,2,3)</f>
        <v>0.75</v>
      </c>
      <c r="O19" s="15">
        <f>INDEX(X_Table_Dairy_Diet_Method2,2,4)</f>
        <v>0.75</v>
      </c>
      <c r="P19" s="15">
        <f>INDEX(X_Table_Dairy_Diet_Method2,2,5)</f>
        <v>0.75</v>
      </c>
      <c r="Q19" s="15">
        <f>INDEX(X_Table_Dairy_Diet_Method2,2,6)</f>
        <v>0.75</v>
      </c>
      <c r="R19" s="16" t="s">
        <v>388</v>
      </c>
    </row>
    <row r="20" spans="1:19" ht="20.100000000000001" customHeight="1" x14ac:dyDescent="0.25">
      <c r="A20" s="5" t="str">
        <f>HYPERLINK("#'Input - Common farm inputs'!A1", "Common farm inputs")</f>
        <v>Common farm inputs</v>
      </c>
    </row>
    <row r="21" spans="1:19" ht="20.100000000000001" customHeight="1" x14ac:dyDescent="0.25">
      <c r="A21" s="5" t="str">
        <f>HYPERLINK("#'Input - Crop pasture farm input'!A1", "Crop pasture farm input")</f>
        <v>Crop pasture farm input</v>
      </c>
      <c r="D21" s="121" t="s">
        <v>389</v>
      </c>
      <c r="M21" s="121" t="s">
        <v>390</v>
      </c>
    </row>
    <row r="22" spans="1:19" ht="20.100000000000001" customHeight="1" x14ac:dyDescent="0.25">
      <c r="A22" s="5" t="str">
        <f>HYPERLINK("#'Input - Livestock farm Inputs'!A1", "Livestock farm Inputs")</f>
        <v>Livestock farm Inputs</v>
      </c>
      <c r="D22" s="122" t="s">
        <v>391</v>
      </c>
      <c r="M22" s="122" t="s">
        <v>392</v>
      </c>
    </row>
    <row r="23" spans="1:19" ht="20.100000000000001" customHeight="1" x14ac:dyDescent="0.25">
      <c r="A23" s="5" t="str">
        <f>HYPERLINK("#'Input - Freight'!A1", "Freight")</f>
        <v>Freight</v>
      </c>
      <c r="D23" s="123" t="s">
        <v>334</v>
      </c>
      <c r="E23" s="123" t="s">
        <v>335</v>
      </c>
      <c r="F23" s="123" t="s">
        <v>336</v>
      </c>
      <c r="G23" s="123" t="s">
        <v>337</v>
      </c>
      <c r="H23" s="123" t="s">
        <v>338</v>
      </c>
      <c r="M23" s="123" t="s">
        <v>334</v>
      </c>
      <c r="N23" s="123" t="s">
        <v>335</v>
      </c>
      <c r="O23" s="123" t="s">
        <v>336</v>
      </c>
      <c r="P23" s="123" t="s">
        <v>337</v>
      </c>
      <c r="Q23" s="123" t="s">
        <v>338</v>
      </c>
    </row>
    <row r="24" spans="1:19" ht="20.100000000000001" customHeight="1" x14ac:dyDescent="0.25">
      <c r="A24" s="5" t="str">
        <f>HYPERLINK("#'Input - Solid waste'!A1", "Solid waste")</f>
        <v>Solid waste</v>
      </c>
      <c r="D24" s="15" cm="1">
        <f t="array" ref="D24">EntericMethane_Dairy_Equations.VEERG_3_3_1_1__6_MetabolisabilityOfDietVariation(D19)</f>
        <v>0.5948500000000001</v>
      </c>
      <c r="E24" s="15" cm="1">
        <f t="array" ref="E24">EntericMethane_Dairy_Equations.VEERG_3_3_1_1__6_MetabolisabilityOfDietVariation(E19)</f>
        <v>0.5948500000000001</v>
      </c>
      <c r="F24" s="15" cm="1">
        <f t="array" ref="F24">EntericMethane_Dairy_Equations.VEERG_3_3_1_1__6_MetabolisabilityOfDietVariation(F19)</f>
        <v>0.5948500000000001</v>
      </c>
      <c r="G24" s="15" cm="1">
        <f t="array" ref="G24">EntericMethane_Dairy_Equations.VEERG_3_3_1_1__6_MetabolisabilityOfDietVariation(G19)</f>
        <v>0.5948500000000001</v>
      </c>
      <c r="H24" s="15" cm="1">
        <f t="array" ref="H24">EntericMethane_Dairy_Equations.VEERG_3_3_1_1__6_MetabolisabilityOfDietVariation(H19)</f>
        <v>0.5948500000000001</v>
      </c>
      <c r="I24" s="16" t="str">
        <f>$E$12</f>
        <v>fraction</v>
      </c>
      <c r="M24" s="15" cm="1">
        <f t="array" ref="M24">EntericMethane_Dairy_Equations.VEERG_3_3_1_1__6_MetabolisabilityOfDietVariation(M19)</f>
        <v>0.5948500000000001</v>
      </c>
      <c r="N24" s="15" cm="1">
        <f t="array" ref="N24">EntericMethane_Dairy_Equations.VEERG_3_3_1_1__6_MetabolisabilityOfDietVariation(N19)</f>
        <v>0.5948500000000001</v>
      </c>
      <c r="O24" s="15" cm="1">
        <f t="array" ref="O24">EntericMethane_Dairy_Equations.VEERG_3_3_1_1__6_MetabolisabilityOfDietVariation(O19)</f>
        <v>0.5948500000000001</v>
      </c>
      <c r="P24" s="15" cm="1">
        <f t="array" ref="P24">EntericMethane_Dairy_Equations.VEERG_3_3_1_1__6_MetabolisabilityOfDietVariation(P19)</f>
        <v>0.5948500000000001</v>
      </c>
      <c r="Q24" s="15" cm="1">
        <f t="array" ref="Q24">EntericMethane_Dairy_Equations.VEERG_3_3_1_1__6_MetabolisabilityOfDietVariation(Q19)</f>
        <v>0.5948500000000001</v>
      </c>
      <c r="R24" s="16" t="str">
        <f>$E$12</f>
        <v>fraction</v>
      </c>
    </row>
    <row r="25" spans="1:19" ht="20.100000000000001" customHeight="1" x14ac:dyDescent="0.25">
      <c r="A25" s="5" t="str">
        <f>HYPERLINK("#'Input - Manure sent off-site'!A1", "Manure sent off-site")</f>
        <v>Manure sent off-site</v>
      </c>
    </row>
    <row r="26" spans="1:19" ht="20.100000000000001" customHeight="1" x14ac:dyDescent="0.25">
      <c r="A26" s="5" t="str">
        <f>HYPERLINK("#'Input - Refrigerants'!A1", "Refrigerants")</f>
        <v>Refrigerants</v>
      </c>
    </row>
    <row r="27" spans="1:19" ht="20.100000000000001" customHeight="1" x14ac:dyDescent="0.25">
      <c r="A27" s="5" t="str">
        <f>HYPERLINK("#'Input - Data quality'!A1", "Data quality")</f>
        <v>Data quality</v>
      </c>
      <c r="C27" s="88"/>
      <c r="D27" s="88"/>
      <c r="E27" s="88"/>
      <c r="F27" s="88"/>
      <c r="G27" s="88"/>
      <c r="H27" s="88"/>
      <c r="I27" s="88"/>
      <c r="J27" s="88"/>
      <c r="L27" s="88"/>
      <c r="M27" s="88"/>
      <c r="N27" s="88"/>
      <c r="O27" s="88"/>
      <c r="P27" s="88"/>
      <c r="Q27" s="88"/>
      <c r="R27" s="88"/>
      <c r="S27" s="88"/>
    </row>
    <row r="28" spans="1:19" ht="20.100000000000001" customHeight="1" x14ac:dyDescent="0.25">
      <c r="D28" s="2" t="str" cm="1">
        <f t="array" ref="D28">EntericMethane_Dairy_Equations.VEERG_3_3_1_1__5_MilkProductionFromMilkSolids_Title()</f>
        <v>Milk production converted from milk solids</v>
      </c>
    </row>
    <row r="29" spans="1:19" ht="20.100000000000001" customHeight="1" x14ac:dyDescent="0.25">
      <c r="D29" s="17" t="str" cm="1">
        <f t="array" ref="D29">EntericMethane_Dairy_Equations.VEERG_3_3_1_1__5_MilkProductionFromMilkSolids_Source()</f>
        <v>VEERG 2026: 3.3.1.1, Equation (5)</v>
      </c>
    </row>
    <row r="30" spans="1:19" ht="20.100000000000001" customHeight="1" x14ac:dyDescent="0.25">
      <c r="A30" s="6" t="s">
        <v>2</v>
      </c>
      <c r="D30" s="25"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100000000000001" customHeight="1" x14ac:dyDescent="0.25">
      <c r="A31" s="118" t="str">
        <f>HYPERLINK("#'3.3.1.1-2 Enteric Methane'!A1", "3.3.1.1-2 Enteric methane")</f>
        <v>3.3.1.1-2 Enteric methane</v>
      </c>
      <c r="D31" s="117" t="s">
        <v>382</v>
      </c>
      <c r="E31" s="117" t="str" cm="1">
        <f t="array" aca="1" ref="E31" ca="1">Common_InputFunctions.Utility_DisplayFunctionName(D50)</f>
        <v>=EntericMethane_Dairy_Equations.VEERG_3_3_1_1__5_MilkProductionFromMilkSolids</v>
      </c>
    </row>
    <row r="32" spans="1:19" ht="20.100000000000001" customHeight="1" x14ac:dyDescent="0.25">
      <c r="A32" s="5" t="str">
        <f>HYPERLINK("#'4.3.1.1-2 Methane'!A1", "4.3.1.1-2 Manure methane")</f>
        <v>4.3.1.1-2 Manure methane</v>
      </c>
    </row>
    <row r="33" spans="1:18" ht="20.100000000000001" customHeight="1" x14ac:dyDescent="0.25">
      <c r="A33" s="5" t="str">
        <f>HYPERLINK("#'4.3.1.3-4 Direct N20'!A1", "4.3.1.3-4 Direct N20")</f>
        <v>4.3.1.3-4 Direct N20</v>
      </c>
    </row>
    <row r="34" spans="1:18" ht="20.100000000000001" customHeight="1" x14ac:dyDescent="0.25">
      <c r="A34" s="5" t="str">
        <f>HYPERLINK("#'4.3.1.5 Atmos deposition'!A1", "4.3.1.5 Atmos deposition")</f>
        <v>4.3.1.5 Atmos deposition</v>
      </c>
      <c r="D34" s="76" t="s">
        <v>383</v>
      </c>
      <c r="E34" s="1" t="str" cm="1">
        <f t="array" ref="E34">EntericMethane_Dairy_Equations.VEERG_3_3_1_1__5_MilkProductionFromMilkSolids_Variable()</f>
        <v>MP_j</v>
      </c>
    </row>
    <row r="35" spans="1:18" ht="20.100000000000001" customHeight="1" x14ac:dyDescent="0.25">
      <c r="A35" s="5" t="str">
        <f>HYPERLINK("#'4.3.1.6-7 Leaching and runoff'!A1", "4.3.1.6-7 Leaching &amp; runoff")</f>
        <v>4.3.1.6-7 Leaching &amp; runoff</v>
      </c>
      <c r="D35" s="76" t="s">
        <v>118</v>
      </c>
      <c r="E35" s="9" t="str" cm="1">
        <f t="array" ref="E35">EntericMethane_Dairy_Equations.VEERG_3_3_1_1__5_MilkProductionFromMilkSolids_Unit()</f>
        <v>L/head/day</v>
      </c>
    </row>
    <row r="36" spans="1:18" ht="20.100000000000001" customHeight="1" x14ac:dyDescent="0.25">
      <c r="A36" s="5" t="str">
        <f>HYPERLINK("#'4.3.1.8 Manure applied to soils'!A1", "4.3.1.8 Manure applied to soils")</f>
        <v>4.3.1.8 Manure applied to soils</v>
      </c>
    </row>
    <row r="37" spans="1:18" ht="20.100000000000001" customHeight="1" x14ac:dyDescent="0.25">
      <c r="A37" s="5" t="str">
        <f>HYPERLINK("#'4.3.1.9 Soil direct N2O'!A1", "4.3.1.9 Soil direct N2O")</f>
        <v>4.3.1.9 Soil direct N2O</v>
      </c>
      <c r="D37" s="119" t="str" cm="1">
        <f t="array" ref="D37:E40">_xlfn.CHOOSECOLS(EntericMethane_Dairy_Equations.VEERG_3_3_1_1__5_MilkProductionFromMilkSolids_Arguments(),1,2)</f>
        <v>MPU</v>
      </c>
      <c r="E37" s="124" t="str">
        <v>input milk production unit</v>
      </c>
      <c r="F37" s="125"/>
      <c r="G37" s="119" t="str" cm="1">
        <f t="array" ref="G37:H40">_xlfn.CHOOSECOLS(EntericMethane_Dairy_Equations.VEERG_3_3_1_1__5_MilkProductionFromMilkSolids_Arguments(),3,4)</f>
        <v/>
      </c>
      <c r="H37" s="120" t="str">
        <v>Input</v>
      </c>
      <c r="I37" s="119" t="str">
        <f>X_Cell_Dairy_MilkProductionUnit</f>
        <v>Litres of milk</v>
      </c>
      <c r="M37" s="119" t="str" cm="1">
        <f t="array" ref="M37:N40">_xlfn.CHOOSECOLS(EntericMethane_Dairy_Equations.VEERG_3_3_1_1__5_MilkProductionFromMilkSolids_Arguments_Method2(),1,2)</f>
        <v>MPU</v>
      </c>
      <c r="N37" s="124" t="str">
        <v>milk production unit</v>
      </c>
      <c r="O37" s="125"/>
      <c r="P37" s="119" t="str" cm="1">
        <f t="array" ref="P37:Q40">_xlfn.CHOOSECOLS(EntericMethane_Dairy_Equations.VEERG_3_3_1_1__5_MilkProductionFromMilkSolids_Arguments_Method2(),3,4)</f>
        <v/>
      </c>
      <c r="Q37" s="120" t="str">
        <v>Input</v>
      </c>
      <c r="R37" s="119"/>
    </row>
    <row r="38" spans="1:18" ht="20.100000000000001" customHeight="1" x14ac:dyDescent="0.25">
      <c r="A38" s="5" t="str">
        <f>HYPERLINK("#'4.3.1.10-11 Soil Atmos Dep'!A1", "4.3.1.10-11 Soil Atmos Deposition")</f>
        <v>4.3.1.10-11 Soil Atmos Deposition</v>
      </c>
      <c r="D38" s="119" t="str">
        <v>MS_j</v>
      </c>
      <c r="E38" s="124" t="str">
        <v>daily production of milk solids</v>
      </c>
      <c r="F38" s="125"/>
      <c r="G38" s="119" t="str">
        <v>kg MS/head/day</v>
      </c>
      <c r="H38" s="120" t="str">
        <v>Input</v>
      </c>
      <c r="I38" s="126" t="str" cm="1">
        <f t="array" aca="1" ref="I38" ca="1">HYPERLINK(Common_InputFunctions.Utility_SourceHyperlink($D$42),$D$42)</f>
        <v>M1_Table_MS_j</v>
      </c>
      <c r="M38" s="119" t="str">
        <v>MS_j</v>
      </c>
      <c r="N38" s="124" t="str">
        <v>daily production of milk solids</v>
      </c>
      <c r="O38" s="125"/>
      <c r="P38" s="119" t="str">
        <v>kg MS/head/day</v>
      </c>
      <c r="Q38" s="120" t="str">
        <v>Input</v>
      </c>
      <c r="R38" s="126"/>
    </row>
    <row r="39" spans="1:18" ht="20.100000000000001" customHeight="1" x14ac:dyDescent="0.25">
      <c r="A39" s="5" t="str">
        <f>HYPERLINK("#'4.3.1.12-13 Soil leach runoff'!A1", "4.3.1.12-13 Soil leach &amp; runoff")</f>
        <v>4.3.1.12-13 Soil leach &amp; runoff</v>
      </c>
      <c r="D39" s="119" t="str">
        <v>FC_j</v>
      </c>
      <c r="E39" s="124" t="str">
        <v>fat content in fat and protein corrected milk</v>
      </c>
      <c r="F39" s="125"/>
      <c r="G39" s="119" t="str">
        <v>per cent</v>
      </c>
      <c r="H39" s="120" t="str">
        <v>Input</v>
      </c>
      <c r="I39" s="119">
        <f>INDEX(X_Table_Dairy_MilkSolidAttributes,2,2)*100</f>
        <v>4</v>
      </c>
      <c r="M39" s="119" t="str">
        <v>FC_j</v>
      </c>
      <c r="N39" s="124" t="str">
        <v>fat content in fat and protein corrected milk</v>
      </c>
      <c r="O39" s="125"/>
      <c r="P39" s="119" t="str">
        <v>per cent</v>
      </c>
      <c r="Q39" s="120" t="str">
        <v>Input</v>
      </c>
      <c r="R39" s="119">
        <f>INDEX(X_Table_Dairy_MilkSolidAttributes,2,3)*100</f>
        <v>4</v>
      </c>
    </row>
    <row r="40" spans="1:18" ht="20.100000000000001" customHeight="1" x14ac:dyDescent="0.25">
      <c r="A40" s="5" t="str">
        <f>HYPERLINK("#'5.1.1.1-2 Inorganic fert N2O'!A1", "5.1.1.1-2 Inorganic fert N2O")</f>
        <v>5.1.1.1-2 Inorganic fert N2O</v>
      </c>
      <c r="D40" s="119" t="str">
        <v>PC_j</v>
      </c>
      <c r="E40" s="119" t="str">
        <v>protein content in fat and protein corrected milk</v>
      </c>
      <c r="F40" s="119"/>
      <c r="G40" s="119" t="str">
        <v>per cent</v>
      </c>
      <c r="H40" s="120" t="str">
        <v>Input</v>
      </c>
      <c r="I40" s="119">
        <f>INDEX(X_Table_Dairy_MilkSolidAttributes,3,2)*100</f>
        <v>3.3000000000000003</v>
      </c>
      <c r="M40" s="119" t="str">
        <v>PC_j</v>
      </c>
      <c r="N40" s="119" t="str">
        <v>protein content in fat and protein corrected milk</v>
      </c>
      <c r="O40" s="119"/>
      <c r="P40" s="119" t="str">
        <v>per cent</v>
      </c>
      <c r="Q40" s="120" t="str">
        <v>Input</v>
      </c>
      <c r="R40" s="119">
        <f>INDEX(X_Table_Dairy_MilkSolidAttributes,3,3)*100</f>
        <v>3.3000000000000003</v>
      </c>
    </row>
    <row r="41" spans="1:18" ht="20.100000000000001" customHeight="1" x14ac:dyDescent="0.25">
      <c r="A41" s="5" t="str">
        <f>HYPERLINK("#'5.1.1.3-4 Inorganic fert CO2'!A1", "5.1.1.3-4 Inorganic fert CO2")</f>
        <v>5.1.1.3-4 Inorganic fert CO2</v>
      </c>
    </row>
    <row r="42" spans="1:18" ht="20.100000000000001" customHeight="1" x14ac:dyDescent="0.25">
      <c r="A42" s="5" t="str">
        <f>HYPERLINK("#'5.2.1.1-2 Organic Fert N2O'!A1", "5.2.1.1-2 Organic fert N2O")</f>
        <v>5.2.1.1-2 Organic fert N2O</v>
      </c>
      <c r="D42" s="121" t="s">
        <v>393</v>
      </c>
    </row>
    <row r="43" spans="1:18" ht="20.100000000000001" customHeight="1" x14ac:dyDescent="0.25">
      <c r="A43" s="5" t="str">
        <f>HYPERLINK("#'5.3.1.1-2 Lime CO2'!A1", "5.3.1.1-2 Lime CO2")</f>
        <v>5.3.1.1-2 Lime CO2</v>
      </c>
      <c r="D43" s="122" t="s">
        <v>394</v>
      </c>
    </row>
    <row r="44" spans="1:18" ht="20.100000000000001" customHeight="1" x14ac:dyDescent="0.25">
      <c r="A44" s="5" t="str">
        <f>HYPERLINK("#'5.4.1.1-4 Atmos deposition'!A1", "5.4.1.1-4 Atmos. deposition")</f>
        <v>5.4.1.1-4 Atmos. deposition</v>
      </c>
      <c r="D44" s="81" t="s">
        <v>334</v>
      </c>
      <c r="E44" s="81" t="s">
        <v>335</v>
      </c>
      <c r="F44" s="81" t="s">
        <v>336</v>
      </c>
      <c r="G44" s="81" t="s">
        <v>337</v>
      </c>
      <c r="H44" s="81" t="s">
        <v>338</v>
      </c>
    </row>
    <row r="45" spans="1:18" ht="20.100000000000001" customHeight="1" x14ac:dyDescent="0.25">
      <c r="A45" s="5" t="str">
        <f>HYPERLINK("#'5.5.1.1-2 Leaching and runoff'!A1", "5.5.1.1-2 Leaching &amp; runoff")</f>
        <v>5.5.1.1-2 Leaching &amp; runoff</v>
      </c>
      <c r="D45" s="15">
        <f>IF($I$37="Milk solids", X_Cell_Dairy_MilkProductionAmount, 0)</f>
        <v>0</v>
      </c>
      <c r="E45" s="15">
        <v>0</v>
      </c>
      <c r="F45" s="15">
        <v>0</v>
      </c>
      <c r="G45" s="15">
        <v>0</v>
      </c>
      <c r="H45" s="15">
        <v>0</v>
      </c>
      <c r="I45" s="16" t="s">
        <v>399</v>
      </c>
    </row>
    <row r="46" spans="1:18" ht="20.100000000000001" customHeight="1" x14ac:dyDescent="0.25">
      <c r="A46" s="5" t="str">
        <f>HYPERLINK("#'6.2.1.1-2 Pasture residue N2O'!A1", "6.2.1.1-2 Pasture residue N2O")</f>
        <v>6.2.1.1-2 Pasture residue N2O</v>
      </c>
    </row>
    <row r="47" spans="1:18" ht="20.100000000000001" customHeight="1" x14ac:dyDescent="0.25">
      <c r="A47" s="5" t="str">
        <f>HYPERLINK("#'6.3.1.1-2 Leach runoff pasture'!A1", "6.3.1.1-2 Leach &amp; runoff (pasture)")</f>
        <v>6.3.1.1-2 Leach &amp; runoff (pasture)</v>
      </c>
      <c r="D47" s="121" t="s">
        <v>395</v>
      </c>
      <c r="M47" s="121" t="s">
        <v>396</v>
      </c>
    </row>
    <row r="48" spans="1:18" ht="20.100000000000001" customHeight="1" x14ac:dyDescent="0.25">
      <c r="A48" s="5" t="str">
        <f>HYPERLINK("#'8.1.1.1-2 Transport fuel'!A1", "8.1.1.1-2 Transport fuel")</f>
        <v>8.1.1.1-2 Transport fuel</v>
      </c>
      <c r="D48" s="122" t="s">
        <v>397</v>
      </c>
      <c r="M48" s="122" t="s">
        <v>398</v>
      </c>
    </row>
    <row r="49" spans="1:19" ht="20.100000000000001" customHeight="1" x14ac:dyDescent="0.25">
      <c r="A49" s="5" t="str">
        <f>HYPERLINK("#'8.2.1.1-2 Stationary fuel'!A1", "8.2.1.1-2 Stationary fuel")</f>
        <v>8.2.1.1-2 Stationary fuel</v>
      </c>
      <c r="D49" s="123" t="s">
        <v>334</v>
      </c>
      <c r="E49" s="123" t="s">
        <v>335</v>
      </c>
      <c r="F49" s="123" t="s">
        <v>336</v>
      </c>
      <c r="G49" s="123" t="s">
        <v>337</v>
      </c>
      <c r="H49" s="123" t="s">
        <v>338</v>
      </c>
      <c r="M49" s="123" t="s">
        <v>334</v>
      </c>
      <c r="N49" s="123" t="s">
        <v>335</v>
      </c>
      <c r="O49" s="123" t="s">
        <v>336</v>
      </c>
      <c r="P49" s="123" t="s">
        <v>337</v>
      </c>
      <c r="Q49" s="123" t="s">
        <v>338</v>
      </c>
    </row>
    <row r="50" spans="1:19" ht="20.100000000000001" customHeight="1" x14ac:dyDescent="0.25">
      <c r="A50" s="5" t="str">
        <f>HYPERLINK("#'9.1.1.1-2 Refrigerant use'!A1", "9.1.1.1-2 Refrigerant use")</f>
        <v>9.1.1.1-2 Refrigerant use</v>
      </c>
      <c r="D50" s="15" cm="1">
        <f t="array" ref="D50">EntericMethane_Dairy_Equations.VEERG_3_3_1_1__5_MilkProductionFromMilkSolids(D45,I39,I40)</f>
        <v>0</v>
      </c>
      <c r="E50" s="15">
        <v>0</v>
      </c>
      <c r="F50" s="15">
        <v>0</v>
      </c>
      <c r="G50" s="15">
        <v>0</v>
      </c>
      <c r="H50" s="15">
        <v>0</v>
      </c>
      <c r="I50" s="16" t="s">
        <v>399</v>
      </c>
      <c r="M50" s="15" cm="1">
        <f t="array" ref="M50">EntericMethane_Dairy_Equations.VEERG_3_3_1_1__5_MilkProductionFromMilkSolids(D45,R39,R40)</f>
        <v>0</v>
      </c>
      <c r="N50" s="15">
        <v>0</v>
      </c>
      <c r="O50" s="15">
        <v>0</v>
      </c>
      <c r="P50" s="15">
        <v>0</v>
      </c>
      <c r="Q50" s="15">
        <v>0</v>
      </c>
      <c r="R50" s="16" t="s">
        <v>399</v>
      </c>
    </row>
    <row r="51" spans="1:19" ht="20.100000000000001" customHeight="1" x14ac:dyDescent="0.25">
      <c r="A51" s="5" t="str">
        <f>HYPERLINK("#'10.1.1-2 Solid waste treatment'!A1", "10.1.1.1-2 Solid waste")</f>
        <v>10.1.1.1-2 Solid waste</v>
      </c>
    </row>
    <row r="52" spans="1:19" ht="20.100000000000001" customHeight="1" x14ac:dyDescent="0.25">
      <c r="A52" s="5" t="str">
        <f>HYPERLINK("#'14.1.1-2 Purchased electricity'!A1", "14.1.1-2 Purchased electricity")</f>
        <v>14.1.1-2 Purchased electricity</v>
      </c>
    </row>
    <row r="53" spans="1:19" ht="20.100000000000001" customHeight="1" x14ac:dyDescent="0.25">
      <c r="A53" s="5" t="str">
        <f>HYPERLINK("#'15 Scope 3'!A1", "15 Scope 3")</f>
        <v>15 Scope 3</v>
      </c>
      <c r="C53" s="88"/>
      <c r="D53" s="88"/>
      <c r="E53" s="88"/>
      <c r="F53" s="88"/>
      <c r="G53" s="88"/>
      <c r="H53" s="88"/>
      <c r="I53" s="88"/>
      <c r="J53" s="88"/>
      <c r="L53" s="88"/>
      <c r="M53" s="88"/>
      <c r="N53" s="88"/>
      <c r="O53" s="88"/>
      <c r="P53" s="88"/>
      <c r="Q53" s="88"/>
      <c r="R53" s="88"/>
      <c r="S53" s="88"/>
    </row>
    <row r="54" spans="1:19" ht="20.100000000000001" customHeight="1" x14ac:dyDescent="0.25">
      <c r="A54" s="5" t="str">
        <f>HYPERLINK("#'Calcs - Manure sent off-site'!A1", "Calcs - Manure sent off-site")</f>
        <v>Calcs - Manure sent off-site</v>
      </c>
      <c r="D54" s="2" t="str" cm="1">
        <f t="array" ref="D54">EntericMethane_Dairy_Equations.VEERG_3_3_1_1__4_AdditionalIntakeForMilkProduction_Title()</f>
        <v>Additional intake required for milk production</v>
      </c>
    </row>
    <row r="55" spans="1:19" ht="20.100000000000001" customHeight="1" x14ac:dyDescent="0.25">
      <c r="D55" s="17" t="str" cm="1">
        <f t="array" ref="D55">EntericMethane_Dairy_Equations.VEERG_3_3_1_1__4_AdditionalIntakeForMilkProduction_Source()</f>
        <v>VEERG 2026: 3.3.1.1, Equation (4)</v>
      </c>
    </row>
    <row r="56" spans="1:19" ht="20.100000000000001" customHeight="1" x14ac:dyDescent="0.25">
      <c r="D56" s="25" t="str" cm="1">
        <f t="array" ref="D56">EntericMethane_Dairy_Equations.VEERG_3_3_1_1__4_AdditionalIntakeForMilkProduction_Variation()</f>
        <v>VARATION ON SOURCE: Added milk production unit variable to allow for use of either milk solids or litres of milk.</v>
      </c>
    </row>
    <row r="57" spans="1:19" ht="20.100000000000001" customHeight="1" x14ac:dyDescent="0.25">
      <c r="A57" s="82" t="s">
        <v>1</v>
      </c>
      <c r="D57" s="117" t="s">
        <v>382</v>
      </c>
      <c r="E57" s="117" t="str" cm="1">
        <f t="array" aca="1" ref="E57" ca="1">Common_InputFunctions.Utility_DisplayFunctionName(D80)</f>
        <v>=EntericMethane_Dairy_Equations.VEERG_3_3_1_1__4_AdditionalIntakeForMilkProduction</v>
      </c>
    </row>
    <row r="58" spans="1:19" ht="20.100000000000001" customHeight="1" x14ac:dyDescent="0.25">
      <c r="A58" s="5" t="str">
        <f>HYPERLINK("#'Constants - Dairy'!A1", "Constants - Dairy")</f>
        <v>Constants - Dairy</v>
      </c>
      <c r="D58" s="2"/>
    </row>
    <row r="59" spans="1:19" ht="20.100000000000001" customHeight="1" x14ac:dyDescent="0.25">
      <c r="A59" s="5" t="str">
        <f>HYPERLINK("#'Constants - Ag Residue'!A1", "Constants - Ag residue")</f>
        <v>Constants - Ag residue</v>
      </c>
    </row>
    <row r="60" spans="1:19" ht="20.100000000000001" customHeight="1" x14ac:dyDescent="0.25">
      <c r="A60" s="5" t="str">
        <f>HYPERLINK("#'Constants - Common Livestock'!A1", "Constants - Common Livestock")</f>
        <v>Constants - Common Livestock</v>
      </c>
    </row>
    <row r="61" spans="1:19" ht="20.100000000000001" customHeight="1" x14ac:dyDescent="0.25">
      <c r="A61" s="5" t="str">
        <f>HYPERLINK("#'Constants - Electricity'!A1", "Constants - Electricity")</f>
        <v>Constants - Electricity</v>
      </c>
      <c r="D61" s="76" t="s">
        <v>383</v>
      </c>
      <c r="E61" s="1" t="str" cm="1">
        <f t="array" ref="E61">EntericMethane_Dairy_Equations.VEERG_3_3_1_1__4_AdditionalIntakeForMilkProduction_Variable()</f>
        <v>MI_j</v>
      </c>
    </row>
    <row r="62" spans="1:19" ht="20.100000000000001" customHeight="1" x14ac:dyDescent="0.25">
      <c r="A62" s="5" t="str">
        <f>HYPERLINK("#'Constants - Fertiliser'!A1", "Constants - Fertiliser")</f>
        <v>Constants - Fertiliser</v>
      </c>
      <c r="D62" s="76" t="s">
        <v>118</v>
      </c>
      <c r="E62" s="9" t="str" cm="1">
        <f t="array" ref="E62">EntericMethane_Dairy_Equations.VEERG_3_3_1_1__4_AdditionalIntakeForMilkProduction_Unit()</f>
        <v>kg DM/head/day</v>
      </c>
    </row>
    <row r="63" spans="1:19" ht="20.100000000000001" customHeight="1" x14ac:dyDescent="0.25">
      <c r="A63" s="5" t="str">
        <f>HYPERLINK("#'Constants - Fuel'!A1", "Constants - Fuel")</f>
        <v>Constants - Fuel</v>
      </c>
    </row>
    <row r="64" spans="1:19" ht="20.100000000000001" customHeight="1" x14ac:dyDescent="0.25">
      <c r="A64" s="5" t="str">
        <f>HYPERLINK("#'Constants - Scope 3'!A1", "Constants - Scope 3")</f>
        <v>Constants - Scope 3</v>
      </c>
      <c r="D64" s="119" t="str" cm="1">
        <f t="array" ref="D64:E70">_xlfn.CHOOSECOLS(EntericMethane_Dairy_Equations.VEERG_3_3_1_1__4_AdditionalIntakeForMilkProduction_Arguments(), 1,2)</f>
        <v>MPU</v>
      </c>
      <c r="E64" s="124" t="str">
        <v>input milk production unit</v>
      </c>
      <c r="F64" s="125"/>
      <c r="G64" s="119" t="str" cm="1">
        <f t="array" ref="G64:H70">_xlfn.CHOOSECOLS(EntericMethane_Dairy_Equations.VEERG_3_3_1_1__4_AdditionalIntakeForMilkProduction_Arguments(), 3,4)</f>
        <v/>
      </c>
      <c r="H64" s="120" t="str">
        <v>Input</v>
      </c>
      <c r="I64" s="119" t="str">
        <f>X_Cell_Dairy_MilkProductionUnit</f>
        <v>Litres of milk</v>
      </c>
    </row>
    <row r="65" spans="1:18" ht="20.100000000000001" customHeight="1" x14ac:dyDescent="0.25">
      <c r="A65" s="5" t="str">
        <f>HYPERLINK("#'Constants - Common'!A1", "Constants - Common")</f>
        <v>Constants - Common</v>
      </c>
      <c r="D65" s="119" t="str">
        <v>MP_j</v>
      </c>
      <c r="E65" s="124" t="str">
        <v>milk production (if input as litres of milk)</v>
      </c>
      <c r="F65" s="125"/>
      <c r="G65" s="119" t="str">
        <v>L/head/day</v>
      </c>
      <c r="H65" s="120" t="str">
        <v>Input</v>
      </c>
      <c r="I65" s="126" t="str" cm="1">
        <f t="array" aca="1" ref="I65" ca="1">HYPERLINK(Common_InputFunctions.Utility_SourceHyperlink($D$72), $D$72)</f>
        <v>Table_MP_j</v>
      </c>
    </row>
    <row r="66" spans="1:18" ht="20.100000000000001" customHeight="1" x14ac:dyDescent="0.25">
      <c r="A66" s="5" t="str">
        <f>HYPERLINK("#'Constants - Refrigerants'!A1", "Constants - Refrigerants")</f>
        <v>Constants - Refrigerants</v>
      </c>
      <c r="D66" s="119" t="str">
        <v>MP_j</v>
      </c>
      <c r="E66" s="124" t="str">
        <v>milk production (if input as milk solids)</v>
      </c>
      <c r="F66" s="125"/>
      <c r="G66" s="119" t="str">
        <v>L/head/day</v>
      </c>
      <c r="H66" s="127" t="str">
        <v>Calculated from 3.3.1.1 (5)</v>
      </c>
      <c r="I66" s="126" t="str" cm="1">
        <f t="array" aca="1" ref="I66" ca="1">HYPERLINK(Common_InputFunctions.Utility_SourceHyperlink($D$47),$D$47)</f>
        <v>M1_Table_MP_j_from_solids</v>
      </c>
    </row>
    <row r="67" spans="1:18" ht="20.100000000000001" customHeight="1" x14ac:dyDescent="0.25">
      <c r="A67" s="5" t="str">
        <f>HYPERLINK("#'Constants - Solid Waste'!A1", "Constants - Solid Waste")</f>
        <v>Constants - Solid Waste</v>
      </c>
      <c r="D67" s="119" t="str">
        <v>NE</v>
      </c>
      <c r="E67" s="124" t="str">
        <v>net energy</v>
      </c>
      <c r="F67" s="125"/>
      <c r="G67" s="119" t="str">
        <v>MJ net energy/kg milk</v>
      </c>
      <c r="H67" s="127" t="str">
        <v>Constant</v>
      </c>
      <c r="I67" s="119">
        <f>SourceData_Dairy_NetEnergy_Data</f>
        <v>3.0539999999999998</v>
      </c>
    </row>
    <row r="68" spans="1:18" ht="20.100000000000001" customHeight="1" x14ac:dyDescent="0.25">
      <c r="A68" s="5" t="str">
        <f>HYPERLINK("#'Acknowledgements'!A1", "Acknowledgements")</f>
        <v>Acknowledgements</v>
      </c>
      <c r="D68" s="119" t="str">
        <v>GEC</v>
      </c>
      <c r="E68" s="124" t="str">
        <v>gross energy content</v>
      </c>
      <c r="F68" s="125"/>
      <c r="G68" s="119" t="str">
        <v>MJ/kgDM</v>
      </c>
      <c r="H68" s="127" t="str">
        <v>Constant</v>
      </c>
      <c r="I68" s="119">
        <f>SourceData_Dairy_GrossEnergyContent_Data</f>
        <v>18.399999999999999</v>
      </c>
    </row>
    <row r="69" spans="1:18" ht="20.100000000000001" customHeight="1" x14ac:dyDescent="0.25">
      <c r="D69" s="119" t="str">
        <v>k</v>
      </c>
      <c r="E69" s="124" t="str">
        <v>efficiency of metabolizable energy use for milk production</v>
      </c>
      <c r="F69" s="125"/>
      <c r="G69" s="119" t="str">
        <v>fraction</v>
      </c>
      <c r="H69" s="127" t="str">
        <v>Constant</v>
      </c>
      <c r="I69" s="119">
        <f>SourceData_Dairy_EfficiencyOfUseOfMetabolizableEnergy_Data</f>
        <v>0.6</v>
      </c>
    </row>
    <row r="70" spans="1:18" ht="20.100000000000001" customHeight="1" x14ac:dyDescent="0.25">
      <c r="D70" s="119" t="str">
        <v>qm_j</v>
      </c>
      <c r="E70" s="124" t="str">
        <v>metabolisability of the diet</v>
      </c>
      <c r="F70" s="125"/>
      <c r="G70" s="119" t="str">
        <v>fraction</v>
      </c>
      <c r="H70" s="127" t="str">
        <v>Calculated from 3.3.1.1 (6)</v>
      </c>
      <c r="I70" s="126" t="str" cm="1">
        <f t="array" aca="1" ref="I70" ca="1">HYPERLINK(Common_InputFunctions.Utility_SourceHyperlink($D$21), $D$21)</f>
        <v>M1_Table_qm_j</v>
      </c>
    </row>
    <row r="71" spans="1:18" ht="20.100000000000001" customHeight="1" x14ac:dyDescent="0.25"/>
    <row r="72" spans="1:18" ht="20.100000000000001" customHeight="1" x14ac:dyDescent="0.25">
      <c r="D72" s="121" t="s">
        <v>400</v>
      </c>
    </row>
    <row r="73" spans="1:18" ht="20.100000000000001" customHeight="1" x14ac:dyDescent="0.25">
      <c r="D73" s="122" t="s">
        <v>352</v>
      </c>
    </row>
    <row r="74" spans="1:18" ht="20.100000000000001" customHeight="1" x14ac:dyDescent="0.25">
      <c r="D74" s="81" t="s">
        <v>334</v>
      </c>
      <c r="E74" s="81" t="s">
        <v>335</v>
      </c>
      <c r="F74" s="81" t="s">
        <v>336</v>
      </c>
      <c r="G74" s="81" t="s">
        <v>337</v>
      </c>
      <c r="H74" s="81" t="s">
        <v>338</v>
      </c>
    </row>
    <row r="75" spans="1:18" ht="20.100000000000001" customHeight="1" x14ac:dyDescent="0.25">
      <c r="D75" s="15">
        <f>IF(I64="Milk solids", 0, X_Cell_Dairy_MilkProductionAmount)</f>
        <v>20</v>
      </c>
      <c r="E75" s="15">
        <v>0</v>
      </c>
      <c r="F75" s="15">
        <v>0</v>
      </c>
      <c r="G75" s="15">
        <v>0</v>
      </c>
      <c r="H75" s="15">
        <v>0</v>
      </c>
      <c r="I75" s="16" t="s">
        <v>399</v>
      </c>
    </row>
    <row r="76" spans="1:18" ht="20.100000000000001" customHeight="1" x14ac:dyDescent="0.25"/>
    <row r="77" spans="1:18" ht="20.100000000000001" customHeight="1" x14ac:dyDescent="0.25">
      <c r="D77" s="121" t="s">
        <v>401</v>
      </c>
      <c r="M77" s="121" t="s">
        <v>402</v>
      </c>
    </row>
    <row r="78" spans="1:18" ht="20.100000000000001" customHeight="1" x14ac:dyDescent="0.25">
      <c r="D78" s="122" t="s">
        <v>403</v>
      </c>
      <c r="M78" s="122" t="s">
        <v>404</v>
      </c>
    </row>
    <row r="79" spans="1:18" ht="20.100000000000001" customHeight="1" x14ac:dyDescent="0.25">
      <c r="D79" s="123" t="s">
        <v>334</v>
      </c>
      <c r="E79" s="123" t="s">
        <v>335</v>
      </c>
      <c r="F79" s="123" t="s">
        <v>336</v>
      </c>
      <c r="G79" s="123" t="s">
        <v>337</v>
      </c>
      <c r="H79" s="123" t="s">
        <v>338</v>
      </c>
      <c r="M79" s="123" t="s">
        <v>334</v>
      </c>
      <c r="N79" s="123" t="s">
        <v>335</v>
      </c>
      <c r="O79" s="123" t="s">
        <v>336</v>
      </c>
      <c r="P79" s="123" t="s">
        <v>337</v>
      </c>
      <c r="Q79" s="123" t="s">
        <v>338</v>
      </c>
    </row>
    <row r="80" spans="1:18" ht="20.100000000000001" customHeight="1" x14ac:dyDescent="0.25">
      <c r="D80" s="15" cm="1">
        <f t="array" ref="D80">EntericMethane_Dairy_Equations.VEERG_3_3_1_1__4_AdditionalIntakeForMilkProduction(IF(I64="Milk solids", D50, D75),$I$67,$I$68,$I$69,D24)</f>
        <v>9.5798721636071917</v>
      </c>
      <c r="E80" s="15" cm="1">
        <f t="array" ref="E80">EntericMethane_Dairy_Equations.VEERG_3_3_1_1__4_AdditionalIntakeForMilkProduction(E75, $I$67,$I$68,$I$69,E24)</f>
        <v>0</v>
      </c>
      <c r="F80" s="15" cm="1">
        <f t="array" ref="F80">EntericMethane_Dairy_Equations.VEERG_3_3_1_1__4_AdditionalIntakeForMilkProduction(F75, $I$67,$I$68,$I$69,F24)</f>
        <v>0</v>
      </c>
      <c r="G80" s="15" cm="1">
        <f t="array" ref="G80">EntericMethane_Dairy_Equations.VEERG_3_3_1_1__4_AdditionalIntakeForMilkProduction(G75, $I$67,$I$68,$I$69,G24)</f>
        <v>0</v>
      </c>
      <c r="H80" s="15" cm="1">
        <f t="array" ref="H80">EntericMethane_Dairy_Equations.VEERG_3_3_1_1__4_AdditionalIntakeForMilkProduction(H75, $I$67,$I$68,$I$69,H24)</f>
        <v>0</v>
      </c>
      <c r="I80" s="16" t="str">
        <f>$E$62</f>
        <v>kg DM/head/day</v>
      </c>
      <c r="M80" s="15" cm="1">
        <f t="array" ref="M80">EntericMethane_Dairy_Equations.VEERG_3_3_1_1__4_AdditionalIntakeForMilkProduction(IF(I64="Milk solids", M50, D75),$I$67,$I$68,$I$69,D24)</f>
        <v>9.5798721636071917</v>
      </c>
      <c r="N80" s="15" cm="1">
        <f t="array" ref="N80">EntericMethane_Dairy_Equations.VEERG_3_3_1_1__4_AdditionalIntakeForMilkProduction(E75, $I$67,$I$68,$I$69,N24)</f>
        <v>0</v>
      </c>
      <c r="O80" s="15" cm="1">
        <f t="array" ref="O80">EntericMethane_Dairy_Equations.VEERG_3_3_1_1__4_AdditionalIntakeForMilkProduction(F75, $I$67,$I$68,$I$69,O24)</f>
        <v>0</v>
      </c>
      <c r="P80" s="15" cm="1">
        <f t="array" ref="P80">EntericMethane_Dairy_Equations.VEERG_3_3_1_1__4_AdditionalIntakeForMilkProduction(G75, $I$67,$I$68,$I$69,P24)</f>
        <v>0</v>
      </c>
      <c r="Q80" s="15" cm="1">
        <f t="array" ref="Q80">EntericMethane_Dairy_Equations.VEERG_3_3_1_1__4_AdditionalIntakeForMilkProduction(H75, $I$67,$I$68,$I$69,Q24)</f>
        <v>0</v>
      </c>
      <c r="R80" s="16" t="str">
        <f>$E$62</f>
        <v>kg DM/head/day</v>
      </c>
    </row>
    <row r="81" spans="3:19" ht="20.100000000000001" customHeight="1" x14ac:dyDescent="0.25"/>
    <row r="82" spans="3:19" ht="20.100000000000001" customHeight="1" x14ac:dyDescent="0.25"/>
    <row r="83" spans="3:19" ht="20.100000000000001" customHeight="1" x14ac:dyDescent="0.25">
      <c r="C83" s="88"/>
      <c r="D83" s="88"/>
      <c r="E83" s="88"/>
      <c r="F83" s="88"/>
      <c r="G83" s="88"/>
      <c r="H83" s="88"/>
      <c r="I83" s="88"/>
      <c r="J83" s="88"/>
      <c r="L83" s="88"/>
      <c r="M83" s="88"/>
      <c r="N83" s="88"/>
      <c r="O83" s="88"/>
      <c r="P83" s="88"/>
      <c r="Q83" s="88"/>
      <c r="R83" s="88"/>
      <c r="S83" s="88"/>
    </row>
    <row r="84" spans="3:19" ht="20.100000000000001" customHeight="1" x14ac:dyDescent="0.25">
      <c r="D84" s="2" t="str" cm="1">
        <f t="array" ref="D84">EntericMethane_Dairy_Equations.VEERG_3_3_1_1__3_DryMatterFeedIntake_Title()</f>
        <v>Feed intake</v>
      </c>
    </row>
    <row r="85" spans="3:19" ht="20.100000000000001" customHeight="1" x14ac:dyDescent="0.25">
      <c r="D85" s="17" t="str" cm="1">
        <f t="array" ref="D85">EntericMethane_Dairy_Equations.VEERG_3_3_1_1__3_DryMatterFeedIntake_Source()</f>
        <v>VEERG 2026: 3.3.1.1, Equation (3)</v>
      </c>
    </row>
    <row r="86" spans="3:19" ht="20.100000000000001" customHeight="1" x14ac:dyDescent="0.25">
      <c r="D86" s="117" t="s">
        <v>382</v>
      </c>
      <c r="E86" s="117" t="str" cm="1">
        <f t="array" aca="1" ref="E86" ca="1">Common_InputFunctions.Utility_DisplayFunctionName(D115)</f>
        <v>=EntericMethane_Dairy_Equations.VEERG_3_3_1_1__3_DryMatterFeedIntake</v>
      </c>
    </row>
    <row r="87" spans="3:19" ht="20.100000000000001" customHeight="1" x14ac:dyDescent="0.25"/>
    <row r="88" spans="3:19" ht="20.100000000000001" customHeight="1" x14ac:dyDescent="0.25"/>
    <row r="89" spans="3:19" ht="20.100000000000001" customHeight="1" x14ac:dyDescent="0.25">
      <c r="D89" s="76" t="s">
        <v>383</v>
      </c>
      <c r="E89" s="1" t="str" cm="1">
        <f t="array" ref="E89">EntericMethane_Dairy_Equations.VEERG_3_3_1_1__3_DryMatterFeedIntake_Variable()</f>
        <v>I_j</v>
      </c>
    </row>
    <row r="90" spans="3:19" ht="20.100000000000001" customHeight="1" x14ac:dyDescent="0.25">
      <c r="D90" s="76" t="s">
        <v>118</v>
      </c>
      <c r="E90" s="9" t="str" cm="1">
        <f t="array" ref="E90">EntericMethane_Dairy_Equations.VEERG_3_3_1_1__3_DryMatterFeedIntake_Unit()</f>
        <v>kg DM/head/day</v>
      </c>
    </row>
    <row r="91" spans="3:19" ht="20.100000000000001" customHeight="1" x14ac:dyDescent="0.25"/>
    <row r="92" spans="3:19" ht="20.100000000000001" customHeight="1" x14ac:dyDescent="0.25">
      <c r="D92" s="119" t="str" cm="1">
        <f t="array" ref="D92:E95">_xlfn.CHOOSECOLS(EntericMethane_Dairy_Equations.VEERG_3_3_1_1__3_DryMatterFeedIntake_Arguments(),1,2)</f>
        <v>W_j</v>
      </c>
      <c r="E92" s="124" t="str">
        <v>liveweight</v>
      </c>
      <c r="F92" s="125"/>
      <c r="G92" s="119" t="str" cm="1">
        <f t="array" ref="G92:H95">_xlfn.CHOOSECOLS(EntericMethane_Dairy_Equations.VEERG_3_3_1_1__3_DryMatterFeedIntake_Arguments(),3,4)</f>
        <v>kg</v>
      </c>
      <c r="H92" s="120" t="str">
        <v>Input</v>
      </c>
      <c r="I92" s="126" t="str" cm="1">
        <f t="array" aca="1" ref="I92" ca="1">HYPERLINK(Common_InputFunctions.Utility_SourceHyperlink($D$97), $D$97)</f>
        <v>M1_Table_W_j</v>
      </c>
    </row>
    <row r="93" spans="3:19" ht="20.100000000000001" customHeight="1" x14ac:dyDescent="0.25">
      <c r="D93" s="119" t="str">
        <v>LWG_j</v>
      </c>
      <c r="E93" s="124" t="str">
        <v>liveweight gain</v>
      </c>
      <c r="F93" s="125"/>
      <c r="G93" s="119" t="str">
        <v>kg/head/day</v>
      </c>
      <c r="H93" s="120" t="str">
        <v>Input</v>
      </c>
      <c r="I93" s="126" t="str" cm="1">
        <f t="array" aca="1" ref="I93" ca="1">HYPERLINK(Common_InputFunctions.Utility_SourceHyperlink($D$102), $D$102)</f>
        <v>M1_Table_LWG_j</v>
      </c>
    </row>
    <row r="94" spans="3:19" ht="20.100000000000001" customHeight="1" x14ac:dyDescent="0.25">
      <c r="D94" s="119" t="str">
        <v>MR_j</v>
      </c>
      <c r="E94" s="124" t="str">
        <v>increase in metabolic rate when producing milk</v>
      </c>
      <c r="F94" s="125"/>
      <c r="G94" s="119" t="str">
        <v>fraction</v>
      </c>
      <c r="H94" s="127" t="str">
        <v>Constant</v>
      </c>
      <c r="I94" s="126" t="str" cm="1">
        <f t="array" aca="1" ref="I94" ca="1">HYPERLINK(Common_InputFunctions.Utility_SourceHyperlink($D$107), $D$107)</f>
        <v>Table_MR_j</v>
      </c>
    </row>
    <row r="95" spans="3:19" ht="20.100000000000001" customHeight="1" x14ac:dyDescent="0.25">
      <c r="D95" s="119" t="str">
        <v>MI_j</v>
      </c>
      <c r="E95" s="124" t="str">
        <v>additional intake required for milk production</v>
      </c>
      <c r="F95" s="125"/>
      <c r="G95" s="119" t="str">
        <v>kg DM/head/day</v>
      </c>
      <c r="H95" s="127" t="str">
        <v>Calculated from 3.3.1.1 (4)</v>
      </c>
      <c r="I95" s="126" t="str" cm="1">
        <f t="array" aca="1" ref="I95" ca="1">HYPERLINK(Common_InputFunctions.Utility_SourceHyperlink($D$77), $D$77)</f>
        <v>M1_Table_MI_j</v>
      </c>
    </row>
    <row r="96" spans="3:19" ht="20.100000000000001" customHeight="1" x14ac:dyDescent="0.25"/>
    <row r="97" spans="4:18" ht="20.100000000000001" customHeight="1" x14ac:dyDescent="0.25">
      <c r="D97" s="121" t="s">
        <v>405</v>
      </c>
      <c r="M97" s="121" t="s">
        <v>406</v>
      </c>
    </row>
    <row r="98" spans="4:18" ht="20.100000000000001" customHeight="1" x14ac:dyDescent="0.25">
      <c r="D98" s="122" t="s">
        <v>407</v>
      </c>
      <c r="M98" s="122" t="s">
        <v>408</v>
      </c>
    </row>
    <row r="99" spans="4:18" ht="20.100000000000001" customHeight="1" x14ac:dyDescent="0.25">
      <c r="D99" s="81" t="s">
        <v>334</v>
      </c>
      <c r="E99" s="81" t="s">
        <v>335</v>
      </c>
      <c r="F99" s="81" t="s">
        <v>336</v>
      </c>
      <c r="G99" s="81" t="s">
        <v>337</v>
      </c>
      <c r="H99" s="81" t="s">
        <v>338</v>
      </c>
      <c r="M99" s="81" t="s">
        <v>334</v>
      </c>
      <c r="N99" s="81" t="s">
        <v>335</v>
      </c>
      <c r="O99" s="81" t="s">
        <v>336</v>
      </c>
      <c r="P99" s="81" t="s">
        <v>337</v>
      </c>
      <c r="Q99" s="81" t="s">
        <v>338</v>
      </c>
    </row>
    <row r="100" spans="4:18" ht="20.100000000000001" customHeight="1" x14ac:dyDescent="0.25">
      <c r="D100" s="15">
        <f>'Input - Dairy'!$E$14</f>
        <v>550</v>
      </c>
      <c r="E100" s="15">
        <f>'Input - Dairy'!$F$14</f>
        <v>380</v>
      </c>
      <c r="F100" s="15">
        <f>'Input - Dairy'!$G$14</f>
        <v>155</v>
      </c>
      <c r="G100" s="15">
        <f>'Input - Dairy'!$H$14</f>
        <v>600</v>
      </c>
      <c r="H100" s="15">
        <f>'Input - Dairy'!$I$14</f>
        <v>225</v>
      </c>
      <c r="I100" s="16" t="s">
        <v>343</v>
      </c>
      <c r="M100" s="15">
        <f>'Input - Dairy'!$E$18</f>
        <v>550</v>
      </c>
      <c r="N100" s="15">
        <f>'Input - Dairy'!$F$18</f>
        <v>380</v>
      </c>
      <c r="O100" s="15">
        <f>'Input - Dairy'!$G$18</f>
        <v>155</v>
      </c>
      <c r="P100" s="15">
        <f>'Input - Dairy'!$H$18</f>
        <v>600</v>
      </c>
      <c r="Q100" s="15">
        <f>'Input - Dairy'!$I$18</f>
        <v>225</v>
      </c>
      <c r="R100" s="16" t="s">
        <v>343</v>
      </c>
    </row>
    <row r="101" spans="4:18" ht="20.100000000000001" customHeight="1" x14ac:dyDescent="0.25"/>
    <row r="102" spans="4:18" ht="20.100000000000001" customHeight="1" x14ac:dyDescent="0.25">
      <c r="D102" s="121" t="s">
        <v>409</v>
      </c>
      <c r="M102" s="121" t="s">
        <v>410</v>
      </c>
    </row>
    <row r="103" spans="4:18" ht="20.100000000000001" customHeight="1" x14ac:dyDescent="0.25">
      <c r="D103" s="122" t="s">
        <v>411</v>
      </c>
      <c r="M103" s="122" t="s">
        <v>412</v>
      </c>
    </row>
    <row r="104" spans="4:18" ht="20.100000000000001" customHeight="1" x14ac:dyDescent="0.25">
      <c r="D104" s="81" t="s">
        <v>334</v>
      </c>
      <c r="E104" s="81" t="s">
        <v>335</v>
      </c>
      <c r="F104" s="81" t="s">
        <v>336</v>
      </c>
      <c r="G104" s="81" t="s">
        <v>337</v>
      </c>
      <c r="H104" s="81" t="s">
        <v>338</v>
      </c>
      <c r="M104" s="81" t="s">
        <v>334</v>
      </c>
      <c r="N104" s="81" t="s">
        <v>335</v>
      </c>
      <c r="O104" s="81" t="s">
        <v>336</v>
      </c>
      <c r="P104" s="81" t="s">
        <v>337</v>
      </c>
      <c r="Q104" s="81" t="s">
        <v>338</v>
      </c>
    </row>
    <row r="105" spans="4:18" ht="20.100000000000001" customHeight="1" x14ac:dyDescent="0.25">
      <c r="D105" s="15">
        <f>'Input - Dairy'!$E$15</f>
        <v>1.6E-2</v>
      </c>
      <c r="E105" s="15">
        <f>'Input - Dairy'!$F$15</f>
        <v>0.6</v>
      </c>
      <c r="F105" s="15">
        <f>'Input - Dairy'!$G$15</f>
        <v>0.56999999999999995</v>
      </c>
      <c r="G105" s="15">
        <f>'Input - Dairy'!$H$15</f>
        <v>0.1</v>
      </c>
      <c r="H105" s="15">
        <f>'Input - Dairy'!$I$15</f>
        <v>0.8</v>
      </c>
      <c r="I105" s="16" t="s">
        <v>345</v>
      </c>
      <c r="M105" s="15">
        <f>'Input - Dairy'!$E$19</f>
        <v>1.6E-2</v>
      </c>
      <c r="N105" s="15">
        <f>'Input - Dairy'!$F$19</f>
        <v>0.6</v>
      </c>
      <c r="O105" s="15">
        <f>'Input - Dairy'!$G$19</f>
        <v>0.56999999999999995</v>
      </c>
      <c r="P105" s="15">
        <f>'Input - Dairy'!$H$19</f>
        <v>0.1</v>
      </c>
      <c r="Q105" s="15">
        <f>'Input - Dairy'!$I$19</f>
        <v>0.8</v>
      </c>
      <c r="R105" s="16" t="s">
        <v>345</v>
      </c>
    </row>
    <row r="106" spans="4:18" ht="20.100000000000001" customHeight="1" x14ac:dyDescent="0.25"/>
    <row r="107" spans="4:18" ht="20.100000000000001" customHeight="1" x14ac:dyDescent="0.25">
      <c r="D107" s="121" t="s">
        <v>413</v>
      </c>
    </row>
    <row r="108" spans="4:18" ht="20.100000000000001" customHeight="1" x14ac:dyDescent="0.25">
      <c r="D108" s="122" t="s">
        <v>414</v>
      </c>
    </row>
    <row r="109" spans="4:18" ht="20.100000000000001" customHeight="1" x14ac:dyDescent="0.25">
      <c r="D109" s="123" t="s">
        <v>334</v>
      </c>
      <c r="E109" s="123" t="s">
        <v>335</v>
      </c>
      <c r="F109" s="123" t="s">
        <v>336</v>
      </c>
      <c r="G109" s="123" t="s">
        <v>337</v>
      </c>
      <c r="H109" s="123" t="s">
        <v>338</v>
      </c>
    </row>
    <row r="110" spans="4:18" ht="20.100000000000001" customHeight="1" x14ac:dyDescent="0.25">
      <c r="D110" s="15">
        <f>'Constants - Dairy'!$E$108</f>
        <v>1.1000000000000001</v>
      </c>
      <c r="E110" s="15">
        <f>'Constants - Dairy'!$E$109</f>
        <v>1</v>
      </c>
      <c r="F110" s="15">
        <f>'Constants - Dairy'!$E$109</f>
        <v>1</v>
      </c>
      <c r="G110" s="15">
        <f>'Constants - Dairy'!$E$109</f>
        <v>1</v>
      </c>
      <c r="H110" s="15">
        <f>'Constants - Dairy'!$E$109</f>
        <v>1</v>
      </c>
      <c r="I110" s="16" t="s">
        <v>350</v>
      </c>
    </row>
    <row r="111" spans="4:18" ht="20.100000000000001" customHeight="1" x14ac:dyDescent="0.25"/>
    <row r="112" spans="4:18" ht="20.100000000000001" customHeight="1" x14ac:dyDescent="0.25">
      <c r="D112" s="121" t="s">
        <v>415</v>
      </c>
      <c r="M112" s="121" t="s">
        <v>416</v>
      </c>
    </row>
    <row r="113" spans="3:19" ht="20.100000000000001" customHeight="1" x14ac:dyDescent="0.25">
      <c r="D113" s="122" t="s">
        <v>417</v>
      </c>
      <c r="M113" s="122" t="s">
        <v>418</v>
      </c>
    </row>
    <row r="114" spans="3:19" ht="20.100000000000001" customHeight="1" x14ac:dyDescent="0.25">
      <c r="D114" s="123" t="s">
        <v>334</v>
      </c>
      <c r="E114" s="123" t="s">
        <v>335</v>
      </c>
      <c r="F114" s="123" t="s">
        <v>336</v>
      </c>
      <c r="G114" s="123" t="s">
        <v>337</v>
      </c>
      <c r="H114" s="123" t="s">
        <v>338</v>
      </c>
      <c r="M114" s="123" t="s">
        <v>334</v>
      </c>
      <c r="N114" s="123" t="s">
        <v>335</v>
      </c>
      <c r="O114" s="123" t="s">
        <v>336</v>
      </c>
      <c r="P114" s="123" t="s">
        <v>337</v>
      </c>
      <c r="Q114" s="123" t="s">
        <v>338</v>
      </c>
    </row>
    <row r="115" spans="3:19" ht="20.100000000000001" customHeight="1" x14ac:dyDescent="0.25">
      <c r="D115" s="15" cm="1">
        <f t="array" ref="D115">EntericMethane_Dairy_Equations.VEERG_3_3_1_1__3_DryMatterFeedIntake(D100,D105,D110,D80)</f>
        <v>18.834317684367193</v>
      </c>
      <c r="E115" s="15" cm="1">
        <f t="array" ref="E115">EntericMethane_Dairy_Equations.VEERG_3_3_1_1__3_DryMatterFeedIntake(E100,E105,E110,E80)</f>
        <v>7.4188685375999972</v>
      </c>
      <c r="F115" s="15" cm="1">
        <f t="array" ref="F115">EntericMethane_Dairy_Equations.VEERG_3_3_1_1__3_DryMatterFeedIntake(F100,F105,F110,F80)</f>
        <v>4.0231734662249998</v>
      </c>
      <c r="G115" s="15" cm="1">
        <f t="array" ref="G115">EntericMethane_Dairy_Equations.VEERG_3_3_1_1__3_DryMatterFeedIntake(G100,G105,G110,G80)</f>
        <v>9.0270202499999979</v>
      </c>
      <c r="H115" s="15" cm="1">
        <f t="array" ref="H115">EntericMethane_Dairy_Equations.VEERG_3_3_1_1__3_DryMatterFeedIntake(H100,H105,H110,H80)</f>
        <v>5.4143472656250013</v>
      </c>
      <c r="I115" s="16" t="str">
        <f>$E$90</f>
        <v>kg DM/head/day</v>
      </c>
      <c r="M115" s="15" cm="1">
        <f t="array" ref="M115">EntericMethane_Dairy_Equations.VEERG_3_3_1_1__3_DryMatterFeedIntake(M100,M105,D110,M80)</f>
        <v>18.834317684367193</v>
      </c>
      <c r="N115" s="15" cm="1">
        <f t="array" ref="N115">EntericMethane_Dairy_Equations.VEERG_3_3_1_1__3_DryMatterFeedIntake(N100,N105,E110,N80)</f>
        <v>7.4188685375999972</v>
      </c>
      <c r="O115" s="15" cm="1">
        <f t="array" ref="O115">EntericMethane_Dairy_Equations.VEERG_3_3_1_1__3_DryMatterFeedIntake(O100,O105,F110,O80)</f>
        <v>4.0231734662249998</v>
      </c>
      <c r="P115" s="15" cm="1">
        <f t="array" ref="P115">EntericMethane_Dairy_Equations.VEERG_3_3_1_1__3_DryMatterFeedIntake(P100,P105,G110,P80)</f>
        <v>9.0270202499999979</v>
      </c>
      <c r="Q115" s="15" cm="1">
        <f t="array" ref="Q115">EntericMethane_Dairy_Equations.VEERG_3_3_1_1__3_DryMatterFeedIntake(Q100,Q105,H110,Q80)</f>
        <v>5.4143472656250013</v>
      </c>
      <c r="R115" s="16" t="str">
        <f>$E$90</f>
        <v>kg DM/head/day</v>
      </c>
    </row>
    <row r="116" spans="3:19" ht="20.100000000000001" customHeight="1" x14ac:dyDescent="0.25"/>
    <row r="117" spans="3:19" ht="20.100000000000001" customHeight="1" x14ac:dyDescent="0.25"/>
    <row r="118" spans="3:19" ht="20.100000000000001" customHeight="1" x14ac:dyDescent="0.25">
      <c r="C118" s="88"/>
      <c r="D118" s="88"/>
      <c r="E118" s="88"/>
      <c r="F118" s="88"/>
      <c r="G118" s="88"/>
      <c r="H118" s="88"/>
      <c r="I118" s="88"/>
      <c r="J118" s="88"/>
      <c r="L118" s="88"/>
      <c r="M118" s="88"/>
      <c r="N118" s="88"/>
      <c r="O118" s="88"/>
      <c r="P118" s="88"/>
      <c r="Q118" s="88"/>
      <c r="R118" s="88"/>
      <c r="S118" s="88"/>
    </row>
    <row r="119" spans="3:19" ht="20.100000000000001" customHeight="1" x14ac:dyDescent="0.25">
      <c r="D119" s="78" t="str" cm="1">
        <f t="array" ref="D119">EntericMethane_Dairy_Equations.VEERG_3_3_1_1__2_DailyEntericMethaneProduction_Title()</f>
        <v>Daily production of enteric methane</v>
      </c>
    </row>
    <row r="120" spans="3:19" ht="20.100000000000001" customHeight="1" x14ac:dyDescent="0.25">
      <c r="D120" s="17" t="str" cm="1">
        <f t="array" ref="D120">EntericMethane_Dairy_Equations.VEERG_3_3_1_1__2_DailyEntericMethaneProduction_Source()</f>
        <v>VEERG 2026: 3.3.1.1, Equation (2)</v>
      </c>
    </row>
    <row r="121" spans="3:19" ht="20.100000000000001" customHeight="1" x14ac:dyDescent="0.25">
      <c r="D121" s="117" t="s">
        <v>382</v>
      </c>
      <c r="E121" s="117" t="str" cm="1">
        <f t="array" aca="1" ref="E121" ca="1">Common_InputFunctions.Utility_DisplayFunctionName(D132)</f>
        <v>=EntericMethane_Dairy_Equations.VEERG_3_3_1_1__2_DailyEntericMethaneProduction</v>
      </c>
    </row>
    <row r="122" spans="3:19" ht="20.100000000000001" customHeight="1" x14ac:dyDescent="0.25"/>
    <row r="123" spans="3:19" ht="20.100000000000001" customHeight="1" x14ac:dyDescent="0.25"/>
    <row r="124" spans="3:19" ht="20.100000000000001" customHeight="1" x14ac:dyDescent="0.25">
      <c r="D124" s="76" t="s">
        <v>383</v>
      </c>
      <c r="E124" s="1" t="str" cm="1">
        <f t="array" ref="E124">EntericMethane_Dairy_Equations.VEERG_3_3_1_1__2_DailyEntericMethaneProduction_Variable()</f>
        <v>M_j</v>
      </c>
    </row>
    <row r="125" spans="3:19" ht="20.100000000000001" customHeight="1" x14ac:dyDescent="0.25">
      <c r="D125" s="76" t="s">
        <v>118</v>
      </c>
      <c r="E125" s="9" t="str" cm="1">
        <f t="array" ref="E125">EntericMethane_Dairy_Equations.VEERG_3_3_1_1__2_DailyEntericMethaneProduction_Unit()</f>
        <v>kg CH4/head/day</v>
      </c>
    </row>
    <row r="126" spans="3:19" ht="20.100000000000001" customHeight="1" x14ac:dyDescent="0.25"/>
    <row r="127" spans="3:19" ht="20.100000000000001" customHeight="1" x14ac:dyDescent="0.25">
      <c r="D127" s="119" t="str" cm="1">
        <f t="array" ref="D127:G127">EntericMethane_Dairy_Equations.VEERG_3_3_1_1__2_DailyEntericMethaneProduction_Arguments()</f>
        <v>I_j</v>
      </c>
      <c r="E127" s="119" t="str">
        <v>dry matter feed intake</v>
      </c>
      <c r="F127" s="119" t="str">
        <v>kg DM/head/day</v>
      </c>
      <c r="G127" s="127" t="str">
        <v>Calculated from 3.3.1.1 (3)</v>
      </c>
      <c r="H127" s="126" t="str" cm="1">
        <f t="array" aca="1" ref="H127" ca="1">HYPERLINK(Common_InputFunctions.Utility_SourceHyperlink($D$112),$D$112)</f>
        <v>M1_Table_I_j</v>
      </c>
    </row>
    <row r="128" spans="3:19" ht="20.100000000000001" customHeight="1" x14ac:dyDescent="0.25"/>
    <row r="129" spans="3:19" ht="20.100000000000001" customHeight="1" x14ac:dyDescent="0.25">
      <c r="D129" s="121" t="s">
        <v>654</v>
      </c>
      <c r="M129" s="121" t="s">
        <v>655</v>
      </c>
    </row>
    <row r="130" spans="3:19" ht="20.100000000000001" customHeight="1" x14ac:dyDescent="0.25">
      <c r="D130" s="122" t="s">
        <v>656</v>
      </c>
      <c r="M130" s="122" t="s">
        <v>657</v>
      </c>
    </row>
    <row r="131" spans="3:19" ht="20.100000000000001" customHeight="1" x14ac:dyDescent="0.25">
      <c r="D131" s="123" t="s">
        <v>334</v>
      </c>
      <c r="E131" s="123" t="s">
        <v>335</v>
      </c>
      <c r="F131" s="123" t="s">
        <v>336</v>
      </c>
      <c r="G131" s="123" t="s">
        <v>337</v>
      </c>
      <c r="H131" s="123" t="s">
        <v>338</v>
      </c>
      <c r="M131" s="123" t="s">
        <v>334</v>
      </c>
      <c r="N131" s="123" t="s">
        <v>335</v>
      </c>
      <c r="O131" s="123" t="s">
        <v>336</v>
      </c>
      <c r="P131" s="123" t="s">
        <v>337</v>
      </c>
      <c r="Q131" s="123" t="s">
        <v>338</v>
      </c>
    </row>
    <row r="132" spans="3:19" ht="20.100000000000001" customHeight="1" x14ac:dyDescent="0.25">
      <c r="D132" s="15" cm="1">
        <f t="array" ref="D132">EntericMethane_Dairy_Equations.VEERG_3_3_1_1__2_DailyEntericMethaneProduction(D115)</f>
        <v>0.38987037606640085</v>
      </c>
      <c r="E132" s="15" cm="1">
        <f t="array" ref="E132">EntericMethane_Dairy_Equations.VEERG_3_3_1_1__2_DailyEntericMethaneProduction(E115)</f>
        <v>0.15357057872831995</v>
      </c>
      <c r="F132" s="15" cm="1">
        <f t="array" ref="F132">EntericMethane_Dairy_Equations.VEERG_3_3_1_1__2_DailyEntericMethaneProduction(F115)</f>
        <v>8.3279690750857505E-2</v>
      </c>
      <c r="G132" s="15" cm="1">
        <f t="array" ref="G132">EntericMethane_Dairy_Equations.VEERG_3_3_1_1__2_DailyEntericMethaneProduction(G115)</f>
        <v>0.18685931917499995</v>
      </c>
      <c r="H132" s="15" cm="1">
        <f t="array" ref="H132">EntericMethane_Dairy_Equations.VEERG_3_3_1_1__2_DailyEntericMethaneProduction(H115)</f>
        <v>0.11207698839843752</v>
      </c>
      <c r="I132" s="16" t="str">
        <f>$E$125</f>
        <v>kg CH4/head/day</v>
      </c>
      <c r="M132" s="15" cm="1">
        <f t="array" ref="M132">EntericMethane_Dairy_Equations.VEERG_3_3_1_1__2_DailyEntericMethaneProduction(M115)</f>
        <v>0.38987037606640085</v>
      </c>
      <c r="N132" s="15" cm="1">
        <f t="array" ref="N132">EntericMethane_Dairy_Equations.VEERG_3_3_1_1__2_DailyEntericMethaneProduction(N115)</f>
        <v>0.15357057872831995</v>
      </c>
      <c r="O132" s="15" cm="1">
        <f t="array" ref="O132">EntericMethane_Dairy_Equations.VEERG_3_3_1_1__2_DailyEntericMethaneProduction(O115)</f>
        <v>8.3279690750857505E-2</v>
      </c>
      <c r="P132" s="15" cm="1">
        <f t="array" ref="P132">EntericMethane_Dairy_Equations.VEERG_3_3_1_1__2_DailyEntericMethaneProduction(P115)</f>
        <v>0.18685931917499995</v>
      </c>
      <c r="Q132" s="15" cm="1">
        <f t="array" ref="Q132">EntericMethane_Dairy_Equations.VEERG_3_3_1_1__2_DailyEntericMethaneProduction(Q115)</f>
        <v>0.11207698839843752</v>
      </c>
      <c r="R132" s="16" t="str">
        <f>$E$125</f>
        <v>kg CH4/head/day</v>
      </c>
    </row>
    <row r="133" spans="3:19" ht="20.100000000000001" customHeight="1" x14ac:dyDescent="0.25"/>
    <row r="134" spans="3:19" ht="20.100000000000001" customHeight="1" x14ac:dyDescent="0.25"/>
    <row r="135" spans="3:19" ht="20.100000000000001" customHeight="1" x14ac:dyDescent="0.25">
      <c r="C135" s="88"/>
      <c r="D135" s="88"/>
      <c r="E135" s="88"/>
      <c r="F135" s="88"/>
      <c r="G135" s="88"/>
      <c r="H135" s="88"/>
      <c r="I135" s="88"/>
      <c r="J135" s="88"/>
      <c r="L135" s="88"/>
      <c r="M135" s="88"/>
      <c r="N135" s="88"/>
      <c r="O135" s="88"/>
      <c r="P135" s="88"/>
      <c r="Q135" s="88"/>
      <c r="R135" s="88"/>
      <c r="S135" s="88"/>
    </row>
    <row r="136" spans="3:19" ht="20.100000000000001" customHeight="1" x14ac:dyDescent="0.25">
      <c r="D136" s="78" t="str" cm="1">
        <f t="array" ref="D136">EntericMethane_Dairy_Equations.VEERG_3_3_1_1__1_TotalAnnualMethaneFromEntericFermentation_Title()</f>
        <v>Total annual methane production from enteric fermentation in dairy cattle</v>
      </c>
    </row>
    <row r="137" spans="3:19" ht="20.100000000000001" customHeight="1" x14ac:dyDescent="0.25">
      <c r="D137" s="17" t="str" cm="1">
        <f t="array" ref="D137">EntericMethane_Dairy_Equations.VEERG_3_3_1_1__1_TotalAnnualMethaneFromEntericFermentation_Source()</f>
        <v>VEERG 2026: 3.3.1.1, Equation (1)</v>
      </c>
    </row>
    <row r="138" spans="3:19" ht="20.100000000000001" customHeight="1" x14ac:dyDescent="0.25">
      <c r="D138" s="25" t="str" cm="1">
        <f t="array" ref="D138">EntericMethane_Dairy_Equations.VEERG_3_3_1_1__1_TotalAnnualMethaneFromEntericFermentation_Variation()</f>
        <v>VARIATION ON SOURCE: Added 'DPW' variable to allow for a separate handling of pre-weaned duration.</v>
      </c>
    </row>
    <row r="139" spans="3:19" ht="20.100000000000001" customHeight="1" x14ac:dyDescent="0.25">
      <c r="D139" s="117" t="s">
        <v>382</v>
      </c>
      <c r="E139" s="117" t="str" cm="1">
        <f t="array" aca="1" ref="E139" ca="1">Common_InputFunctions.Utility_DisplayFunctionName(D180)</f>
        <v>=EntericMethane_Dairy_Equations.VEERG_3_3_1_1__1_TotalAnnualMethaneFromEntericFermentationVariation</v>
      </c>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4:9" ht="20.100000000000001" customHeight="1" x14ac:dyDescent="0.25">
      <c r="D145" s="76" t="s">
        <v>383</v>
      </c>
      <c r="E145" s="1" t="str" cm="1">
        <f t="array" ref="E145">EntericMethane_Dairy_Equations.VEERG_3_3_1_1__1_TotalAnnualMethaneFromEntericFermentation_Variable()</f>
        <v>E_enteric</v>
      </c>
    </row>
    <row r="146" spans="4:9" ht="20.100000000000001" customHeight="1" x14ac:dyDescent="0.25">
      <c r="D146" s="76" t="s">
        <v>118</v>
      </c>
      <c r="E146" s="9" t="str" cm="1">
        <f t="array" ref="E146">EntericMethane_Dairy_Equations.VEERG_3_3_1_1__1_TotalAnnualMethaneFromEntericFermentation_Unit()</f>
        <v>t CH4</v>
      </c>
    </row>
    <row r="147" spans="4:9" ht="20.100000000000001" customHeight="1" x14ac:dyDescent="0.25"/>
    <row r="148" spans="4:9" ht="20.100000000000001" customHeight="1" x14ac:dyDescent="0.25">
      <c r="D148" s="119" t="str" cm="1">
        <f t="array" ref="D148:E155">_xlfn.CHOOSECOLS(EntericMethane_Dairy_Equations.VEERG_3_3_1_1__1_TotalAnnualMethaneFromEntericFermentation_Arguments(),1,2)</f>
        <v>N_j124</v>
      </c>
      <c r="E148" s="124" t="str">
        <v>number of dairy cattle in classes j=1,2,4</v>
      </c>
      <c r="F148" s="125"/>
      <c r="G148" s="119" t="str" cm="1">
        <f t="array" ref="G148:H155">_xlfn.CHOOSECOLS(EntericMethane_Dairy_Equations.VEERG_3_3_1_1__1_TotalAnnualMethaneFromEntericFermentation_Arguments(),3,4)</f>
        <v>head</v>
      </c>
      <c r="H148" s="120" t="str">
        <v>Input</v>
      </c>
      <c r="I148" s="126" t="str" cm="1">
        <f t="array" aca="1" ref="I148" ca="1">HYPERLINK(Common_InputFunctions.Utility_SourceHyperlink($D$157),$D$157)</f>
        <v>Table_N_j</v>
      </c>
    </row>
    <row r="149" spans="4:9" ht="20.100000000000001" customHeight="1" x14ac:dyDescent="0.25">
      <c r="D149" s="119" t="str">
        <v>M_j124</v>
      </c>
      <c r="E149" s="124" t="str">
        <v>daily enteric methane production for classes j=1,2,4</v>
      </c>
      <c r="F149" s="125"/>
      <c r="G149" s="119" t="str">
        <v>kg CH4/head/day</v>
      </c>
      <c r="H149" s="127" t="str">
        <v>Calculated from 3.3.1.1 (2)</v>
      </c>
      <c r="I149" s="126" t="str" cm="1">
        <f t="array" aca="1" ref="I149" ca="1">HYPERLINK(Common_InputFunctions.Utility_SourceHyperlink($D$129),$D$129)</f>
        <v>M1_Table_M_j</v>
      </c>
    </row>
    <row r="150" spans="4:9" ht="20.100000000000001" customHeight="1" x14ac:dyDescent="0.25">
      <c r="D150" s="119" t="str">
        <v>D_j124</v>
      </c>
      <c r="E150" s="124" t="str">
        <v>duration of stay on the farm for classes j=1,2,4</v>
      </c>
      <c r="F150" s="125"/>
      <c r="G150" s="119" t="str">
        <v>days</v>
      </c>
      <c r="H150" s="120" t="str">
        <v>Input</v>
      </c>
      <c r="I150" s="126" t="str" cm="1">
        <f t="array" aca="1" ref="I150" ca="1">HYPERLINK(Common_InputFunctions.Utility_SourceHyperlink($D$162),$D$162)</f>
        <v>M1_Table_D_j</v>
      </c>
    </row>
    <row r="151" spans="4:9" ht="20.100000000000001" customHeight="1" x14ac:dyDescent="0.25">
      <c r="D151" s="119" t="str">
        <v>N_j35</v>
      </c>
      <c r="E151" s="124" t="str">
        <v>number of dairy cattle in classes j=3,5</v>
      </c>
      <c r="F151" s="125"/>
      <c r="G151" s="119" t="str">
        <v>head</v>
      </c>
      <c r="H151" s="120" t="str">
        <v>Input</v>
      </c>
      <c r="I151" s="126" t="str" cm="1">
        <f t="array" aca="1" ref="I151" ca="1">HYPERLINK(Common_InputFunctions.Utility_SourceHyperlink($D$157),$D$157)</f>
        <v>Table_N_j</v>
      </c>
    </row>
    <row r="152" spans="4:9" ht="20.100000000000001" customHeight="1" x14ac:dyDescent="0.25">
      <c r="D152" s="119" t="str">
        <v>M_j35</v>
      </c>
      <c r="E152" s="124" t="str">
        <v>daily enteric methane production for weaned classes j=3,5</v>
      </c>
      <c r="F152" s="125"/>
      <c r="G152" s="119" t="str">
        <v>kg CH4/head/day</v>
      </c>
      <c r="H152" s="127" t="str">
        <v>Calculated from 3.3.1.1 (2)</v>
      </c>
      <c r="I152" s="126" t="str" cm="1">
        <f t="array" aca="1" ref="I152" ca="1">HYPERLINK(Common_InputFunctions.Utility_SourceHyperlink($D$129),$D$129)</f>
        <v>M1_Table_M_j</v>
      </c>
    </row>
    <row r="153" spans="4:9" ht="20.100000000000001" customHeight="1" x14ac:dyDescent="0.25">
      <c r="D153" s="119" t="str">
        <v>D_j35</v>
      </c>
      <c r="E153" s="124" t="str">
        <v>duration of stay on the farm for weaned classes j=3,5</v>
      </c>
      <c r="F153" s="125"/>
      <c r="G153" s="119" t="str">
        <v>days</v>
      </c>
      <c r="H153" s="120" t="str">
        <v>Input</v>
      </c>
      <c r="I153" s="126" t="str" cm="1">
        <f t="array" aca="1" ref="I153" ca="1">HYPERLINK(Common_InputFunctions.Utility_SourceHyperlink($D$162),$D$162)</f>
        <v>M1_Table_D_j</v>
      </c>
    </row>
    <row r="154" spans="4:9" ht="20.100000000000001" customHeight="1" x14ac:dyDescent="0.25">
      <c r="D154" s="119" t="str">
        <v>DPW_j35</v>
      </c>
      <c r="E154" s="124" t="str">
        <v>duration of stay on the farm for pre-weaned heifer and bull calves</v>
      </c>
      <c r="F154" s="125"/>
      <c r="G154" s="119" t="str">
        <v>days</v>
      </c>
      <c r="H154" s="120" t="str">
        <v>Input</v>
      </c>
      <c r="I154" s="126" t="str" cm="1">
        <f t="array" aca="1" ref="I154" ca="1">HYPERLINK(Common_InputFunctions.Utility_SourceHyperlink($D$167),$D$167)</f>
        <v>M1_Table_DPW_j-3-5</v>
      </c>
    </row>
    <row r="155" spans="4:9" ht="20.100000000000001" customHeight="1" x14ac:dyDescent="0.25">
      <c r="D155" s="119" t="str">
        <v>MPW_ENTERIC_j35</v>
      </c>
      <c r="E155" s="119" t="str">
        <v>daily methane production for pre-weaned heifer and bull calves</v>
      </c>
      <c r="F155" s="119"/>
      <c r="G155" s="119" t="str">
        <v>kg CH4/head/day</v>
      </c>
      <c r="H155" s="127" t="str">
        <v>Constant</v>
      </c>
      <c r="I155" s="126" t="str" cm="1">
        <f t="array" aca="1" ref="I155" ca="1">HYPERLINK(Common_InputFunctions.Utility_SourceHyperlink($D$172),$D$172)</f>
        <v>M1_Table_MPW_j-3-5</v>
      </c>
    </row>
    <row r="156" spans="4:9" ht="20.100000000000001" customHeight="1" x14ac:dyDescent="0.25"/>
    <row r="157" spans="4:9" ht="20.100000000000001" customHeight="1" x14ac:dyDescent="0.25">
      <c r="D157" s="121" t="s">
        <v>456</v>
      </c>
    </row>
    <row r="158" spans="4:9" ht="20.100000000000001" customHeight="1" x14ac:dyDescent="0.25">
      <c r="D158" s="122" t="s">
        <v>658</v>
      </c>
    </row>
    <row r="159" spans="4:9" ht="20.100000000000001" customHeight="1" x14ac:dyDescent="0.25">
      <c r="D159" s="81" t="s">
        <v>334</v>
      </c>
      <c r="E159" s="81" t="s">
        <v>335</v>
      </c>
      <c r="F159" s="81" t="s">
        <v>336</v>
      </c>
      <c r="G159" s="81" t="s">
        <v>337</v>
      </c>
      <c r="H159" s="81" t="s">
        <v>338</v>
      </c>
    </row>
    <row r="160" spans="4:9" ht="20.100000000000001" customHeight="1" x14ac:dyDescent="0.25">
      <c r="D160" s="133">
        <f>'Input - Dairy'!E10</f>
        <v>100</v>
      </c>
      <c r="E160" s="133">
        <f>'Input - Dairy'!F10</f>
        <v>100</v>
      </c>
      <c r="F160" s="133">
        <f>'Input - Dairy'!G10</f>
        <v>100</v>
      </c>
      <c r="G160" s="133">
        <f>'Input - Dairy'!H10</f>
        <v>100</v>
      </c>
      <c r="H160" s="133">
        <f>'Input - Dairy'!I10</f>
        <v>100</v>
      </c>
      <c r="I160" s="9" t="str">
        <f>$G$148</f>
        <v>head</v>
      </c>
    </row>
    <row r="161" spans="4:18" ht="20.100000000000001" customHeight="1" x14ac:dyDescent="0.25"/>
    <row r="162" spans="4:18" ht="20.100000000000001" customHeight="1" x14ac:dyDescent="0.25">
      <c r="D162" s="121" t="s">
        <v>459</v>
      </c>
      <c r="M162" s="121" t="s">
        <v>460</v>
      </c>
    </row>
    <row r="163" spans="4:18" ht="20.100000000000001" customHeight="1" x14ac:dyDescent="0.25">
      <c r="D163" s="122" t="s">
        <v>659</v>
      </c>
      <c r="M163" s="122" t="s">
        <v>660</v>
      </c>
    </row>
    <row r="164" spans="4:18" ht="20.100000000000001" customHeight="1" x14ac:dyDescent="0.25">
      <c r="D164" s="81" t="s">
        <v>334</v>
      </c>
      <c r="E164" s="81" t="s">
        <v>335</v>
      </c>
      <c r="F164" s="81" t="s">
        <v>336</v>
      </c>
      <c r="G164" s="81" t="s">
        <v>337</v>
      </c>
      <c r="H164" s="81" t="s">
        <v>338</v>
      </c>
      <c r="M164" s="81" t="s">
        <v>334</v>
      </c>
      <c r="N164" s="81" t="s">
        <v>335</v>
      </c>
      <c r="O164" s="81" t="s">
        <v>336</v>
      </c>
      <c r="P164" s="81" t="s">
        <v>337</v>
      </c>
      <c r="Q164" s="81" t="s">
        <v>338</v>
      </c>
    </row>
    <row r="165" spans="4:18" ht="20.100000000000001" customHeight="1" x14ac:dyDescent="0.25">
      <c r="D165" s="15">
        <f>'Input - Dairy'!E24</f>
        <v>365</v>
      </c>
      <c r="E165" s="15">
        <f>'Input - Dairy'!F24</f>
        <v>365</v>
      </c>
      <c r="F165" s="15">
        <f>'Input - Dairy'!G24</f>
        <v>281</v>
      </c>
      <c r="G165" s="15">
        <f>'Input - Dairy'!H24</f>
        <v>365</v>
      </c>
      <c r="H165" s="15">
        <f>'Input - Dairy'!I24</f>
        <v>281</v>
      </c>
      <c r="I165" s="9" t="str">
        <f>$G$150</f>
        <v>days</v>
      </c>
      <c r="M165" s="15">
        <f>'Input - Dairy'!E28</f>
        <v>365</v>
      </c>
      <c r="N165" s="15">
        <f>'Input - Dairy'!F28</f>
        <v>365</v>
      </c>
      <c r="O165" s="15">
        <f>'Input - Dairy'!G28</f>
        <v>281</v>
      </c>
      <c r="P165" s="15">
        <f>'Input - Dairy'!H28</f>
        <v>365</v>
      </c>
      <c r="Q165" s="15">
        <f>'Input - Dairy'!I28</f>
        <v>281</v>
      </c>
      <c r="R165" s="9" t="str">
        <f>$G$150</f>
        <v>days</v>
      </c>
    </row>
    <row r="166" spans="4:18" ht="20.100000000000001" customHeight="1" x14ac:dyDescent="0.25"/>
    <row r="167" spans="4:18" ht="20.100000000000001" customHeight="1" x14ac:dyDescent="0.25">
      <c r="D167" s="121" t="s">
        <v>661</v>
      </c>
      <c r="M167" s="121" t="s">
        <v>662</v>
      </c>
    </row>
    <row r="168" spans="4:18" ht="20.100000000000001" customHeight="1" x14ac:dyDescent="0.25">
      <c r="D168" s="122" t="s">
        <v>663</v>
      </c>
      <c r="M168" s="122" t="s">
        <v>664</v>
      </c>
    </row>
    <row r="169" spans="4:18" ht="20.100000000000001" customHeight="1" x14ac:dyDescent="0.25">
      <c r="D169" s="81" t="s">
        <v>334</v>
      </c>
      <c r="E169" s="81" t="s">
        <v>335</v>
      </c>
      <c r="F169" s="81" t="s">
        <v>336</v>
      </c>
      <c r="G169" s="81" t="s">
        <v>337</v>
      </c>
      <c r="H169" s="81" t="s">
        <v>338</v>
      </c>
      <c r="M169" s="81" t="s">
        <v>334</v>
      </c>
      <c r="N169" s="81" t="s">
        <v>335</v>
      </c>
      <c r="O169" s="81" t="s">
        <v>336</v>
      </c>
      <c r="P169" s="81" t="s">
        <v>337</v>
      </c>
      <c r="Q169" s="81" t="s">
        <v>338</v>
      </c>
    </row>
    <row r="170" spans="4:18" ht="20.100000000000001" customHeight="1" x14ac:dyDescent="0.25">
      <c r="D170" s="15">
        <f>'Input - Dairy'!E25</f>
        <v>0</v>
      </c>
      <c r="E170" s="15">
        <f>'Input - Dairy'!F29</f>
        <v>0</v>
      </c>
      <c r="F170" s="15">
        <f>'Input - Dairy'!G29</f>
        <v>84</v>
      </c>
      <c r="G170" s="15">
        <f>'Input - Dairy'!H29</f>
        <v>0</v>
      </c>
      <c r="H170" s="15">
        <f>'Input - Dairy'!I29</f>
        <v>84</v>
      </c>
      <c r="I170" s="9" t="str">
        <f>$G$150</f>
        <v>days</v>
      </c>
      <c r="M170" s="15">
        <f>'Input - Dairy'!E29</f>
        <v>0</v>
      </c>
      <c r="N170" s="15">
        <f>'Input - Dairy'!F29</f>
        <v>0</v>
      </c>
      <c r="O170" s="15">
        <f>'Input - Dairy'!G29</f>
        <v>84</v>
      </c>
      <c r="P170" s="15">
        <f>'Input - Dairy'!H29</f>
        <v>0</v>
      </c>
      <c r="Q170" s="15">
        <f>'Input - Dairy'!I29</f>
        <v>84</v>
      </c>
      <c r="R170" s="9" t="str">
        <f>$G$150</f>
        <v>days</v>
      </c>
    </row>
    <row r="171" spans="4:18" ht="20.100000000000001" customHeight="1" x14ac:dyDescent="0.25"/>
    <row r="172" spans="4:18" ht="20.100000000000001" customHeight="1" x14ac:dyDescent="0.25">
      <c r="D172" s="121" t="s">
        <v>665</v>
      </c>
    </row>
    <row r="173" spans="4:18" ht="20.100000000000001" customHeight="1" x14ac:dyDescent="0.25">
      <c r="D173" s="122" t="s">
        <v>663</v>
      </c>
    </row>
    <row r="174" spans="4:18" ht="20.100000000000001" customHeight="1" x14ac:dyDescent="0.25">
      <c r="D174" s="123" t="s">
        <v>336</v>
      </c>
      <c r="E174" s="123" t="s">
        <v>338</v>
      </c>
    </row>
    <row r="175" spans="4:18" ht="20.100000000000001" customHeight="1" x14ac:dyDescent="0.25">
      <c r="D175" s="15">
        <f>'Constants - Dairy'!$E$99</f>
        <v>1.7600000000000001E-2</v>
      </c>
      <c r="E175" s="15">
        <f>'Constants - Dairy'!$E$100</f>
        <v>2.0400000000000001E-2</v>
      </c>
      <c r="F175" s="9" t="str">
        <f>G155</f>
        <v>kg CH4/head/day</v>
      </c>
    </row>
    <row r="176" spans="4:18" ht="20.100000000000001" customHeight="1" x14ac:dyDescent="0.25"/>
    <row r="177" spans="1:18" ht="20.100000000000001" customHeight="1" x14ac:dyDescent="0.25">
      <c r="D177" s="121" t="s">
        <v>666</v>
      </c>
      <c r="M177" s="121" t="s">
        <v>666</v>
      </c>
    </row>
    <row r="178" spans="1:18" ht="20.100000000000001" customHeight="1" x14ac:dyDescent="0.25">
      <c r="A178" s="128" t="str">
        <f>HYPERLINK("#A1", "▲ Back to top")</f>
        <v>▲ Back to top</v>
      </c>
      <c r="D178" s="122" t="s">
        <v>667</v>
      </c>
      <c r="M178" s="122" t="s">
        <v>667</v>
      </c>
    </row>
    <row r="179" spans="1:18" ht="20.100000000000001" customHeight="1" x14ac:dyDescent="0.25">
      <c r="D179" s="123" t="s">
        <v>334</v>
      </c>
      <c r="E179" s="123" t="s">
        <v>335</v>
      </c>
      <c r="F179" s="123" t="s">
        <v>336</v>
      </c>
      <c r="G179" s="123" t="s">
        <v>337</v>
      </c>
      <c r="H179" s="123" t="s">
        <v>338</v>
      </c>
      <c r="M179" s="123" t="s">
        <v>334</v>
      </c>
      <c r="N179" s="123" t="s">
        <v>335</v>
      </c>
      <c r="O179" s="123" t="s">
        <v>336</v>
      </c>
      <c r="P179" s="123" t="s">
        <v>337</v>
      </c>
      <c r="Q179" s="123" t="s">
        <v>338</v>
      </c>
    </row>
    <row r="180" spans="1:18" ht="20.100000000000001" customHeight="1" x14ac:dyDescent="0.25">
      <c r="D180" s="15" cm="1">
        <f t="array" ref="D180">EntericMethane_Dairy_Equations.VEERG_3_3_1_1__1_TotalAnnualMethaneFromEntericFermentationVariation(D160,D132,D165,0,0,0,0,0)</f>
        <v>14.230268726423633</v>
      </c>
      <c r="E180" s="15" cm="1">
        <f t="array" ref="E180">EntericMethane_Dairy_Equations.VEERG_3_3_1_1__1_TotalAnnualMethaneFromEntericFermentationVariation(E160,E132,E165,0,0,0,0,0)</f>
        <v>5.6053261235836782</v>
      </c>
      <c r="F180" s="15" cm="1">
        <f t="array" ref="F180">EntericMethane_Dairy_Equations.VEERG_3_3_1_1__1_TotalAnnualMethaneFromEntericFermentationVariation(0,0,0,F160,F132,F165,F170,$D$175)</f>
        <v>2.487999310099096</v>
      </c>
      <c r="G180" s="15" cm="1">
        <f t="array" ref="G180">EntericMethane_Dairy_Equations.VEERG_3_3_1_1__1_TotalAnnualMethaneFromEntericFermentationVariation(G160,G132,G165,0,0,0,0,0)</f>
        <v>6.8203651498874986</v>
      </c>
      <c r="H180" s="15" cm="1">
        <f t="array" ref="H180">EntericMethane_Dairy_Equations.VEERG_3_3_1_1__1_TotalAnnualMethaneFromEntericFermentationVariation(0,0,0,H160,H132,H165,H170,$E$175)</f>
        <v>3.3207233739960946</v>
      </c>
      <c r="I180" s="9" t="str">
        <f>$E$146</f>
        <v>t CH4</v>
      </c>
      <c r="M180" s="15" cm="1">
        <f t="array" ref="M180">EntericMethane_Dairy_Equations.VEERG_3_3_1_1__1_TotalAnnualMethaneFromEntericFermentationVariation(D160,M132,M165,0,0,0,0,0)</f>
        <v>14.230268726423633</v>
      </c>
      <c r="N180" s="15" cm="1">
        <f t="array" ref="N180">EntericMethane_Dairy_Equations.VEERG_3_3_1_1__1_TotalAnnualMethaneFromEntericFermentationVariation(E160,N132,N165,0,0,0,0,0)</f>
        <v>5.6053261235836782</v>
      </c>
      <c r="O180" s="15" cm="1">
        <f t="array" ref="O180">EntericMethane_Dairy_Equations.VEERG_3_3_1_1__1_TotalAnnualMethaneFromEntericFermentationVariation(0,0,0,F160,O132,O165,O170,$D$175)</f>
        <v>2.487999310099096</v>
      </c>
      <c r="P180" s="15" cm="1">
        <f t="array" ref="P180">EntericMethane_Dairy_Equations.VEERG_3_3_1_1__1_TotalAnnualMethaneFromEntericFermentationVariation(G160,P132,P165,0,0,0,0,0)</f>
        <v>6.8203651498874986</v>
      </c>
      <c r="Q180" s="15" cm="1">
        <f t="array" ref="Q180">EntericMethane_Dairy_Equations.VEERG_3_3_1_1__1_TotalAnnualMethaneFromEntericFermentationVariation(0,0,0,H160,Q132,Q165,Q170,$E$175)</f>
        <v>3.3207233739960946</v>
      </c>
      <c r="R180" s="9" t="str">
        <f>$E$146</f>
        <v>t CH4</v>
      </c>
    </row>
    <row r="181" spans="1:18" ht="20.100000000000001" customHeight="1" x14ac:dyDescent="0.25"/>
    <row r="182" spans="1:18" ht="20.100000000000001" customHeight="1" x14ac:dyDescent="0.25">
      <c r="D182" s="87" t="s">
        <v>668</v>
      </c>
      <c r="E182" s="90">
        <f>SUM(D180:H180)</f>
        <v>32.464682683989999</v>
      </c>
      <c r="F182" s="89" t="str">
        <f>$E$146</f>
        <v>t CH4</v>
      </c>
      <c r="M182" s="87" t="s">
        <v>668</v>
      </c>
      <c r="N182" s="90">
        <f>SUM(M180:Q180)</f>
        <v>32.464682683989999</v>
      </c>
      <c r="O182" s="89" t="str">
        <f>$E$146</f>
        <v>t CH4</v>
      </c>
    </row>
    <row r="183" spans="1:18" ht="20.100000000000001" customHeight="1" x14ac:dyDescent="0.25"/>
    <row r="184" spans="1:18" ht="20.100000000000001" customHeight="1" x14ac:dyDescent="0.25">
      <c r="D184" s="131" t="str" cm="1">
        <f t="array" ref="D184:E185">Common_Equations.Common_ConvertCH4ToCO2e_Arguments()</f>
        <v>ECH4</v>
      </c>
      <c r="E184" s="134" t="str">
        <v>Methane emissions (t CH4)</v>
      </c>
      <c r="F184" s="135"/>
      <c r="G184" s="15">
        <f>VEERG_3_3_1_1__1_TotalAnnualMethaneFromEntericFermentationVariation_Result_Method1</f>
        <v>32.464682683989999</v>
      </c>
      <c r="M184" s="131" t="str" cm="1">
        <f t="array" ref="M184:N185">Common_Equations.Common_ConvertCH4ToCO2e_Arguments()</f>
        <v>ECH4</v>
      </c>
      <c r="N184" s="134" t="str">
        <v>Methane emissions (t CH4)</v>
      </c>
      <c r="O184" s="135"/>
      <c r="P184" s="15">
        <f>VEERG_3_3_1_1__1_TotalAnnualMethaneFromEntericFermentationVariation_Result_Method2</f>
        <v>32.464682683989999</v>
      </c>
    </row>
    <row r="185" spans="1:18" ht="20.100000000000001" customHeight="1" x14ac:dyDescent="0.25">
      <c r="D185" s="131" t="str">
        <v>GWPCH4</v>
      </c>
      <c r="E185" s="134" t="str">
        <v>Global warming potential for methane (t CO2-e / t CH4)</v>
      </c>
      <c r="F185" s="135"/>
      <c r="G185" s="15">
        <f>Common_InputFunctions.Utility_LookupValueInTableNumber("CH4",Table_GWPData[Gas],Table_GWPData[CO2-e factor])</f>
        <v>28</v>
      </c>
      <c r="M185" s="131" t="str">
        <v>GWPCH4</v>
      </c>
      <c r="N185" s="134" t="str">
        <v>Global warming potential for methane (t CO2-e / t CH4)</v>
      </c>
      <c r="O185" s="135"/>
      <c r="P185" s="15">
        <f>Common_InputFunctions.Utility_LookupValueInTableNumber("CH4",Table_GWPData[Gas],Table_GWPData[CO2-e factor])</f>
        <v>28</v>
      </c>
    </row>
    <row r="186" spans="1:18" ht="20.100000000000001" customHeight="1" x14ac:dyDescent="0.25"/>
    <row r="187" spans="1:18" ht="20.100000000000001" customHeight="1" x14ac:dyDescent="0.25">
      <c r="D187" s="88" t="s">
        <v>532</v>
      </c>
      <c r="E187" s="88" cm="1">
        <f t="array" ref="E187">Common_Equations.Common_ConvertN2OToCO2e(G184,G185)</f>
        <v>909.01111515171999</v>
      </c>
      <c r="F187" s="93" t="str" cm="1">
        <f t="array" ref="F187">Common_Equations.Common_ConvertN2OToCO2e_Unit()</f>
        <v>t CO2e</v>
      </c>
      <c r="M187" s="88" t="s">
        <v>532</v>
      </c>
      <c r="N187" s="88" cm="1">
        <f t="array" ref="N187">Common_Equations.Common_ConvertN2OToCO2e(P184,P185)</f>
        <v>909.01111515171999</v>
      </c>
      <c r="O187" s="93"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8"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8" t="str">
        <f>HYPERLINK("#A1", "▲ Back to top")</f>
        <v>▲ Back to top</v>
      </c>
    </row>
  </sheetData>
  <dataValidations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F72D1D46-8916-4BA7-B65E-5C84EA458D5B}"/>
  </dataValidation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5A49B-40B6-4C2F-B9C7-C88AC1719FA9}">
  <sheetPr>
    <tabColor rgb="FF008000"/>
  </sheetPr>
  <dimension ref="A1:W305"/>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20" customFormat="1" ht="30" customHeight="1" x14ac:dyDescent="0.35">
      <c r="A1" s="10" t="e" vm="1">
        <v>#VALUE!</v>
      </c>
      <c r="C1" s="20" t="s">
        <v>381</v>
      </c>
    </row>
    <row r="2" spans="1:23" s="3" customFormat="1" ht="20.100000000000001" customHeight="1" x14ac:dyDescent="0.25">
      <c r="A2"/>
    </row>
    <row r="3" spans="1:23" ht="20.100000000000001" customHeight="1" x14ac:dyDescent="0.25">
      <c r="A3" s="5" t="str">
        <f>HYPERLINK("#'Home'!A1", "Home")</f>
        <v>Home</v>
      </c>
      <c r="C3" s="22"/>
      <c r="D3" s="22" t="s">
        <v>129</v>
      </c>
      <c r="E3" s="22"/>
      <c r="F3" s="22"/>
      <c r="G3" s="22"/>
      <c r="H3" s="22"/>
      <c r="I3" s="22"/>
      <c r="J3" s="22"/>
      <c r="K3" s="22"/>
      <c r="L3" s="22"/>
      <c r="N3" s="22"/>
      <c r="O3" s="22" t="s">
        <v>130</v>
      </c>
      <c r="P3" s="22"/>
      <c r="Q3" s="22"/>
      <c r="R3" s="22"/>
      <c r="S3" s="22"/>
      <c r="T3" s="22"/>
      <c r="U3" s="22"/>
      <c r="V3" s="22"/>
      <c r="W3" s="22"/>
    </row>
    <row r="4" spans="1:23" ht="20.100000000000001" customHeight="1" x14ac:dyDescent="0.25">
      <c r="A4" s="5" t="str">
        <f>HYPERLINK("#'Results - Activity period'!A1", "Results - Activity period")</f>
        <v>Results - Activity period</v>
      </c>
    </row>
    <row r="5" spans="1:23" ht="20.100000000000001" customHeight="1" x14ac:dyDescent="0.25">
      <c r="A5" s="5" t="str">
        <f>HYPERLINK("#'Results - Product EI'!A1", "Results - Product Emissions Intensity")</f>
        <v>Results - Product Emissions Intensity</v>
      </c>
      <c r="D5" s="2" t="str" cm="1">
        <f t="array" ref="D5">EntericMethane_Dairy_Equations.VEERG_3_3_1_1__6_MetabolisabilityOfDiet_Title()</f>
        <v>Metabolisability of diet</v>
      </c>
    </row>
    <row r="6" spans="1:23" ht="20.100000000000001" customHeight="1" x14ac:dyDescent="0.25">
      <c r="A6" s="5" t="str">
        <f>HYPERLINK("#'Results'!A1", "Results")</f>
        <v>Results</v>
      </c>
      <c r="D6" s="17" t="str" cm="1">
        <f t="array" ref="D6">EntericMethane_Dairy_Equations.VEERG_3_3_1_1__6_MetabolisabilityOfDiet_Source()</f>
        <v>VEERG 2026: 3.3.1.1, Equation (6)</v>
      </c>
    </row>
    <row r="7" spans="1:23" ht="20.100000000000001" customHeight="1" x14ac:dyDescent="0.25">
      <c r="D7" s="25"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D8" s="117" t="s">
        <v>382</v>
      </c>
      <c r="E8" s="117" t="str" cm="1">
        <f t="array" aca="1" ref="E8" ca="1">Common_InputFunctions.Utility_DisplayFunctionName(D24)</f>
        <v>=EntericMethane_Dairy_Equations.VEERG_3_3_1_1__6_MetabolisabilityOfDietVariation</v>
      </c>
    </row>
    <row r="9" spans="1:23" ht="20.100000000000001" customHeight="1" x14ac:dyDescent="0.25">
      <c r="A9" s="7" t="s">
        <v>0</v>
      </c>
    </row>
    <row r="10" spans="1:23" ht="20.100000000000001" customHeight="1" x14ac:dyDescent="0.25">
      <c r="A10" s="5" t="str">
        <f>HYPERLINK("#'Input - Enterprise'!A1", "Enterprise")</f>
        <v>Enterprise</v>
      </c>
    </row>
    <row r="11" spans="1:23" ht="20.100000000000001" customHeight="1" x14ac:dyDescent="0.25">
      <c r="A11" s="5" t="str">
        <f>HYPERLINK("#'Input - Site'!A1", "Site")</f>
        <v>Site</v>
      </c>
      <c r="D11" s="76" t="s">
        <v>383</v>
      </c>
      <c r="E11" s="1" t="str" cm="1">
        <f t="array" ref="E11">EntericMethane_Dairy_Equations.VEERG_3_3_1_1__6_MetabolisabilityOfDiet_Variable()</f>
        <v>qm_j</v>
      </c>
    </row>
    <row r="12" spans="1:23" ht="20.100000000000001" customHeight="1" x14ac:dyDescent="0.25">
      <c r="A12" s="5" t="str">
        <f>HYPERLINK("#'Input - Dairy'!A1", "Dairy")</f>
        <v>Dairy</v>
      </c>
      <c r="D12" s="76" t="s">
        <v>118</v>
      </c>
      <c r="E12" s="9" t="str" cm="1">
        <f t="array" ref="E12">EntericMethane_Dairy_Equations.VEERG_3_3_1_1__6_MetabolisabilityOfDiet_Unit()</f>
        <v>fraction</v>
      </c>
    </row>
    <row r="13" spans="1:23" ht="20.100000000000001" customHeight="1" x14ac:dyDescent="0.25">
      <c r="A13" s="5" t="str">
        <f>HYPERLINK("#'Input - Livestock sales'!A1", "Livestock sales")</f>
        <v>Livestock sales</v>
      </c>
    </row>
    <row r="14" spans="1:23" ht="20.100000000000001" customHeight="1" x14ac:dyDescent="0.25">
      <c r="A14" s="5" t="str">
        <f>HYPERLINK("#'Input - Dairy cattle purchases'!A1", "Dairy cattle purchases")</f>
        <v>Dairy cattle purchases</v>
      </c>
      <c r="D14" s="119" t="str" cm="1">
        <f t="array" ref="D14:E14">_xlfn.CHOOSECOLS(EntericMethane_Dairy_Equations.VEERG_3_3_1_1__6_MetabolisabilityOfDiet_Arguments(), 1,2)</f>
        <v>DMD_j</v>
      </c>
      <c r="E14" s="119" t="str">
        <v>dry matter digestibility expressed as a fraction</v>
      </c>
      <c r="F14" s="119"/>
      <c r="G14" s="119" t="str" cm="1">
        <f t="array" ref="G14:H14">_xlfn.CHOOSECOLS(EntericMethane_Dairy_Equations.VEERG_3_3_1_1__6_MetabolisabilityOfDiet_Arguments(), 3,4)</f>
        <v>fraction</v>
      </c>
      <c r="H14" s="120" t="str">
        <v>Input</v>
      </c>
      <c r="I14" s="119" t="str">
        <f>"See " &amp; D16</f>
        <v>See M1_Table_DMD_j</v>
      </c>
    </row>
    <row r="15" spans="1:23" ht="20.100000000000001" customHeight="1" x14ac:dyDescent="0.25">
      <c r="A15" s="5" t="str">
        <f>HYPERLINK("#'Input - Pasture'!A1", "Pasture")</f>
        <v>Pasture</v>
      </c>
    </row>
    <row r="16" spans="1:23" ht="20.100000000000001" customHeight="1" x14ac:dyDescent="0.25">
      <c r="A16" s="5" t="str">
        <f>HYPERLINK("#'Input - Fert Prod System'!A1", "Fert Prod System")</f>
        <v>Fert Prod System</v>
      </c>
      <c r="D16" s="121" t="s">
        <v>384</v>
      </c>
      <c r="O16" s="121" t="s">
        <v>385</v>
      </c>
    </row>
    <row r="17" spans="1:23" ht="20.100000000000001" customHeight="1" x14ac:dyDescent="0.25">
      <c r="A17" s="5" t="str">
        <f>HYPERLINK("#'Input - Fertiliser'!A1", "Fertiliser")</f>
        <v>Fertiliser</v>
      </c>
      <c r="D17" s="122" t="s">
        <v>386</v>
      </c>
      <c r="O17" s="122" t="s">
        <v>387</v>
      </c>
    </row>
    <row r="18" spans="1:23" ht="20.100000000000001" customHeight="1" x14ac:dyDescent="0.25">
      <c r="A18" s="5" t="str">
        <f>HYPERLINK("#'Input - Fuel'!A1", "Fuel")</f>
        <v>Fuel</v>
      </c>
      <c r="D18" s="81" t="s">
        <v>334</v>
      </c>
      <c r="E18" s="81" t="s">
        <v>335</v>
      </c>
      <c r="F18" s="81" t="s">
        <v>336</v>
      </c>
      <c r="G18" s="81" t="s">
        <v>337</v>
      </c>
      <c r="H18" s="81" t="s">
        <v>338</v>
      </c>
      <c r="O18" s="81" t="s">
        <v>334</v>
      </c>
      <c r="P18" s="81" t="s">
        <v>335</v>
      </c>
      <c r="Q18" s="81" t="s">
        <v>336</v>
      </c>
      <c r="R18" s="81" t="s">
        <v>337</v>
      </c>
      <c r="S18" s="81" t="s">
        <v>338</v>
      </c>
    </row>
    <row r="19" spans="1:23" ht="20.100000000000001" customHeight="1" x14ac:dyDescent="0.25">
      <c r="A19" s="5" t="str">
        <f>HYPERLINK("#'Input - Electricity'!A1", "Electricity")</f>
        <v>Electricity</v>
      </c>
      <c r="D19" s="15">
        <f>INDEX(X_Table_Dairy_Diet_Method1,2,2)</f>
        <v>0.75</v>
      </c>
      <c r="E19" s="15">
        <f>INDEX(X_Table_Dairy_Diet_Method1,2,3)</f>
        <v>0.75</v>
      </c>
      <c r="F19" s="15">
        <f>INDEX(X_Table_Dairy_Diet_Method1,2,4)</f>
        <v>0.75</v>
      </c>
      <c r="G19" s="15">
        <f>INDEX(X_Table_Dairy_Diet_Method1,2,5)</f>
        <v>0.75</v>
      </c>
      <c r="H19" s="15">
        <f>INDEX(X_Table_Dairy_Diet_Method1,2,6)</f>
        <v>0.75</v>
      </c>
      <c r="I19" s="16" t="s">
        <v>388</v>
      </c>
      <c r="J19" s="16"/>
      <c r="K19" s="16"/>
      <c r="O19" s="15">
        <f>INDEX(X_Table_Dairy_Diet_Method2,2,2)</f>
        <v>0.75</v>
      </c>
      <c r="P19" s="15">
        <f>INDEX(X_Table_Dairy_Diet_Method2,2,3)</f>
        <v>0.75</v>
      </c>
      <c r="Q19" s="15">
        <f>INDEX(X_Table_Dairy_Diet_Method2,2,4)</f>
        <v>0.75</v>
      </c>
      <c r="R19" s="15">
        <f>INDEX(X_Table_Dairy_Diet_Method2,2,5)</f>
        <v>0.75</v>
      </c>
      <c r="S19" s="15">
        <f>INDEX(X_Table_Dairy_Diet_Method2,2,6)</f>
        <v>0.75</v>
      </c>
      <c r="T19" s="16" t="s">
        <v>388</v>
      </c>
      <c r="U19" s="16"/>
      <c r="V19" s="16"/>
    </row>
    <row r="20" spans="1:23" ht="20.100000000000001" customHeight="1" x14ac:dyDescent="0.25">
      <c r="A20" s="5" t="str">
        <f>HYPERLINK("#'Input - Common farm inputs'!A1", "Common farm inputs")</f>
        <v>Common farm inputs</v>
      </c>
    </row>
    <row r="21" spans="1:23" ht="20.100000000000001" customHeight="1" x14ac:dyDescent="0.25">
      <c r="A21" s="5" t="str">
        <f>HYPERLINK("#'Input - Crop pasture farm input'!A1", "Crop pasture farm input")</f>
        <v>Crop pasture farm input</v>
      </c>
      <c r="D21" s="121" t="s">
        <v>389</v>
      </c>
      <c r="O21" s="121" t="s">
        <v>390</v>
      </c>
    </row>
    <row r="22" spans="1:23" ht="20.100000000000001" customHeight="1" x14ac:dyDescent="0.25">
      <c r="A22" s="5" t="str">
        <f>HYPERLINK("#'Input - Livestock farm Inputs'!A1", "Livestock farm Inputs")</f>
        <v>Livestock farm Inputs</v>
      </c>
      <c r="D22" s="122" t="s">
        <v>391</v>
      </c>
      <c r="O22" s="122" t="s">
        <v>392</v>
      </c>
    </row>
    <row r="23" spans="1:23" ht="20.100000000000001" customHeight="1" x14ac:dyDescent="0.25">
      <c r="A23" s="5" t="str">
        <f>HYPERLINK("#'Input - Freight'!A1", "Freight")</f>
        <v>Freight</v>
      </c>
      <c r="D23" s="123" t="s">
        <v>334</v>
      </c>
      <c r="E23" s="123" t="s">
        <v>335</v>
      </c>
      <c r="F23" s="123" t="s">
        <v>336</v>
      </c>
      <c r="G23" s="123" t="s">
        <v>337</v>
      </c>
      <c r="H23" s="123" t="s">
        <v>338</v>
      </c>
      <c r="O23" s="123" t="s">
        <v>334</v>
      </c>
      <c r="P23" s="123" t="s">
        <v>335</v>
      </c>
      <c r="Q23" s="123" t="s">
        <v>336</v>
      </c>
      <c r="R23" s="123" t="s">
        <v>337</v>
      </c>
      <c r="S23" s="123" t="s">
        <v>338</v>
      </c>
    </row>
    <row r="24" spans="1:23" ht="20.100000000000001" customHeight="1" x14ac:dyDescent="0.25">
      <c r="A24" s="5" t="str">
        <f>HYPERLINK("#'Input - Solid waste'!A1", "Solid waste")</f>
        <v>Solid waste</v>
      </c>
      <c r="D24" s="15" cm="1">
        <f t="array" ref="D24">EntericMethane_Dairy_Equations.VEERG_3_3_1_1__6_MetabolisabilityOfDietVariation(D19)</f>
        <v>0.5948500000000001</v>
      </c>
      <c r="E24" s="15" cm="1">
        <f t="array" ref="E24">EntericMethane_Dairy_Equations.VEERG_3_3_1_1__6_MetabolisabilityOfDietVariation(E19)</f>
        <v>0.5948500000000001</v>
      </c>
      <c r="F24" s="15" cm="1">
        <f t="array" ref="F24">EntericMethane_Dairy_Equations.VEERG_3_3_1_1__6_MetabolisabilityOfDietVariation(F19)</f>
        <v>0.5948500000000001</v>
      </c>
      <c r="G24" s="15" cm="1">
        <f t="array" ref="G24">EntericMethane_Dairy_Equations.VEERG_3_3_1_1__6_MetabolisabilityOfDietVariation(G19)</f>
        <v>0.5948500000000001</v>
      </c>
      <c r="H24" s="15" cm="1">
        <f t="array" ref="H24">EntericMethane_Dairy_Equations.VEERG_3_3_1_1__6_MetabolisabilityOfDietVariation(H19)</f>
        <v>0.5948500000000001</v>
      </c>
      <c r="I24" s="16" t="str">
        <f>$E$12</f>
        <v>fraction</v>
      </c>
      <c r="J24" s="16"/>
      <c r="K24" s="16"/>
      <c r="O24" s="15" cm="1">
        <f t="array" ref="O24">EntericMethane_Dairy_Equations.VEERG_3_3_1_1__6_MetabolisabilityOfDietVariation(O19)</f>
        <v>0.5948500000000001</v>
      </c>
      <c r="P24" s="15" cm="1">
        <f t="array" ref="P24">EntericMethane_Dairy_Equations.VEERG_3_3_1_1__6_MetabolisabilityOfDietVariation(P19)</f>
        <v>0.5948500000000001</v>
      </c>
      <c r="Q24" s="15" cm="1">
        <f t="array" ref="Q24">EntericMethane_Dairy_Equations.VEERG_3_3_1_1__6_MetabolisabilityOfDietVariation(Q19)</f>
        <v>0.5948500000000001</v>
      </c>
      <c r="R24" s="15" cm="1">
        <f t="array" ref="R24">EntericMethane_Dairy_Equations.VEERG_3_3_1_1__6_MetabolisabilityOfDietVariation(R19)</f>
        <v>0.5948500000000001</v>
      </c>
      <c r="S24" s="15" cm="1">
        <f t="array" ref="S24">EntericMethane_Dairy_Equations.VEERG_3_3_1_1__6_MetabolisabilityOfDietVariation(S19)</f>
        <v>0.5948500000000001</v>
      </c>
      <c r="T24" s="16" t="str">
        <f>$E$12</f>
        <v>fraction</v>
      </c>
      <c r="U24" s="16"/>
      <c r="V24" s="16"/>
    </row>
    <row r="25" spans="1:23" ht="20.100000000000001" customHeight="1" x14ac:dyDescent="0.25">
      <c r="A25" s="5" t="str">
        <f>HYPERLINK("#'Input - Manure sent off-site'!A1", "Manure sent off-site")</f>
        <v>Manure sent off-site</v>
      </c>
    </row>
    <row r="26" spans="1:23" ht="20.100000000000001" customHeight="1" x14ac:dyDescent="0.25">
      <c r="A26" s="5" t="str">
        <f>HYPERLINK("#'Input - Refrigerants'!A1", "Refrigerants")</f>
        <v>Refrigerants</v>
      </c>
    </row>
    <row r="27" spans="1:23" ht="20.100000000000001" customHeight="1" x14ac:dyDescent="0.25">
      <c r="A27" s="5" t="str">
        <f>HYPERLINK("#'Input - Data quality'!A1", "Data quality")</f>
        <v>Data quality</v>
      </c>
      <c r="C27" s="88"/>
      <c r="D27" s="88"/>
      <c r="E27" s="88"/>
      <c r="F27" s="88"/>
      <c r="G27" s="88"/>
      <c r="H27" s="88"/>
      <c r="I27" s="88"/>
      <c r="J27" s="88"/>
      <c r="K27" s="88"/>
      <c r="L27" s="88"/>
      <c r="N27" s="88"/>
      <c r="O27" s="88"/>
      <c r="P27" s="88"/>
      <c r="Q27" s="88"/>
      <c r="R27" s="88"/>
      <c r="S27" s="88"/>
      <c r="T27" s="88"/>
      <c r="U27" s="88"/>
      <c r="V27" s="88"/>
      <c r="W27" s="88"/>
    </row>
    <row r="28" spans="1:23" ht="20.100000000000001" customHeight="1" x14ac:dyDescent="0.25">
      <c r="D28" s="2" t="str" cm="1">
        <f t="array" ref="D28">EntericMethane_Dairy_Equations.VEERG_3_3_1_1__5_MilkProductionFromMilkSolids_Title()</f>
        <v>Milk production converted from milk solids</v>
      </c>
    </row>
    <row r="29" spans="1:23" ht="20.100000000000001" customHeight="1" x14ac:dyDescent="0.25">
      <c r="D29" s="17" t="str" cm="1">
        <f t="array" ref="D29">EntericMethane_Dairy_Equations.VEERG_3_3_1_1__5_MilkProductionFromMilkSolids_Source()</f>
        <v>VEERG 2026: 3.3.1.1, Equation (5)</v>
      </c>
    </row>
    <row r="30" spans="1:23" ht="20.100000000000001" customHeight="1" x14ac:dyDescent="0.25">
      <c r="A30" s="6" t="s">
        <v>2</v>
      </c>
      <c r="D30" s="25"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A31" s="5" t="str">
        <f>HYPERLINK("#'3.3.1.1-2 Enteric Methane'!A1", "3.3.1.1-2 Enteric methane")</f>
        <v>3.3.1.1-2 Enteric methane</v>
      </c>
      <c r="D31" s="117" t="s">
        <v>382</v>
      </c>
      <c r="E31" s="117" t="str" cm="1">
        <f t="array" aca="1" ref="E31" ca="1">Common_InputFunctions.Utility_DisplayFunctionName(D50)</f>
        <v>=EntericMethane_Dairy_Equations.VEERG_3_3_1_1__5_MilkProductionFromMilkSolids</v>
      </c>
    </row>
    <row r="32" spans="1:23" ht="20.100000000000001" customHeight="1" x14ac:dyDescent="0.25">
      <c r="A32" s="118" t="str">
        <f>HYPERLINK("#'4.3.1.1-2 Methane'!A1", "4.3.1.1-2 Manure methane")</f>
        <v>4.3.1.1-2 Manure methane</v>
      </c>
    </row>
    <row r="33" spans="1:20" ht="20.100000000000001" customHeight="1" x14ac:dyDescent="0.25">
      <c r="A33" s="5" t="str">
        <f>HYPERLINK("#'4.3.1.3-4 Direct N20'!A1", "4.3.1.3-4 Direct N20")</f>
        <v>4.3.1.3-4 Direct N20</v>
      </c>
    </row>
    <row r="34" spans="1:20" ht="20.100000000000001" customHeight="1" x14ac:dyDescent="0.25">
      <c r="A34" s="5" t="str">
        <f>HYPERLINK("#'4.3.1.5 Atmos deposition'!A1", "4.3.1.5 Atmos deposition")</f>
        <v>4.3.1.5 Atmos deposition</v>
      </c>
      <c r="D34" s="76" t="s">
        <v>383</v>
      </c>
      <c r="E34" s="1" t="str" cm="1">
        <f t="array" ref="E34">EntericMethane_Dairy_Equations.VEERG_3_3_1_1__5_MilkProductionFromMilkSolids_Variable()</f>
        <v>MP_j</v>
      </c>
    </row>
    <row r="35" spans="1:20" ht="20.100000000000001" customHeight="1" x14ac:dyDescent="0.25">
      <c r="A35" s="5" t="str">
        <f>HYPERLINK("#'4.3.1.6-7 Leaching and runoff'!A1", "4.3.1.6-7 Leaching &amp; runoff")</f>
        <v>4.3.1.6-7 Leaching &amp; runoff</v>
      </c>
      <c r="D35" s="76" t="s">
        <v>118</v>
      </c>
      <c r="E35" s="9" t="str" cm="1">
        <f t="array" ref="E35">EntericMethane_Dairy_Equations.VEERG_3_3_1_1__5_MilkProductionFromMilkSolids_Unit()</f>
        <v>L/head/day</v>
      </c>
    </row>
    <row r="36" spans="1:20" ht="20.100000000000001" customHeight="1" x14ac:dyDescent="0.25">
      <c r="A36" s="5" t="str">
        <f>HYPERLINK("#'4.3.1.8 Manure applied to soils'!A1", "4.3.1.8 Manure applied to soils")</f>
        <v>4.3.1.8 Manure applied to soils</v>
      </c>
    </row>
    <row r="37" spans="1:20" ht="20.100000000000001" customHeight="1" x14ac:dyDescent="0.25">
      <c r="A37" s="5" t="str">
        <f>HYPERLINK("#'4.3.1.9 Soil direct N2O'!A1", "4.3.1.9 Soil direct N2O")</f>
        <v>4.3.1.9 Soil direct N2O</v>
      </c>
      <c r="D37" s="119" t="str" cm="1">
        <f t="array" ref="D37:E40">_xlfn.CHOOSECOLS(EntericMethane_Dairy_Equations.VEERG_3_3_1_1__5_MilkProductionFromMilkSolids_Arguments(),1,2)</f>
        <v>MPU</v>
      </c>
      <c r="E37" s="124" t="str">
        <v>input milk production unit</v>
      </c>
      <c r="F37" s="125"/>
      <c r="G37" s="119" t="str" cm="1">
        <f t="array" ref="G37:H40">_xlfn.CHOOSECOLS(EntericMethane_Dairy_Equations.VEERG_3_3_1_1__5_MilkProductionFromMilkSolids_Arguments(),3,4)</f>
        <v/>
      </c>
      <c r="H37" s="120" t="str">
        <v>Input</v>
      </c>
      <c r="I37" s="119" t="str">
        <f>X_Cell_Dairy_MilkProductionUnit</f>
        <v>Litres of milk</v>
      </c>
      <c r="O37" s="119" t="str" cm="1">
        <f t="array" ref="O37:P40">_xlfn.CHOOSECOLS(EntericMethane_Dairy_Equations.VEERG_3_3_1_1__5_MilkProductionFromMilkSolids_Arguments_Method2(),1,2)</f>
        <v>MPU</v>
      </c>
      <c r="P37" s="124" t="str">
        <v>milk production unit</v>
      </c>
      <c r="Q37" s="125"/>
      <c r="R37" s="119" t="str" cm="1">
        <f t="array" ref="R37:S40">_xlfn.CHOOSECOLS(EntericMethane_Dairy_Equations.VEERG_3_3_1_1__5_MilkProductionFromMilkSolids_Arguments_Method2(),3,4)</f>
        <v/>
      </c>
      <c r="S37" s="120" t="str">
        <v>Input</v>
      </c>
      <c r="T37" s="119"/>
    </row>
    <row r="38" spans="1:20" ht="20.100000000000001" customHeight="1" x14ac:dyDescent="0.25">
      <c r="A38" s="5" t="str">
        <f>HYPERLINK("#'4.3.1.10-11 Soil Atmos Dep'!A1", "4.3.1.10-11 Soil Atmos Deposition")</f>
        <v>4.3.1.10-11 Soil Atmos Deposition</v>
      </c>
      <c r="D38" s="119" t="str">
        <v>MS_j</v>
      </c>
      <c r="E38" s="124" t="str">
        <v>daily production of milk solids</v>
      </c>
      <c r="F38" s="125"/>
      <c r="G38" s="119" t="str">
        <v>kg MS/head/day</v>
      </c>
      <c r="H38" s="120" t="str">
        <v>Input</v>
      </c>
      <c r="I38" s="126" t="str" cm="1">
        <f t="array" aca="1" ref="I38" ca="1">HYPERLINK(Common_InputFunctions.Utility_SourceHyperlink($D$42),$D$42)</f>
        <v>M1_Table_MS_j</v>
      </c>
      <c r="O38" s="119" t="str">
        <v>MS_j</v>
      </c>
      <c r="P38" s="124" t="str">
        <v>daily production of milk solids</v>
      </c>
      <c r="Q38" s="125"/>
      <c r="R38" s="119" t="str">
        <v>kg MS/head/day</v>
      </c>
      <c r="S38" s="120" t="str">
        <v>Input</v>
      </c>
      <c r="T38" s="126"/>
    </row>
    <row r="39" spans="1:20" ht="20.100000000000001" customHeight="1" x14ac:dyDescent="0.25">
      <c r="A39" s="5" t="str">
        <f>HYPERLINK("#'4.3.1.12-13 Soil leach runoff'!A1", "4.3.1.12-13 Soil leach &amp; runoff")</f>
        <v>4.3.1.12-13 Soil leach &amp; runoff</v>
      </c>
      <c r="D39" s="119" t="str">
        <v>FC_j</v>
      </c>
      <c r="E39" s="124" t="str">
        <v>fat content in fat and protein corrected milk</v>
      </c>
      <c r="F39" s="125"/>
      <c r="G39" s="119" t="str">
        <v>per cent</v>
      </c>
      <c r="H39" s="120" t="str">
        <v>Input</v>
      </c>
      <c r="I39" s="119">
        <f>INDEX(X_Table_Dairy_MilkSolidAttributes,2,2)*100</f>
        <v>4</v>
      </c>
      <c r="O39" s="119" t="str">
        <v>FC_j</v>
      </c>
      <c r="P39" s="124" t="str">
        <v>fat content in fat and protein corrected milk</v>
      </c>
      <c r="Q39" s="125"/>
      <c r="R39" s="119" t="str">
        <v>per cent</v>
      </c>
      <c r="S39" s="120" t="str">
        <v>Input</v>
      </c>
      <c r="T39" s="119">
        <f>INDEX(X_Table_Dairy_MilkSolidAttributes,2,3)*100</f>
        <v>4</v>
      </c>
    </row>
    <row r="40" spans="1:20" ht="20.100000000000001" customHeight="1" x14ac:dyDescent="0.25">
      <c r="A40" s="5" t="str">
        <f>HYPERLINK("#'5.1.1.1-2 Inorganic fert N2O'!A1", "5.1.1.1-2 Inorganic fert N2O")</f>
        <v>5.1.1.1-2 Inorganic fert N2O</v>
      </c>
      <c r="D40" s="119" t="str">
        <v>PC_j</v>
      </c>
      <c r="E40" s="119" t="str">
        <v>protein content in fat and protein corrected milk</v>
      </c>
      <c r="F40" s="119"/>
      <c r="G40" s="119" t="str">
        <v>per cent</v>
      </c>
      <c r="H40" s="120" t="str">
        <v>Input</v>
      </c>
      <c r="I40" s="119">
        <f>INDEX(X_Table_Dairy_MilkSolidAttributes,3,2)*100</f>
        <v>3.3000000000000003</v>
      </c>
      <c r="O40" s="119" t="str">
        <v>PC_j</v>
      </c>
      <c r="P40" s="119" t="str">
        <v>protein content in fat and protein corrected milk</v>
      </c>
      <c r="Q40" s="119"/>
      <c r="R40" s="119" t="str">
        <v>per cent</v>
      </c>
      <c r="S40" s="120" t="str">
        <v>Input</v>
      </c>
      <c r="T40" s="119">
        <f>INDEX(X_Table_Dairy_MilkSolidAttributes,3,3)*100</f>
        <v>3.3000000000000003</v>
      </c>
    </row>
    <row r="41" spans="1:20" ht="20.100000000000001" customHeight="1" x14ac:dyDescent="0.25">
      <c r="A41" s="5" t="str">
        <f>HYPERLINK("#'5.1.1.3-4 Inorganic fert CO2'!A1", "5.1.1.3-4 Inorganic fert CO2")</f>
        <v>5.1.1.3-4 Inorganic fert CO2</v>
      </c>
    </row>
    <row r="42" spans="1:20" ht="20.100000000000001" customHeight="1" x14ac:dyDescent="0.25">
      <c r="A42" s="5" t="str">
        <f>HYPERLINK("#'5.2.1.1-2 Organic Fert N2O'!A1", "5.2.1.1-2 Organic fert N2O")</f>
        <v>5.2.1.1-2 Organic fert N2O</v>
      </c>
      <c r="D42" s="121" t="s">
        <v>393</v>
      </c>
    </row>
    <row r="43" spans="1:20" ht="20.100000000000001" customHeight="1" x14ac:dyDescent="0.25">
      <c r="A43" s="5" t="str">
        <f>HYPERLINK("#'5.3.1.1-2 Lime CO2'!A1", "5.3.1.1-2 Lime CO2")</f>
        <v>5.3.1.1-2 Lime CO2</v>
      </c>
      <c r="D43" s="122" t="s">
        <v>394</v>
      </c>
    </row>
    <row r="44" spans="1:20" ht="20.100000000000001" customHeight="1" x14ac:dyDescent="0.25">
      <c r="A44" s="5" t="str">
        <f>HYPERLINK("#'5.4.1.1-4 Atmos deposition'!A1", "5.4.1.1-4 Atmos. deposition")</f>
        <v>5.4.1.1-4 Atmos. deposition</v>
      </c>
      <c r="D44" s="81" t="s">
        <v>334</v>
      </c>
      <c r="E44" s="81" t="s">
        <v>335</v>
      </c>
      <c r="F44" s="81" t="s">
        <v>336</v>
      </c>
      <c r="G44" s="81" t="s">
        <v>337</v>
      </c>
      <c r="H44" s="81" t="s">
        <v>338</v>
      </c>
    </row>
    <row r="45" spans="1:20" ht="20.100000000000001" customHeight="1" x14ac:dyDescent="0.25">
      <c r="A45" s="5" t="str">
        <f>HYPERLINK("#'5.5.1.1-2 Leaching and runoff'!A1", "5.5.1.1-2 Leaching &amp; runoff")</f>
        <v>5.5.1.1-2 Leaching &amp; runoff</v>
      </c>
      <c r="D45" s="15">
        <f>IF($I$37="Milk solids", X_Cell_Dairy_MilkProductionAmount, 0)</f>
        <v>0</v>
      </c>
      <c r="E45" s="15">
        <v>0</v>
      </c>
      <c r="F45" s="15">
        <v>0</v>
      </c>
      <c r="G45" s="15">
        <v>0</v>
      </c>
      <c r="H45" s="15">
        <v>0</v>
      </c>
      <c r="I45" s="16" t="str">
        <f>G38</f>
        <v>kg MS/head/day</v>
      </c>
    </row>
    <row r="46" spans="1:20" ht="20.100000000000001" customHeight="1" x14ac:dyDescent="0.25">
      <c r="A46" s="5" t="str">
        <f>HYPERLINK("#'6.2.1.1-2 Pasture residue N2O'!A1", "6.2.1.1-2 Pasture residue N2O")</f>
        <v>6.2.1.1-2 Pasture residue N2O</v>
      </c>
    </row>
    <row r="47" spans="1:20" ht="20.100000000000001" customHeight="1" x14ac:dyDescent="0.25">
      <c r="A47" s="5" t="str">
        <f>HYPERLINK("#'6.3.1.1-2 Leach runoff pasture'!A1", "6.3.1.1-2 Leach &amp; runoff (pasture)")</f>
        <v>6.3.1.1-2 Leach &amp; runoff (pasture)</v>
      </c>
      <c r="D47" s="121" t="s">
        <v>395</v>
      </c>
      <c r="O47" s="121" t="s">
        <v>396</v>
      </c>
    </row>
    <row r="48" spans="1:20" ht="20.100000000000001" customHeight="1" x14ac:dyDescent="0.25">
      <c r="A48" s="5" t="str">
        <f>HYPERLINK("#'8.1.1.1-2 Transport fuel'!A1", "8.1.1.1-2 Transport fuel")</f>
        <v>8.1.1.1-2 Transport fuel</v>
      </c>
      <c r="D48" s="122" t="s">
        <v>397</v>
      </c>
      <c r="O48" s="122" t="s">
        <v>398</v>
      </c>
    </row>
    <row r="49" spans="1:23" ht="20.100000000000001" customHeight="1" x14ac:dyDescent="0.25">
      <c r="A49" s="5" t="str">
        <f>HYPERLINK("#'8.2.1.1-2 Stationary fuel'!A1", "8.2.1.1-2 Stationary fuel")</f>
        <v>8.2.1.1-2 Stationary fuel</v>
      </c>
      <c r="D49" s="123" t="s">
        <v>334</v>
      </c>
      <c r="E49" s="123" t="s">
        <v>335</v>
      </c>
      <c r="F49" s="123" t="s">
        <v>336</v>
      </c>
      <c r="G49" s="123" t="s">
        <v>337</v>
      </c>
      <c r="H49" s="123" t="s">
        <v>338</v>
      </c>
      <c r="O49" s="123" t="s">
        <v>334</v>
      </c>
      <c r="P49" s="123" t="s">
        <v>335</v>
      </c>
      <c r="Q49" s="123" t="s">
        <v>336</v>
      </c>
      <c r="R49" s="123" t="s">
        <v>337</v>
      </c>
      <c r="S49" s="123" t="s">
        <v>338</v>
      </c>
    </row>
    <row r="50" spans="1:23" ht="20.100000000000001" customHeight="1" x14ac:dyDescent="0.25">
      <c r="A50" s="5" t="str">
        <f>HYPERLINK("#'9.1.1.1-2 Refrigerant use'!A1", "9.1.1.1-2 Refrigerant use")</f>
        <v>9.1.1.1-2 Refrigerant use</v>
      </c>
      <c r="D50" s="15" cm="1">
        <f t="array" ref="D50">EntericMethane_Dairy_Equations.VEERG_3_3_1_1__5_MilkProductionFromMilkSolids(D45,$I$39,$I$40)</f>
        <v>0</v>
      </c>
      <c r="E50" s="15">
        <v>0</v>
      </c>
      <c r="F50" s="15">
        <v>0</v>
      </c>
      <c r="G50" s="15">
        <v>0</v>
      </c>
      <c r="H50" s="15">
        <v>0</v>
      </c>
      <c r="I50" s="16" t="s">
        <v>399</v>
      </c>
      <c r="O50" s="15" cm="1">
        <f t="array" ref="O50">EntericMethane_Dairy_Equations.VEERG_3_3_1_1__5_MilkProductionFromMilkSolids(D45,$T$39,$T$40)</f>
        <v>0</v>
      </c>
      <c r="P50" s="15">
        <v>0</v>
      </c>
      <c r="Q50" s="15">
        <v>0</v>
      </c>
      <c r="R50" s="15">
        <v>0</v>
      </c>
      <c r="S50" s="15">
        <v>0</v>
      </c>
      <c r="T50" s="16" t="s">
        <v>399</v>
      </c>
    </row>
    <row r="51" spans="1:23" ht="20.100000000000001" customHeight="1" x14ac:dyDescent="0.25">
      <c r="A51" s="5" t="str">
        <f>HYPERLINK("#'10.1.1-2 Solid waste treatment'!A1", "10.1.1.1-2 Solid waste")</f>
        <v>10.1.1.1-2 Solid waste</v>
      </c>
    </row>
    <row r="52" spans="1:23" ht="20.100000000000001" customHeight="1" x14ac:dyDescent="0.25">
      <c r="A52" s="5" t="str">
        <f>HYPERLINK("#'14.1.1-2 Purchased electricity'!A1", "14.1.1-2 Purchased electricity")</f>
        <v>14.1.1-2 Purchased electricity</v>
      </c>
    </row>
    <row r="53" spans="1:23" ht="20.100000000000001" customHeight="1" x14ac:dyDescent="0.25">
      <c r="A53" s="5" t="str">
        <f>HYPERLINK("#'15 Scope 3'!A1", "15 Scope 3")</f>
        <v>15 Scope 3</v>
      </c>
      <c r="C53" s="88"/>
      <c r="D53" s="88"/>
      <c r="E53" s="88"/>
      <c r="F53" s="88"/>
      <c r="G53" s="88"/>
      <c r="H53" s="88"/>
      <c r="I53" s="88"/>
      <c r="J53" s="88"/>
      <c r="K53" s="88"/>
      <c r="L53" s="88"/>
      <c r="N53" s="88"/>
      <c r="O53" s="88"/>
      <c r="P53" s="88"/>
      <c r="Q53" s="88"/>
      <c r="R53" s="88"/>
      <c r="S53" s="88"/>
      <c r="T53" s="88"/>
      <c r="U53" s="88"/>
      <c r="V53" s="88"/>
      <c r="W53" s="88"/>
    </row>
    <row r="54" spans="1:23" ht="20.100000000000001" customHeight="1" x14ac:dyDescent="0.25">
      <c r="A54" s="5" t="str">
        <f>HYPERLINK("#'Calcs - Manure sent off-site'!A1", "Calcs - Manure sent off-site")</f>
        <v>Calcs - Manure sent off-site</v>
      </c>
      <c r="D54" s="2" t="str" cm="1">
        <f t="array" ref="D54">EntericMethane_Dairy_Equations.VEERG_3_3_1_1__4_AdditionalIntakeForMilkProduction_Title()</f>
        <v>Additional intake required for milk production</v>
      </c>
    </row>
    <row r="55" spans="1:23" ht="20.100000000000001" customHeight="1" x14ac:dyDescent="0.25">
      <c r="D55" s="17" t="str" cm="1">
        <f t="array" ref="D55">EntericMethane_Dairy_Equations.VEERG_3_3_1_1__4_AdditionalIntakeForMilkProduction_Source()</f>
        <v>VEERG 2026: 3.3.1.1, Equation (4)</v>
      </c>
    </row>
    <row r="56" spans="1:23" ht="20.100000000000001" customHeight="1" x14ac:dyDescent="0.25">
      <c r="D56" s="117" t="s">
        <v>382</v>
      </c>
      <c r="E56" s="117" t="str" cm="1">
        <f t="array" aca="1" ref="E56" ca="1">Common_InputFunctions.Utility_DisplayFunctionName(D79)</f>
        <v>=EntericMethane_Dairy_Equations.VEERG_3_3_1_1__4_AdditionalIntakeForMilkProduction</v>
      </c>
    </row>
    <row r="57" spans="1:23" ht="20.100000000000001" customHeight="1" x14ac:dyDescent="0.25">
      <c r="A57" s="82" t="s">
        <v>1</v>
      </c>
    </row>
    <row r="58" spans="1:23" ht="20.100000000000001" customHeight="1" x14ac:dyDescent="0.25">
      <c r="A58" s="5" t="str">
        <f>HYPERLINK("#'Constants - Dairy'!A1", "Constants - Dairy")</f>
        <v>Constants - Dairy</v>
      </c>
      <c r="D58" s="2"/>
    </row>
    <row r="59" spans="1:23" ht="20.100000000000001" customHeight="1" x14ac:dyDescent="0.25">
      <c r="A59" s="5" t="str">
        <f>HYPERLINK("#'Constants - Ag Residue'!A1", "Constants - Ag residue")</f>
        <v>Constants - Ag residue</v>
      </c>
      <c r="D59" s="76" t="s">
        <v>383</v>
      </c>
      <c r="E59" s="1" t="str" cm="1">
        <f t="array" ref="E59">EntericMethane_Dairy_Equations.VEERG_3_3_1_1__4_AdditionalIntakeForMilkProduction_Variable()</f>
        <v>MI_j</v>
      </c>
    </row>
    <row r="60" spans="1:23" ht="20.100000000000001" customHeight="1" x14ac:dyDescent="0.25">
      <c r="A60" s="5" t="str">
        <f>HYPERLINK("#'Constants - Common Livestock'!A1", "Constants - Common Livestock")</f>
        <v>Constants - Common Livestock</v>
      </c>
      <c r="D60" s="76" t="s">
        <v>118</v>
      </c>
      <c r="E60" s="9" t="str" cm="1">
        <f t="array" ref="E60">EntericMethane_Dairy_Equations.VEERG_3_3_1_1__4_AdditionalIntakeForMilkProduction_Unit()</f>
        <v>kg DM/head/day</v>
      </c>
    </row>
    <row r="61" spans="1:23" ht="20.100000000000001" customHeight="1" x14ac:dyDescent="0.25">
      <c r="A61" s="5" t="str">
        <f>HYPERLINK("#'Constants - Electricity'!A1", "Constants - Electricity")</f>
        <v>Constants - Electricity</v>
      </c>
    </row>
    <row r="62" spans="1:23" ht="20.100000000000001" customHeight="1" x14ac:dyDescent="0.25">
      <c r="A62" s="5" t="str">
        <f>HYPERLINK("#'Constants - Fertiliser'!A1", "Constants - Fertiliser")</f>
        <v>Constants - Fertiliser</v>
      </c>
      <c r="D62" s="119" t="str" cm="1">
        <f t="array" ref="D62:E68">_xlfn.CHOOSECOLS(EntericMethane_Dairy_Equations.VEERG_3_3_1_1__4_AdditionalIntakeForMilkProduction_Arguments(), 1,2)</f>
        <v>MPU</v>
      </c>
      <c r="E62" s="124" t="str">
        <v>input milk production unit</v>
      </c>
      <c r="F62" s="125"/>
      <c r="G62" s="119" t="str" cm="1">
        <f t="array" ref="G62:H68">_xlfn.CHOOSECOLS(EntericMethane_Dairy_Equations.VEERG_3_3_1_1__4_AdditionalIntakeForMilkProduction_Arguments(), 3,4)</f>
        <v/>
      </c>
      <c r="H62" s="120" t="str">
        <v>Input</v>
      </c>
      <c r="I62" s="119" t="str">
        <f>X_Cell_Dairy_MilkProductionUnit</f>
        <v>Litres of milk</v>
      </c>
    </row>
    <row r="63" spans="1:23" ht="20.100000000000001" customHeight="1" x14ac:dyDescent="0.25">
      <c r="A63" s="5" t="str">
        <f>HYPERLINK("#'Constants - Fuel'!A1", "Constants - Fuel")</f>
        <v>Constants - Fuel</v>
      </c>
      <c r="D63" s="119" t="str">
        <v>MP_j</v>
      </c>
      <c r="E63" s="124" t="str">
        <v>milk production (if input as litres of milk)</v>
      </c>
      <c r="F63" s="125"/>
      <c r="G63" s="119" t="str">
        <v>L/head/day</v>
      </c>
      <c r="H63" s="127" t="str">
        <v>Input</v>
      </c>
      <c r="I63" s="126" t="str" cm="1">
        <f t="array" aca="1" ref="I63" ca="1">HYPERLINK(Common_InputFunctions.Utility_SourceHyperlink($D$71), $D$71)</f>
        <v>Table_MP_j</v>
      </c>
    </row>
    <row r="64" spans="1:23" ht="20.100000000000001" customHeight="1" x14ac:dyDescent="0.25">
      <c r="A64" s="5" t="str">
        <f>HYPERLINK("#'Constants - Scope 3'!A1", "Constants - Scope 3")</f>
        <v>Constants - Scope 3</v>
      </c>
      <c r="D64" s="119" t="str">
        <v>MP_j</v>
      </c>
      <c r="E64" s="124" t="str">
        <v>milk production (if input as milk solids)</v>
      </c>
      <c r="F64" s="125"/>
      <c r="G64" s="119" t="str">
        <v>L/head/day</v>
      </c>
      <c r="H64" s="127" t="str">
        <v>Calculated from 3.3.1.1 (5)</v>
      </c>
      <c r="I64" s="126" t="str" cm="1">
        <f t="array" aca="1" ref="I64" ca="1">HYPERLINK(Common_InputFunctions.Utility_SourceHyperlink($D$47),$D$47)</f>
        <v>M1_Table_MP_j_from_solids</v>
      </c>
    </row>
    <row r="65" spans="1:22" ht="20.100000000000001" customHeight="1" x14ac:dyDescent="0.25">
      <c r="A65" s="5" t="str">
        <f>HYPERLINK("#'Constants - Common'!A1", "Constants - Common")</f>
        <v>Constants - Common</v>
      </c>
      <c r="D65" s="119" t="str">
        <v>NE</v>
      </c>
      <c r="E65" s="124" t="str">
        <v>net energy</v>
      </c>
      <c r="F65" s="125"/>
      <c r="G65" s="119" t="str">
        <v>MJ net energy/kg milk</v>
      </c>
      <c r="H65" s="127" t="str">
        <v>Constant</v>
      </c>
      <c r="I65" s="119">
        <f>SourceData_Dairy_NetEnergy_Data</f>
        <v>3.0539999999999998</v>
      </c>
    </row>
    <row r="66" spans="1:22" ht="20.100000000000001" customHeight="1" x14ac:dyDescent="0.25">
      <c r="A66" s="5" t="str">
        <f>HYPERLINK("#'Constants - Refrigerants'!A1", "Constants - Refrigerants")</f>
        <v>Constants - Refrigerants</v>
      </c>
      <c r="D66" s="119" t="str">
        <v>GEC</v>
      </c>
      <c r="E66" s="124" t="str">
        <v>gross energy content</v>
      </c>
      <c r="F66" s="125"/>
      <c r="G66" s="119" t="str">
        <v>MJ/kgDM</v>
      </c>
      <c r="H66" s="127" t="str">
        <v>Constant</v>
      </c>
      <c r="I66" s="119">
        <f>SourceData_Dairy_GrossEnergyContent_Data</f>
        <v>18.399999999999999</v>
      </c>
    </row>
    <row r="67" spans="1:22" ht="20.100000000000001" customHeight="1" x14ac:dyDescent="0.25">
      <c r="A67" s="5" t="str">
        <f>HYPERLINK("#'Constants - Solid Waste'!A1", "Constants - Solid Waste")</f>
        <v>Constants - Solid Waste</v>
      </c>
      <c r="D67" s="119" t="str">
        <v>k</v>
      </c>
      <c r="E67" s="119" t="str">
        <v>efficiency of metabolizable energy use for milk production</v>
      </c>
      <c r="F67" s="119"/>
      <c r="G67" s="119" t="str">
        <v>fraction</v>
      </c>
      <c r="H67" s="127" t="str">
        <v>Constant</v>
      </c>
      <c r="I67" s="119">
        <f>SourceData_Dairy_EfficiencyOfUseOfMetabolizableEnergy_Data</f>
        <v>0.6</v>
      </c>
    </row>
    <row r="68" spans="1:22" ht="20.100000000000001" customHeight="1" x14ac:dyDescent="0.25">
      <c r="A68" s="5" t="str">
        <f>HYPERLINK("#'Acknowledgements'!A1", "Acknowledgements")</f>
        <v>Acknowledgements</v>
      </c>
      <c r="D68" s="119" t="str">
        <v>qm_j</v>
      </c>
      <c r="E68" s="124" t="str">
        <v>metabolisability of the diet</v>
      </c>
      <c r="F68" s="125"/>
      <c r="G68" s="119" t="str">
        <v>fraction</v>
      </c>
      <c r="H68" s="127" t="str">
        <v>Calculated from 3.3.1.1 (6)</v>
      </c>
      <c r="I68" s="126" t="str" cm="1">
        <f t="array" aca="1" ref="I68" ca="1">HYPERLINK(Common_InputFunctions.Utility_SourceHyperlink($D$21), $D$21)</f>
        <v>M1_Table_qm_j</v>
      </c>
    </row>
    <row r="69" spans="1:22" ht="20.100000000000001" customHeight="1" x14ac:dyDescent="0.25"/>
    <row r="70" spans="1:22" ht="20.100000000000001" customHeight="1" x14ac:dyDescent="0.25"/>
    <row r="71" spans="1:22" ht="20.100000000000001" customHeight="1" x14ac:dyDescent="0.25">
      <c r="D71" s="121" t="s">
        <v>400</v>
      </c>
    </row>
    <row r="72" spans="1:22" ht="20.100000000000001" customHeight="1" x14ac:dyDescent="0.25">
      <c r="D72" s="122" t="s">
        <v>352</v>
      </c>
    </row>
    <row r="73" spans="1:22" ht="20.100000000000001" customHeight="1" x14ac:dyDescent="0.25">
      <c r="D73" s="81" t="s">
        <v>334</v>
      </c>
      <c r="E73" s="81" t="s">
        <v>335</v>
      </c>
      <c r="F73" s="81" t="s">
        <v>336</v>
      </c>
      <c r="G73" s="81" t="s">
        <v>337</v>
      </c>
      <c r="H73" s="81" t="s">
        <v>338</v>
      </c>
    </row>
    <row r="74" spans="1:22" ht="20.100000000000001" customHeight="1" x14ac:dyDescent="0.25">
      <c r="D74" s="15">
        <f>IF(I62="Milk solids", 0, X_Cell_Dairy_MilkProductionAmount)</f>
        <v>20</v>
      </c>
      <c r="E74" s="15">
        <v>0</v>
      </c>
      <c r="F74" s="15">
        <v>0</v>
      </c>
      <c r="G74" s="15">
        <v>0</v>
      </c>
      <c r="H74" s="15">
        <v>0</v>
      </c>
      <c r="I74" s="16" t="s">
        <v>399</v>
      </c>
      <c r="J74" s="16"/>
      <c r="K74" s="16"/>
    </row>
    <row r="75" spans="1:22" ht="20.100000000000001" customHeight="1" x14ac:dyDescent="0.25"/>
    <row r="76" spans="1:22" ht="20.100000000000001" customHeight="1" x14ac:dyDescent="0.25">
      <c r="D76" s="121" t="s">
        <v>401</v>
      </c>
      <c r="O76" s="121" t="s">
        <v>402</v>
      </c>
    </row>
    <row r="77" spans="1:22" ht="20.100000000000001" customHeight="1" x14ac:dyDescent="0.25">
      <c r="D77" s="122" t="s">
        <v>403</v>
      </c>
      <c r="O77" s="122" t="s">
        <v>404</v>
      </c>
    </row>
    <row r="78" spans="1:22" ht="20.100000000000001" customHeight="1" x14ac:dyDescent="0.25">
      <c r="D78" s="123" t="s">
        <v>334</v>
      </c>
      <c r="E78" s="123" t="s">
        <v>335</v>
      </c>
      <c r="F78" s="123" t="s">
        <v>336</v>
      </c>
      <c r="G78" s="123" t="s">
        <v>337</v>
      </c>
      <c r="H78" s="123" t="s">
        <v>338</v>
      </c>
      <c r="O78" s="123" t="s">
        <v>334</v>
      </c>
      <c r="P78" s="123" t="s">
        <v>335</v>
      </c>
      <c r="Q78" s="123" t="s">
        <v>336</v>
      </c>
      <c r="R78" s="123" t="s">
        <v>337</v>
      </c>
      <c r="S78" s="123" t="s">
        <v>338</v>
      </c>
    </row>
    <row r="79" spans="1:22" ht="20.100000000000001" customHeight="1" x14ac:dyDescent="0.25">
      <c r="D79" s="15" cm="1">
        <f t="array" ref="D79">EntericMethane_Dairy_Equations.VEERG_3_3_1_1__4_AdditionalIntakeForMilkProduction(IF(I62="Milk solids", D50, D74), $I$65,$I$66,$I$67,D24)</f>
        <v>9.5798721636071917</v>
      </c>
      <c r="E79" s="15" cm="1">
        <f t="array" ref="E79">EntericMethane_Dairy_Equations.VEERG_3_3_1_1__4_AdditionalIntakeForMilkProduction(E74, $I$65,$I$66,$I$67,E24)</f>
        <v>0</v>
      </c>
      <c r="F79" s="15" cm="1">
        <f t="array" ref="F79">EntericMethane_Dairy_Equations.VEERG_3_3_1_1__4_AdditionalIntakeForMilkProduction(F74, $I$65,$I$66,$I$67,F24)</f>
        <v>0</v>
      </c>
      <c r="G79" s="15" cm="1">
        <f t="array" ref="G79">EntericMethane_Dairy_Equations.VEERG_3_3_1_1__4_AdditionalIntakeForMilkProduction(G74, $I$65,$I$66,$I$67,G24)</f>
        <v>0</v>
      </c>
      <c r="H79" s="15" cm="1">
        <f t="array" ref="H79">EntericMethane_Dairy_Equations.VEERG_3_3_1_1__4_AdditionalIntakeForMilkProduction(H74, $I$65,$I$66,$I$67,H24)</f>
        <v>0</v>
      </c>
      <c r="I79" s="16" t="str">
        <f>$E$60</f>
        <v>kg DM/head/day</v>
      </c>
      <c r="J79" s="16"/>
      <c r="K79" s="16"/>
      <c r="O79" s="15" cm="1">
        <f t="array" ref="O79">EntericMethane_Dairy_Equations.VEERG_3_3_1_1__4_AdditionalIntakeForMilkProduction(IF(I62="Milk solids", O50, D74), $I$65,$I$66,$I$67,O24)</f>
        <v>9.5798721636071917</v>
      </c>
      <c r="P79" s="15" cm="1">
        <f t="array" ref="P79">EntericMethane_Dairy_Equations.VEERG_3_3_1_1__4_AdditionalIntakeForMilkProduction(E74, $I$65,$I$66,$I$67,P24)</f>
        <v>0</v>
      </c>
      <c r="Q79" s="15" cm="1">
        <f t="array" ref="Q79">EntericMethane_Dairy_Equations.VEERG_3_3_1_1__4_AdditionalIntakeForMilkProduction(F74, $I$65,$I$66,$I$67,Q24)</f>
        <v>0</v>
      </c>
      <c r="R79" s="15" cm="1">
        <f t="array" ref="R79">EntericMethane_Dairy_Equations.VEERG_3_3_1_1__4_AdditionalIntakeForMilkProduction(G74, $I$65,$I$66,$I$67,R24)</f>
        <v>0</v>
      </c>
      <c r="S79" s="15" cm="1">
        <f t="array" ref="S79">EntericMethane_Dairy_Equations.VEERG_3_3_1_1__4_AdditionalIntakeForMilkProduction(H74, $I$65,$I$66,$I$67,S24)</f>
        <v>0</v>
      </c>
      <c r="T79" s="16" t="str">
        <f>$E$60</f>
        <v>kg DM/head/day</v>
      </c>
      <c r="U79" s="16"/>
      <c r="V79" s="16"/>
    </row>
    <row r="80" spans="1:22" ht="20.100000000000001" customHeight="1" x14ac:dyDescent="0.25"/>
    <row r="81" spans="3:23" ht="20.100000000000001" customHeight="1" x14ac:dyDescent="0.25"/>
    <row r="82" spans="3:23" ht="20.100000000000001" customHeight="1" x14ac:dyDescent="0.25">
      <c r="C82" s="88"/>
      <c r="D82" s="88"/>
      <c r="E82" s="88"/>
      <c r="F82" s="88"/>
      <c r="G82" s="88"/>
      <c r="H82" s="88"/>
      <c r="I82" s="88"/>
      <c r="J82" s="88"/>
      <c r="K82" s="88"/>
      <c r="L82" s="88"/>
      <c r="N82" s="88"/>
      <c r="O82" s="88"/>
      <c r="P82" s="88"/>
      <c r="Q82" s="88"/>
      <c r="R82" s="88"/>
      <c r="S82" s="88"/>
      <c r="T82" s="88"/>
      <c r="U82" s="88"/>
      <c r="V82" s="88"/>
      <c r="W82" s="88"/>
    </row>
    <row r="83" spans="3:23" ht="20.100000000000001" customHeight="1" x14ac:dyDescent="0.25">
      <c r="D83" s="2" t="str" cm="1">
        <f t="array" ref="D83">EntericMethane_Dairy_Equations.VEERG_3_3_1_1__3_DryMatterFeedIntake_Title()</f>
        <v>Feed intake</v>
      </c>
    </row>
    <row r="84" spans="3:23" ht="20.100000000000001" customHeight="1" x14ac:dyDescent="0.25">
      <c r="D84" s="17" t="str" cm="1">
        <f t="array" ref="D84">EntericMethane_Dairy_Equations.VEERG_3_3_1_1__3_DryMatterFeedIntake_Source()</f>
        <v>VEERG 2026: 3.3.1.1, Equation (3)</v>
      </c>
    </row>
    <row r="85" spans="3:23" ht="20.100000000000001" customHeight="1" x14ac:dyDescent="0.25">
      <c r="D85" s="117" t="s">
        <v>382</v>
      </c>
      <c r="E85" s="117"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76" t="s">
        <v>383</v>
      </c>
      <c r="E88" s="1" t="str" cm="1">
        <f t="array" ref="E88">EntericMethane_Dairy_Equations.VEERG_3_3_1_1__3_DryMatterFeedIntake_Variable()</f>
        <v>I_j</v>
      </c>
    </row>
    <row r="89" spans="3:23" ht="20.100000000000001" customHeight="1" x14ac:dyDescent="0.25">
      <c r="D89" s="76" t="s">
        <v>118</v>
      </c>
      <c r="E89" s="9" t="str" cm="1">
        <f t="array" ref="E89">EntericMethane_Dairy_Equations.VEERG_3_3_1_1__3_DryMatterFeedIntake_Unit()</f>
        <v>kg DM/head/day</v>
      </c>
    </row>
    <row r="90" spans="3:23" ht="20.100000000000001" customHeight="1" x14ac:dyDescent="0.25"/>
    <row r="91" spans="3:23" ht="20.100000000000001" customHeight="1" x14ac:dyDescent="0.25">
      <c r="D91" s="119" t="str" cm="1">
        <f t="array" ref="D91:E94">_xlfn.CHOOSECOLS(EntericMethane_Dairy_Equations.VEERG_3_3_1_1__3_DryMatterFeedIntake_Arguments(),1,2)</f>
        <v>W_j</v>
      </c>
      <c r="E91" s="124" t="str">
        <v>liveweight</v>
      </c>
      <c r="F91" s="125"/>
      <c r="G91" s="119" t="str" cm="1">
        <f t="array" ref="G91:H94">_xlfn.CHOOSECOLS(EntericMethane_Dairy_Equations.VEERG_3_3_1_1__3_DryMatterFeedIntake_Arguments(),3,4)</f>
        <v>kg</v>
      </c>
      <c r="H91" s="120" t="str">
        <v>Input</v>
      </c>
      <c r="I91" s="126" t="str" cm="1">
        <f t="array" aca="1" ref="I91" ca="1">HYPERLINK(Common_InputFunctions.Utility_SourceHyperlink($D$96), $D$96)</f>
        <v>M1_Table_W_j</v>
      </c>
    </row>
    <row r="92" spans="3:23" ht="20.100000000000001" customHeight="1" x14ac:dyDescent="0.25">
      <c r="D92" s="119" t="str">
        <v>LWG_j</v>
      </c>
      <c r="E92" s="124" t="str">
        <v>liveweight gain</v>
      </c>
      <c r="F92" s="125"/>
      <c r="G92" s="119" t="str">
        <v>kg/head/day</v>
      </c>
      <c r="H92" s="120" t="str">
        <v>Input</v>
      </c>
      <c r="I92" s="126" t="str" cm="1">
        <f t="array" aca="1" ref="I92" ca="1">HYPERLINK(Common_InputFunctions.Utility_SourceHyperlink($D$101), $D$101)</f>
        <v>M1_Table_LWG_j</v>
      </c>
    </row>
    <row r="93" spans="3:23" ht="20.100000000000001" customHeight="1" x14ac:dyDescent="0.25">
      <c r="D93" s="119" t="str">
        <v>MR_j</v>
      </c>
      <c r="E93" s="124" t="str">
        <v>increase in metabolic rate when producing milk</v>
      </c>
      <c r="F93" s="125"/>
      <c r="G93" s="119" t="str">
        <v>fraction</v>
      </c>
      <c r="H93" s="127" t="str">
        <v>Constant</v>
      </c>
      <c r="I93" s="126" t="str" cm="1">
        <f t="array" aca="1" ref="I93" ca="1">HYPERLINK(Common_InputFunctions.Utility_SourceHyperlink($D$106), $D$106)</f>
        <v>Table_MR_j</v>
      </c>
    </row>
    <row r="94" spans="3:23" ht="20.100000000000001" customHeight="1" x14ac:dyDescent="0.25">
      <c r="D94" s="119" t="str">
        <v>MI_j</v>
      </c>
      <c r="E94" s="124" t="str">
        <v>additional intake required for milk production</v>
      </c>
      <c r="F94" s="125"/>
      <c r="G94" s="119" t="str">
        <v>kg DM/head/day</v>
      </c>
      <c r="H94" s="127" t="str">
        <v>Calculated from 3.3.1.1 (4)</v>
      </c>
      <c r="I94" s="126" t="str" cm="1">
        <f t="array" aca="1" ref="I94" ca="1">HYPERLINK(Common_InputFunctions.Utility_SourceHyperlink($D$76), $D$76)</f>
        <v>M1_Table_MI_j</v>
      </c>
    </row>
    <row r="95" spans="3:23" ht="20.100000000000001" customHeight="1" x14ac:dyDescent="0.25"/>
    <row r="96" spans="3:23" ht="20.100000000000001" customHeight="1" x14ac:dyDescent="0.25">
      <c r="D96" s="121" t="s">
        <v>405</v>
      </c>
      <c r="O96" s="121" t="s">
        <v>406</v>
      </c>
    </row>
    <row r="97" spans="4:22" ht="20.100000000000001" customHeight="1" x14ac:dyDescent="0.25">
      <c r="D97" s="122" t="s">
        <v>407</v>
      </c>
      <c r="O97" s="122" t="s">
        <v>408</v>
      </c>
    </row>
    <row r="98" spans="4:22" ht="20.100000000000001" customHeight="1" x14ac:dyDescent="0.25">
      <c r="D98" s="81" t="s">
        <v>334</v>
      </c>
      <c r="E98" s="81" t="s">
        <v>335</v>
      </c>
      <c r="F98" s="81" t="s">
        <v>336</v>
      </c>
      <c r="G98" s="81" t="s">
        <v>337</v>
      </c>
      <c r="H98" s="81" t="s">
        <v>338</v>
      </c>
      <c r="O98" s="81" t="s">
        <v>334</v>
      </c>
      <c r="P98" s="81" t="s">
        <v>335</v>
      </c>
      <c r="Q98" s="81" t="s">
        <v>336</v>
      </c>
      <c r="R98" s="81" t="s">
        <v>337</v>
      </c>
      <c r="S98" s="81" t="s">
        <v>338</v>
      </c>
    </row>
    <row r="99" spans="4:22" ht="20.100000000000001" customHeight="1" x14ac:dyDescent="0.25">
      <c r="D99" s="15">
        <f>INDEX(X_Table_Dairy_Liveweight_Method1,2,2)</f>
        <v>550</v>
      </c>
      <c r="E99" s="15">
        <f>INDEX(X_Table_Dairy_Liveweight_Method1,2,3)</f>
        <v>380</v>
      </c>
      <c r="F99" s="15">
        <f>INDEX(X_Table_Dairy_Liveweight_Method1,2,4)</f>
        <v>155</v>
      </c>
      <c r="G99" s="15">
        <f>INDEX(X_Table_Dairy_Liveweight_Method1,2,5)</f>
        <v>600</v>
      </c>
      <c r="H99" s="15">
        <f>INDEX(X_Table_Dairy_Liveweight_Method1,2,6)</f>
        <v>225</v>
      </c>
      <c r="I99" s="16" t="s">
        <v>343</v>
      </c>
      <c r="J99" s="16"/>
      <c r="K99" s="16"/>
      <c r="O99" s="15">
        <f>INDEX(X_Table_Dairy_Liveweight_Method2,2,2)</f>
        <v>550</v>
      </c>
      <c r="P99" s="15">
        <f>INDEX(X_Table_Dairy_Liveweight_Method2,2,3)</f>
        <v>380</v>
      </c>
      <c r="Q99" s="15">
        <f>INDEX(X_Table_Dairy_Liveweight_Method2,2,4)</f>
        <v>155</v>
      </c>
      <c r="R99" s="15">
        <f>INDEX(X_Table_Dairy_Liveweight_Method2,2,5)</f>
        <v>600</v>
      </c>
      <c r="S99" s="15">
        <f>INDEX(X_Table_Dairy_Liveweight_Method2,2,6)</f>
        <v>225</v>
      </c>
      <c r="T99" s="16" t="s">
        <v>343</v>
      </c>
      <c r="U99" s="16"/>
      <c r="V99" s="16"/>
    </row>
    <row r="100" spans="4:22" ht="20.100000000000001" customHeight="1" x14ac:dyDescent="0.25"/>
    <row r="101" spans="4:22" ht="20.100000000000001" customHeight="1" x14ac:dyDescent="0.25">
      <c r="D101" s="121" t="s">
        <v>409</v>
      </c>
      <c r="O101" s="121" t="s">
        <v>410</v>
      </c>
    </row>
    <row r="102" spans="4:22" ht="20.100000000000001" customHeight="1" x14ac:dyDescent="0.25">
      <c r="D102" s="122" t="s">
        <v>411</v>
      </c>
      <c r="O102" s="122" t="s">
        <v>412</v>
      </c>
    </row>
    <row r="103" spans="4:22" ht="20.100000000000001" customHeight="1" x14ac:dyDescent="0.25">
      <c r="D103" s="81" t="s">
        <v>334</v>
      </c>
      <c r="E103" s="81" t="s">
        <v>335</v>
      </c>
      <c r="F103" s="81" t="s">
        <v>336</v>
      </c>
      <c r="G103" s="81" t="s">
        <v>337</v>
      </c>
      <c r="H103" s="81" t="s">
        <v>338</v>
      </c>
      <c r="O103" s="81" t="s">
        <v>334</v>
      </c>
      <c r="P103" s="81" t="s">
        <v>335</v>
      </c>
      <c r="Q103" s="81" t="s">
        <v>336</v>
      </c>
      <c r="R103" s="81" t="s">
        <v>337</v>
      </c>
      <c r="S103" s="81" t="s">
        <v>338</v>
      </c>
    </row>
    <row r="104" spans="4:22" ht="20.100000000000001" customHeight="1" x14ac:dyDescent="0.25">
      <c r="D104" s="15">
        <f>INDEX(X_Table_Dairy_Liveweight_Method1,3,2)</f>
        <v>1.6E-2</v>
      </c>
      <c r="E104" s="15">
        <f>INDEX(X_Table_Dairy_Liveweight_Method1,3,3)</f>
        <v>0.6</v>
      </c>
      <c r="F104" s="15">
        <f>INDEX(X_Table_Dairy_Liveweight_Method1,3,4)</f>
        <v>0.56999999999999995</v>
      </c>
      <c r="G104" s="15">
        <f>INDEX(X_Table_Dairy_Liveweight_Method1,3,5)</f>
        <v>0.1</v>
      </c>
      <c r="H104" s="15">
        <f>INDEX(X_Table_Dairy_Liveweight_Method1,3,6)</f>
        <v>0.8</v>
      </c>
      <c r="I104" s="16" t="s">
        <v>345</v>
      </c>
      <c r="J104" s="16"/>
      <c r="K104" s="16"/>
      <c r="O104" s="15">
        <f>INDEX(X_Table_Dairy_Liveweight_Method2,3,2)</f>
        <v>1.6E-2</v>
      </c>
      <c r="P104" s="15">
        <f>INDEX(X_Table_Dairy_Liveweight_Method2,3,3)</f>
        <v>0.6</v>
      </c>
      <c r="Q104" s="15">
        <f>INDEX(X_Table_Dairy_Liveweight_Method2,3,4)</f>
        <v>0.56999999999999995</v>
      </c>
      <c r="R104" s="15">
        <f>INDEX(X_Table_Dairy_Liveweight_Method2,3,5)</f>
        <v>0.1</v>
      </c>
      <c r="S104" s="15">
        <f>INDEX(X_Table_Dairy_Liveweight_Method2,3,6)</f>
        <v>0.8</v>
      </c>
      <c r="T104" s="16" t="s">
        <v>345</v>
      </c>
      <c r="U104" s="16"/>
      <c r="V104" s="16"/>
    </row>
    <row r="105" spans="4:22" ht="20.100000000000001" customHeight="1" x14ac:dyDescent="0.25"/>
    <row r="106" spans="4:22" ht="20.100000000000001" customHeight="1" x14ac:dyDescent="0.25">
      <c r="D106" s="121" t="s">
        <v>413</v>
      </c>
    </row>
    <row r="107" spans="4:22" ht="20.100000000000001" customHeight="1" x14ac:dyDescent="0.25">
      <c r="D107" s="122" t="s">
        <v>414</v>
      </c>
    </row>
    <row r="108" spans="4:22" ht="20.100000000000001" customHeight="1" x14ac:dyDescent="0.25">
      <c r="D108" s="123" t="s">
        <v>334</v>
      </c>
      <c r="E108" s="123" t="s">
        <v>335</v>
      </c>
      <c r="F108" s="123" t="s">
        <v>336</v>
      </c>
      <c r="G108" s="123" t="s">
        <v>337</v>
      </c>
      <c r="H108" s="123" t="s">
        <v>338</v>
      </c>
    </row>
    <row r="109" spans="4:22" ht="20.100000000000001" customHeight="1" x14ac:dyDescent="0.25">
      <c r="D109" s="15">
        <f>'Constants - Dairy'!$E$108</f>
        <v>1.1000000000000001</v>
      </c>
      <c r="E109" s="15">
        <f>'Constants - Dairy'!$E$109</f>
        <v>1</v>
      </c>
      <c r="F109" s="15">
        <f>'Constants - Dairy'!$E$109</f>
        <v>1</v>
      </c>
      <c r="G109" s="15">
        <f>'Constants - Dairy'!$E$109</f>
        <v>1</v>
      </c>
      <c r="H109" s="15">
        <f>'Constants - Dairy'!$E$109</f>
        <v>1</v>
      </c>
      <c r="I109" s="16" t="s">
        <v>350</v>
      </c>
      <c r="J109" s="16"/>
      <c r="K109" s="16"/>
    </row>
    <row r="110" spans="4:22" ht="20.100000000000001" customHeight="1" x14ac:dyDescent="0.25"/>
    <row r="111" spans="4:22" ht="20.100000000000001" customHeight="1" x14ac:dyDescent="0.25">
      <c r="D111" s="121" t="s">
        <v>415</v>
      </c>
      <c r="O111" s="121" t="s">
        <v>416</v>
      </c>
    </row>
    <row r="112" spans="4:22" ht="20.100000000000001" customHeight="1" x14ac:dyDescent="0.25">
      <c r="D112" s="122" t="s">
        <v>417</v>
      </c>
      <c r="O112" s="122" t="s">
        <v>418</v>
      </c>
    </row>
    <row r="113" spans="3:23" ht="20.100000000000001" customHeight="1" x14ac:dyDescent="0.25">
      <c r="D113" s="123" t="s">
        <v>334</v>
      </c>
      <c r="E113" s="123" t="s">
        <v>335</v>
      </c>
      <c r="F113" s="123" t="s">
        <v>336</v>
      </c>
      <c r="G113" s="123" t="s">
        <v>337</v>
      </c>
      <c r="H113" s="123" t="s">
        <v>338</v>
      </c>
      <c r="O113" s="123" t="s">
        <v>334</v>
      </c>
      <c r="P113" s="123" t="s">
        <v>335</v>
      </c>
      <c r="Q113" s="123" t="s">
        <v>336</v>
      </c>
      <c r="R113" s="123" t="s">
        <v>337</v>
      </c>
      <c r="S113" s="123" t="s">
        <v>338</v>
      </c>
    </row>
    <row r="114" spans="3:23" ht="20.100000000000001" customHeight="1" x14ac:dyDescent="0.25">
      <c r="D114" s="15" cm="1">
        <f t="array" ref="D114">EntericMethane_Dairy_Equations.VEERG_3_3_1_1__3_DryMatterFeedIntake(D99,D104,D109,D79)</f>
        <v>18.834317684367193</v>
      </c>
      <c r="E114" s="15" cm="1">
        <f t="array" ref="E114">EntericMethane_Dairy_Equations.VEERG_3_3_1_1__3_DryMatterFeedIntake(E99,E104,E109,E79)</f>
        <v>7.4188685375999972</v>
      </c>
      <c r="F114" s="15" cm="1">
        <f t="array" ref="F114">EntericMethane_Dairy_Equations.VEERG_3_3_1_1__3_DryMatterFeedIntake(F99,F104,F109,F79)</f>
        <v>4.0231734662249998</v>
      </c>
      <c r="G114" s="15" cm="1">
        <f t="array" ref="G114">EntericMethane_Dairy_Equations.VEERG_3_3_1_1__3_DryMatterFeedIntake(G99,G104,G109,G79)</f>
        <v>9.0270202499999979</v>
      </c>
      <c r="H114" s="15" cm="1">
        <f t="array" ref="H114">EntericMethane_Dairy_Equations.VEERG_3_3_1_1__3_DryMatterFeedIntake(H99,H104,H109,H79)</f>
        <v>5.4143472656250013</v>
      </c>
      <c r="I114" s="16" t="str">
        <f>$E$89</f>
        <v>kg DM/head/day</v>
      </c>
      <c r="J114" s="16"/>
      <c r="K114" s="16"/>
      <c r="O114" s="15" cm="1">
        <f t="array" ref="O114">EntericMethane_Dairy_Equations.VEERG_3_3_1_1__3_DryMatterFeedIntake(O99,O104,D109,O79)</f>
        <v>18.834317684367193</v>
      </c>
      <c r="P114" s="15" cm="1">
        <f t="array" ref="P114">EntericMethane_Dairy_Equations.VEERG_3_3_1_1__3_DryMatterFeedIntake(P99,P104,E109,P79)</f>
        <v>7.4188685375999972</v>
      </c>
      <c r="Q114" s="15" cm="1">
        <f t="array" ref="Q114">EntericMethane_Dairy_Equations.VEERG_3_3_1_1__3_DryMatterFeedIntake(Q99,Q104,F109,Q79)</f>
        <v>4.0231734662249998</v>
      </c>
      <c r="R114" s="15" cm="1">
        <f t="array" ref="R114">EntericMethane_Dairy_Equations.VEERG_3_3_1_1__3_DryMatterFeedIntake(R99,R104,G109,R79)</f>
        <v>9.0270202499999979</v>
      </c>
      <c r="S114" s="15" cm="1">
        <f t="array" ref="S114">EntericMethane_Dairy_Equations.VEERG_3_3_1_1__3_DryMatterFeedIntake(S99,S104,H109,S79)</f>
        <v>5.4143472656250013</v>
      </c>
      <c r="T114" s="16" t="str">
        <f>$E$89</f>
        <v>kg DM/head/day</v>
      </c>
      <c r="U114" s="16"/>
      <c r="V114" s="16"/>
    </row>
    <row r="115" spans="3:23" ht="20.100000000000001" customHeight="1" x14ac:dyDescent="0.25"/>
    <row r="116" spans="3:23" ht="20.100000000000001" customHeight="1" x14ac:dyDescent="0.25"/>
    <row r="117" spans="3:23" ht="20.100000000000001" customHeight="1" x14ac:dyDescent="0.25">
      <c r="C117" s="88"/>
      <c r="D117" s="88"/>
      <c r="E117" s="88"/>
      <c r="F117" s="88"/>
      <c r="G117" s="88"/>
      <c r="H117" s="88"/>
      <c r="I117" s="88"/>
      <c r="J117" s="88"/>
      <c r="K117" s="88"/>
      <c r="L117" s="88"/>
      <c r="N117" s="88"/>
      <c r="O117" s="88"/>
      <c r="P117" s="88"/>
      <c r="Q117" s="88"/>
      <c r="R117" s="88"/>
      <c r="S117" s="88"/>
      <c r="T117" s="88"/>
      <c r="U117" s="88"/>
      <c r="V117" s="88"/>
      <c r="W117" s="88"/>
    </row>
    <row r="118" spans="3:23" ht="20.100000000000001" customHeight="1" x14ac:dyDescent="0.25">
      <c r="D118" s="2" t="str" cm="1">
        <f t="array" ref="D118">MMS_Dairy_Methane_Equations.VEERG_4_3_1_1__3_VolatileSolidsForWeanedDairyCattle_Title()</f>
        <v>Volatile solids for weaned dairy cattle</v>
      </c>
    </row>
    <row r="119" spans="3:23" ht="20.100000000000001" customHeight="1" x14ac:dyDescent="0.25">
      <c r="D119" s="17" t="str" cm="1">
        <f t="array" ref="D119">MMS_Dairy_Methane_Equations.VEERG_4_3_1_1__3_VolatileSolidsForWeanedDairyCattle_Source()</f>
        <v>VEERG 2026: 4.3.1.1, Equation (3)</v>
      </c>
    </row>
    <row r="120" spans="3:23" ht="20.100000000000001" customHeight="1" x14ac:dyDescent="0.25">
      <c r="D120" s="117" t="s">
        <v>382</v>
      </c>
      <c r="E120" s="117"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76" t="s">
        <v>383</v>
      </c>
      <c r="E123" s="1" t="str" cm="1">
        <f t="array" ref="E123">MMS_Dairy_Methane_Equations.VEERG_4_3_1_1__3_VolatileSolidsForWeanedDairyCattle_Variable()</f>
        <v>VS_j</v>
      </c>
    </row>
    <row r="124" spans="3:23" ht="20.100000000000001" customHeight="1" x14ac:dyDescent="0.25">
      <c r="D124" s="76" t="s">
        <v>118</v>
      </c>
      <c r="E124" s="9" t="str" cm="1">
        <f t="array" ref="E124">MMS_Dairy_Methane_Equations.VEERG_4_3_1_1__3_VolatileSolidsForWeanedDairyCattle_Unit()</f>
        <v>kg/head/day</v>
      </c>
    </row>
    <row r="125" spans="3:23" ht="20.100000000000001" customHeight="1" x14ac:dyDescent="0.25"/>
    <row r="126" spans="3:23" ht="20.100000000000001" customHeight="1" x14ac:dyDescent="0.25">
      <c r="D126" s="119" t="str" cm="1">
        <f t="array" ref="D126:E128">_xlfn.CHOOSECOLS(MMS_Dairy_Methane_Equations.VEERG_4_3_1_1__3_VolatileSolidsForWeanedDairyCattle_Arguments(), 1,2)</f>
        <v>I_j</v>
      </c>
      <c r="E126" s="124" t="str">
        <v>dry matter feed intake (kgDM/head/day)</v>
      </c>
      <c r="F126" s="125"/>
      <c r="G126" s="119" t="str" cm="1">
        <f t="array" ref="G126:H128">_xlfn.CHOOSECOLS(MMS_Dairy_Methane_Equations.VEERG_4_3_1_1__3_VolatileSolidsForWeanedDairyCattle_Arguments(), 3,4)</f>
        <v>kgDM/head/day</v>
      </c>
      <c r="H126" s="127" t="str">
        <v>Calculated from 3.3.1.1 (3)</v>
      </c>
      <c r="I126" s="126" t="str" cm="1">
        <f t="array" aca="1" ref="I126" ca="1">HYPERLINK(Common_InputFunctions.Utility_SourceHyperlink($D$111), $D$111)</f>
        <v>M1_Table_I_j</v>
      </c>
    </row>
    <row r="127" spans="3:23" ht="20.100000000000001" customHeight="1" x14ac:dyDescent="0.25">
      <c r="D127" s="119" t="str">
        <v>DMD_j</v>
      </c>
      <c r="E127" s="124" t="str">
        <v>dry matter digestibility</v>
      </c>
      <c r="F127" s="125"/>
      <c r="G127" s="119" t="str">
        <v>fraction</v>
      </c>
      <c r="H127" s="120" t="str">
        <v>Input</v>
      </c>
      <c r="I127" s="126" t="str" cm="1">
        <f t="array" aca="1" ref="I127" ca="1">HYPERLINK(Common_InputFunctions.Utility_SourceHyperlink($D$16), $D$16)</f>
        <v>M1_Table_DMD_j</v>
      </c>
    </row>
    <row r="128" spans="3:23" ht="20.100000000000001" customHeight="1" x14ac:dyDescent="0.25">
      <c r="D128" s="119" t="str">
        <v>A</v>
      </c>
      <c r="E128" s="124" t="str">
        <v>ash content of feed intake</v>
      </c>
      <c r="F128" s="125"/>
      <c r="G128" s="119" t="str">
        <v>fraction</v>
      </c>
      <c r="H128" s="127" t="str">
        <v>Constant</v>
      </c>
      <c r="I128" s="119">
        <f>SourceData_Dairy_AshContent_Data</f>
        <v>0.08</v>
      </c>
    </row>
    <row r="129" spans="3:23" ht="20.100000000000001" customHeight="1" x14ac:dyDescent="0.25"/>
    <row r="130" spans="3:23" ht="20.100000000000001" customHeight="1" x14ac:dyDescent="0.25">
      <c r="D130" s="121" t="s">
        <v>419</v>
      </c>
      <c r="O130" s="121" t="s">
        <v>420</v>
      </c>
    </row>
    <row r="131" spans="3:23" ht="20.100000000000001" customHeight="1" x14ac:dyDescent="0.25">
      <c r="D131" s="122" t="s">
        <v>421</v>
      </c>
      <c r="O131" s="122" t="s">
        <v>422</v>
      </c>
    </row>
    <row r="132" spans="3:23" ht="20.100000000000001" customHeight="1" x14ac:dyDescent="0.25">
      <c r="D132" s="123" t="s">
        <v>334</v>
      </c>
      <c r="E132" s="123" t="s">
        <v>335</v>
      </c>
      <c r="F132" s="123" t="s">
        <v>336</v>
      </c>
      <c r="G132" s="123" t="s">
        <v>337</v>
      </c>
      <c r="H132" s="123" t="s">
        <v>338</v>
      </c>
      <c r="O132" s="123" t="s">
        <v>334</v>
      </c>
      <c r="P132" s="123" t="s">
        <v>335</v>
      </c>
      <c r="Q132" s="123" t="s">
        <v>336</v>
      </c>
      <c r="R132" s="123" t="s">
        <v>337</v>
      </c>
      <c r="S132" s="123" t="s">
        <v>338</v>
      </c>
    </row>
    <row r="133" spans="3:23" ht="20.100000000000001" customHeight="1" x14ac:dyDescent="0.25">
      <c r="D133" s="15" cm="1">
        <f t="array" ref="D133">MMS_Dairy_Methane_Equations.VEERG_4_3_1_1__3_VolatileSolidsForWeanedDairyCattle(D114,D19,$I$128)</f>
        <v>5.0249959581891668</v>
      </c>
      <c r="E133" s="15" cm="1">
        <f t="array" ref="E133">MMS_Dairy_Methane_Equations.VEERG_4_3_1_1__3_VolatileSolidsForWeanedDairyCattle(E114,E19,$I$128)</f>
        <v>1.9793541258316791</v>
      </c>
      <c r="F133" s="15" cm="1">
        <f t="array" ref="F133">MMS_Dairy_Methane_Equations.VEERG_4_3_1_1__3_VolatileSolidsForWeanedDairyCattle(F114,F19,$I$128)</f>
        <v>1.07338268078883</v>
      </c>
      <c r="G133" s="15" cm="1">
        <f t="array" ref="G133">MMS_Dairy_Methane_Equations.VEERG_4_3_1_1__3_VolatileSolidsForWeanedDairyCattle(G114,G19,$I$128)</f>
        <v>2.4084090026999996</v>
      </c>
      <c r="H133" s="15" cm="1">
        <f t="array" ref="H133">MMS_Dairy_Methane_Equations.VEERG_4_3_1_1__3_VolatileSolidsForWeanedDairyCattle(H114,H19,$I$128)</f>
        <v>1.4445478504687506</v>
      </c>
      <c r="I133" s="16" t="str">
        <f>$E$124</f>
        <v>kg/head/day</v>
      </c>
      <c r="O133" s="15" cm="1">
        <f t="array" ref="O133">MMS_Dairy_Methane_Equations.VEERG_4_3_1_1__3_VolatileSolidsForWeanedDairyCattle(O114,O19,$I$128)</f>
        <v>5.0249959581891668</v>
      </c>
      <c r="P133" s="15" cm="1">
        <f t="array" ref="P133">MMS_Dairy_Methane_Equations.VEERG_4_3_1_1__3_VolatileSolidsForWeanedDairyCattle(P114,P19,$I$128)</f>
        <v>1.9793541258316791</v>
      </c>
      <c r="Q133" s="15" cm="1">
        <f t="array" ref="Q133">MMS_Dairy_Methane_Equations.VEERG_4_3_1_1__3_VolatileSolidsForWeanedDairyCattle(Q114,Q19,$I$128)</f>
        <v>1.07338268078883</v>
      </c>
      <c r="R133" s="15" cm="1">
        <f t="array" ref="R133">MMS_Dairy_Methane_Equations.VEERG_4_3_1_1__3_VolatileSolidsForWeanedDairyCattle(R114,R19,$I$128)</f>
        <v>2.4084090026999996</v>
      </c>
      <c r="S133" s="15" cm="1">
        <f t="array" ref="S133">MMS_Dairy_Methane_Equations.VEERG_4_3_1_1__3_VolatileSolidsForWeanedDairyCattle(S114,S19,$I$128)</f>
        <v>1.4445478504687506</v>
      </c>
      <c r="T133" s="16" t="str">
        <f>$E$124</f>
        <v>kg/head/day</v>
      </c>
    </row>
    <row r="134" spans="3:23" ht="20.100000000000001" customHeight="1" x14ac:dyDescent="0.25"/>
    <row r="135" spans="3:23" ht="20.100000000000001" customHeight="1" x14ac:dyDescent="0.25"/>
    <row r="136" spans="3:23" ht="20.100000000000001" customHeight="1" x14ac:dyDescent="0.25">
      <c r="C136" s="88"/>
      <c r="D136" s="88"/>
      <c r="E136" s="88"/>
      <c r="F136" s="88"/>
      <c r="G136" s="88"/>
      <c r="H136" s="88"/>
      <c r="I136" s="88"/>
      <c r="J136" s="88"/>
      <c r="K136" s="88"/>
      <c r="L136" s="88"/>
      <c r="N136" s="88"/>
      <c r="O136" s="88"/>
      <c r="P136" s="88"/>
      <c r="Q136" s="88"/>
      <c r="R136" s="88"/>
      <c r="S136" s="88"/>
      <c r="T136" s="88"/>
      <c r="U136" s="88"/>
      <c r="V136" s="88"/>
      <c r="W136" s="88"/>
    </row>
    <row r="137" spans="3:23" ht="20.100000000000001" customHeight="1" x14ac:dyDescent="0.25">
      <c r="D137" s="2" t="str" cm="1">
        <f t="array" ref="D137">MMS_Dairy_Methane_Equations.VEERG_4_3_1_1__4_FractionVolatileSolidsNotSolidStorage_Title()</f>
        <v>Fraction of volatile solids in each system other than solid storage</v>
      </c>
    </row>
    <row r="138" spans="3:23" ht="20.100000000000001" customHeight="1" x14ac:dyDescent="0.25">
      <c r="D138" s="17" t="str" cm="1">
        <f t="array" ref="D138">MMS_Dairy_Methane_Equations.VEERG_4_3_1_1__4_FractionVolatileSolidsNotSolidStorage_Source()</f>
        <v>VEERG 2026: 4.3.1.1, Equation (4)</v>
      </c>
      <c r="E138" s="117"/>
    </row>
    <row r="139" spans="3:23" ht="20.100000000000001" customHeight="1" x14ac:dyDescent="0.25">
      <c r="D139" s="117" t="s">
        <v>382</v>
      </c>
      <c r="E139" s="117" t="str" cm="1">
        <f t="array" aca="1" ref="E139" ca="1">Common_InputFunctions.Utility_DisplayFunctionName(F174)</f>
        <v>=MMS_Dairy_Methane_Equations.VEERG_4_3_1_1__4_FractionVolatileSolidsNotSolidStorage</v>
      </c>
    </row>
    <row r="140" spans="3:23" ht="20.100000000000001" customHeight="1" x14ac:dyDescent="0.25">
      <c r="D140" s="2"/>
    </row>
    <row r="141" spans="3:23" ht="20.100000000000001" customHeight="1" x14ac:dyDescent="0.25"/>
    <row r="142" spans="3:23" ht="20.100000000000001" customHeight="1" x14ac:dyDescent="0.25">
      <c r="D142" s="76" t="s">
        <v>383</v>
      </c>
      <c r="E142" s="1" t="str" cm="1">
        <f t="array" ref="E142">MMS_Dairy_Methane_Equations.VEERG_4_3_1_1__4_FractionVolatileSolidsNotSolidStorage_Variable()</f>
        <v>FVS_jm</v>
      </c>
    </row>
    <row r="143" spans="3:23" ht="20.100000000000001" customHeight="1" x14ac:dyDescent="0.25">
      <c r="D143" s="76" t="s">
        <v>118</v>
      </c>
      <c r="E143" s="9" t="str" cm="1">
        <f t="array" ref="E143">MMS_Dairy_Methane_Equations.VEERG_4_3_1_1__4_FractionVolatileSolidsNotSolidStorage_Unit()</f>
        <v>fraction</v>
      </c>
    </row>
    <row r="144" spans="3:23" ht="20.100000000000001" customHeight="1" x14ac:dyDescent="0.25"/>
    <row r="145" spans="4:22" ht="20.100000000000001" customHeight="1" x14ac:dyDescent="0.25">
      <c r="D145" s="119" t="str" cm="1">
        <f t="array" ref="D145:E146">_xlfn.CHOOSECOLS(MMS_Dairy_Methane_Equations.VEERG_4_3_1_1__4_FractionVolatileSolidsNotSolidStorage_Arguments(),1,2)</f>
        <v>MMS_jm</v>
      </c>
      <c r="E145" s="119" t="str">
        <v>fraction of manure to each primary MMS for each class prior to solid separation</v>
      </c>
      <c r="F145" s="119"/>
      <c r="G145" s="119" t="str" cm="1">
        <f t="array" ref="G145:H146">_xlfn.CHOOSECOLS(MMS_Dairy_Methane_Equations.VEERG_4_3_1_1__4_FractionVolatileSolidsNotSolidStorage_Arguments(),3,4)</f>
        <v>fraction</v>
      </c>
      <c r="H145" s="120" t="str">
        <v>Input</v>
      </c>
      <c r="I145" s="126" t="str" cm="1">
        <f t="array" aca="1" ref="I145" ca="1">HYPERLINK(Common_InputFunctions.Utility_SourceHyperlink($D$148),$D$148)</f>
        <v>M1_Table_MMS_j_m</v>
      </c>
    </row>
    <row r="146" spans="4:22" ht="20.100000000000001" customHeight="1" x14ac:dyDescent="0.25">
      <c r="D146" s="119" t="str">
        <v>SS_m</v>
      </c>
      <c r="E146" s="119" t="str">
        <v>fraction of volatile solids separated to solid storage for each MMS</v>
      </c>
      <c r="F146" s="119"/>
      <c r="G146" s="119" t="str">
        <v>fraction</v>
      </c>
      <c r="H146" s="120" t="str">
        <v>Input</v>
      </c>
      <c r="I146" s="126" t="str" cm="1">
        <f t="array" aca="1" ref="I146" ca="1">HYPERLINK(Common_InputFunctions.Utility_SourceHyperlink($D$159),$D$159)</f>
        <v>M1_Table_SS_m</v>
      </c>
    </row>
    <row r="147" spans="4:22" ht="20.100000000000001" customHeight="1" x14ac:dyDescent="0.25"/>
    <row r="148" spans="4:22" ht="20.100000000000001" customHeight="1" x14ac:dyDescent="0.25">
      <c r="D148" s="121" t="s">
        <v>423</v>
      </c>
      <c r="O148" s="121" t="s">
        <v>424</v>
      </c>
    </row>
    <row r="149" spans="4:22" ht="20.100000000000001" customHeight="1" x14ac:dyDescent="0.25">
      <c r="D149" s="122" t="s">
        <v>425</v>
      </c>
      <c r="O149" s="122" t="s">
        <v>426</v>
      </c>
    </row>
    <row r="150" spans="4:22" ht="20.100000000000001" customHeight="1" x14ac:dyDescent="0.25">
      <c r="D150" s="81" t="s">
        <v>159</v>
      </c>
      <c r="E150" s="81" t="s">
        <v>427</v>
      </c>
      <c r="F150" s="81" t="s">
        <v>334</v>
      </c>
      <c r="G150" s="81" t="s">
        <v>335</v>
      </c>
      <c r="H150" s="81" t="s">
        <v>336</v>
      </c>
      <c r="I150" s="81" t="s">
        <v>337</v>
      </c>
      <c r="J150" s="81" t="s">
        <v>338</v>
      </c>
      <c r="O150" s="81" t="s">
        <v>159</v>
      </c>
      <c r="P150" s="81" t="s">
        <v>427</v>
      </c>
      <c r="Q150" s="81" t="s">
        <v>334</v>
      </c>
      <c r="R150" s="81" t="s">
        <v>335</v>
      </c>
      <c r="S150" s="81" t="s">
        <v>336</v>
      </c>
      <c r="T150" s="81" t="s">
        <v>337</v>
      </c>
      <c r="U150" s="81" t="s">
        <v>338</v>
      </c>
    </row>
    <row r="151" spans="4:22" ht="20.100000000000001" customHeight="1" x14ac:dyDescent="0.25">
      <c r="D151" s="15" t="str">
        <f>INDEX(X_Table_Dairy_ProductionSystems_Method1,2,1)</f>
        <v>Pasture</v>
      </c>
      <c r="E151" s="15" t="str">
        <f>'Constants - Common Livestock'!$E$27</f>
        <v>Pasture range and paddock</v>
      </c>
      <c r="F151" s="15" cm="1">
        <f t="array" aca="1" ref="F151:J151" ca="1">OFFSET(X_Table_Dairy_ProductionSystems_Method1, 1,1,1,5)</f>
        <v>0.53400000000000003</v>
      </c>
      <c r="G151" s="15">
        <f ca="1"/>
        <v>0.53400000000000003</v>
      </c>
      <c r="H151" s="15">
        <f ca="1"/>
        <v>0.53400000000000003</v>
      </c>
      <c r="I151" s="15">
        <f ca="1"/>
        <v>0.53400000000000003</v>
      </c>
      <c r="J151" s="15">
        <f ca="1"/>
        <v>0.53400000000000003</v>
      </c>
      <c r="K151" s="16" t="str">
        <f>$G$145</f>
        <v>fraction</v>
      </c>
      <c r="O151" s="15" t="str">
        <f>INDEX(X_Table_Dairy_ProductionSystems_Method1,2,1)</f>
        <v>Pasture</v>
      </c>
      <c r="P151" s="15" t="str">
        <f>'Constants - Common Livestock'!$E$27</f>
        <v>Pasture range and paddock</v>
      </c>
      <c r="Q151" s="15" cm="1">
        <f t="array" aca="1" ref="Q151:U151" ca="1">OFFSET(X_Table_Dairy_ProductionSystems_Method2, 1,1,1,5)</f>
        <v>0.53400000000000003</v>
      </c>
      <c r="R151" s="15">
        <f ca="1"/>
        <v>0.53400000000000003</v>
      </c>
      <c r="S151" s="15">
        <f ca="1"/>
        <v>0.53400000000000003</v>
      </c>
      <c r="T151" s="15">
        <f ca="1"/>
        <v>0.53400000000000003</v>
      </c>
      <c r="U151" s="15">
        <f ca="1"/>
        <v>0.53400000000000003</v>
      </c>
    </row>
    <row r="152" spans="4:22" ht="20.100000000000001" customHeight="1" x14ac:dyDescent="0.25">
      <c r="D152" s="15" t="str">
        <f>INDEX(X_Table_Dairy_ProductionSystems_Method1,3,1)</f>
        <v>Milking shed</v>
      </c>
      <c r="E152" s="15" t="str">
        <f>INDEX(X_Table_Dairy_Stage1MMS_1_AnaerobicLagoon,2,1)</f>
        <v>Anaerobic lagoon</v>
      </c>
      <c r="F152" s="15" cm="1">
        <f t="array" aca="1" ref="F152:J152" ca="1">OFFSET(X_Table_Dairy_ProductionSystems_Method1, 2,1,1,5)*OFFSET(X_Table_Dairy_Stage1MMS_1_AnaerobicLagoon, 1,1,1,5)</f>
        <v>2.75E-2</v>
      </c>
      <c r="G152" s="15">
        <f ca="1"/>
        <v>2.75E-2</v>
      </c>
      <c r="H152" s="15">
        <f ca="1"/>
        <v>2.75E-2</v>
      </c>
      <c r="I152" s="15">
        <f ca="1"/>
        <v>2.75E-2</v>
      </c>
      <c r="J152" s="15">
        <f ca="1"/>
        <v>2.75E-2</v>
      </c>
      <c r="K152" s="16"/>
      <c r="O152" s="15" t="str">
        <f>INDEX(X_Table_Dairy_ProductionSystems_Method1,3,1)</f>
        <v>Milking shed</v>
      </c>
      <c r="P152" s="15" t="str">
        <f>INDEX(X_Table_Dairy_Stage1MMS_1_AnaerobicLagoon,2,1)</f>
        <v>Anaerobic lagoon</v>
      </c>
      <c r="Q152" s="15" cm="1">
        <f t="array" aca="1" ref="Q152:U152" ca="1">OFFSET(X_Table_Dairy_ProductionSystems_Method2, 2,1,1,5)*OFFSET(X_Table_Dairy_Stage1MMS_1_AnaerobicLagoon, 1,1,1,5)</f>
        <v>2.75E-2</v>
      </c>
      <c r="R152" s="15">
        <f ca="1"/>
        <v>2.75E-2</v>
      </c>
      <c r="S152" s="15">
        <f ca="1"/>
        <v>2.75E-2</v>
      </c>
      <c r="T152" s="15">
        <f ca="1"/>
        <v>2.75E-2</v>
      </c>
      <c r="U152" s="15">
        <f ca="1"/>
        <v>2.75E-2</v>
      </c>
      <c r="V152" s="16" t="str">
        <f>$G$145</f>
        <v>fraction</v>
      </c>
    </row>
    <row r="153" spans="4:22" ht="20.100000000000001" customHeight="1" x14ac:dyDescent="0.25">
      <c r="D153" s="15" t="str">
        <f>INDEX(X_Table_Dairy_ProductionSystems_Method1,3,1)</f>
        <v>Milking shed</v>
      </c>
      <c r="E153" s="15" t="str">
        <f>INDEX(X_Table_Dairy_Stage1MMS_1_SumpAndDispersal,2,1)</f>
        <v>Sump and dispersal system</v>
      </c>
      <c r="F153" s="15" cm="1">
        <f t="array" aca="1" ref="F153:J153" ca="1">OFFSET(X_Table_Dairy_ProductionSystems_Method1, 2,1,1,5)*OFFSET(X_Table_Dairy_Stage1MMS_1_SumpAndDispersal, 1,1,1,5)</f>
        <v>2.75E-2</v>
      </c>
      <c r="G153" s="15">
        <f ca="1"/>
        <v>2.75E-2</v>
      </c>
      <c r="H153" s="15">
        <f ca="1"/>
        <v>2.75E-2</v>
      </c>
      <c r="I153" s="15">
        <f ca="1"/>
        <v>2.75E-2</v>
      </c>
      <c r="J153" s="15">
        <f ca="1"/>
        <v>2.75E-2</v>
      </c>
      <c r="K153" s="16"/>
      <c r="O153" s="15" t="str">
        <f>INDEX(X_Table_Dairy_ProductionSystems_Method1,3,1)</f>
        <v>Milking shed</v>
      </c>
      <c r="P153" s="15" t="str">
        <f>INDEX(X_Table_Dairy_Stage1MMS_1_SumpAndDispersal,2,1)</f>
        <v>Sump and dispersal system</v>
      </c>
      <c r="Q153" s="15" cm="1">
        <f t="array" aca="1" ref="Q153:U153" ca="1">OFFSET(X_Table_Dairy_ProductionSystems_Method2, 2,1,1,5)*OFFSET(X_Table_Dairy_Stage1MMS_1_SumpAndDispersal, 1,1,1,5)</f>
        <v>2.75E-2</v>
      </c>
      <c r="R153" s="15">
        <f ca="1"/>
        <v>2.75E-2</v>
      </c>
      <c r="S153" s="15">
        <f ca="1"/>
        <v>2.75E-2</v>
      </c>
      <c r="T153" s="15">
        <f ca="1"/>
        <v>2.75E-2</v>
      </c>
      <c r="U153" s="15">
        <f ca="1"/>
        <v>2.75E-2</v>
      </c>
      <c r="V153" s="16"/>
    </row>
    <row r="154" spans="4:22" ht="20.100000000000001" customHeight="1" x14ac:dyDescent="0.25">
      <c r="D154" s="15" t="str">
        <f>INDEX(X_Table_Dairy_ProductionSystems_Method1,3,1)</f>
        <v>Milking shed</v>
      </c>
      <c r="E154" s="15" t="str">
        <f>INDEX(X_Table_Dairy_Stage1MMS_1_DrainsToPaddock,2,1)</f>
        <v>Drains to paddock</v>
      </c>
      <c r="F154" s="15" cm="1">
        <f t="array" aca="1" ref="F154:J154" ca="1">OFFSET(X_Table_Dairy_ProductionSystems_Method1, 2,1,1,5)*OFFSET(X_Table_Dairy_Stage1MMS_1_DrainsToPaddock, 1,1,1,5)</f>
        <v>2.75E-2</v>
      </c>
      <c r="G154" s="15">
        <f ca="1"/>
        <v>2.75E-2</v>
      </c>
      <c r="H154" s="15">
        <f ca="1"/>
        <v>2.75E-2</v>
      </c>
      <c r="I154" s="15">
        <f ca="1"/>
        <v>2.75E-2</v>
      </c>
      <c r="J154" s="15">
        <f ca="1"/>
        <v>2.75E-2</v>
      </c>
      <c r="K154" s="16"/>
      <c r="O154" s="15" t="str">
        <f>INDEX(X_Table_Dairy_ProductionSystems_Method1,3,1)</f>
        <v>Milking shed</v>
      </c>
      <c r="P154" s="15" t="str">
        <f>INDEX(X_Table_Dairy_Stage1MMS_1_DrainsToPaddock,2,1)</f>
        <v>Drains to paddock</v>
      </c>
      <c r="Q154" s="15" cm="1">
        <f t="array" aca="1" ref="Q154:U154" ca="1">OFFSET(X_Table_Dairy_ProductionSystems_Method2, 2,1,1,5)*OFFSET(X_Table_Dairy_Stage1MMS_1_DrainsToPaddock, 1,1,1,5)</f>
        <v>2.75E-2</v>
      </c>
      <c r="R154" s="15">
        <f ca="1"/>
        <v>2.75E-2</v>
      </c>
      <c r="S154" s="15">
        <f ca="1"/>
        <v>2.75E-2</v>
      </c>
      <c r="T154" s="15">
        <f ca="1"/>
        <v>2.75E-2</v>
      </c>
      <c r="U154" s="15">
        <f ca="1"/>
        <v>2.75E-2</v>
      </c>
      <c r="V154" s="16"/>
    </row>
    <row r="155" spans="4:22" ht="20.100000000000001" customHeight="1" x14ac:dyDescent="0.25">
      <c r="D155" s="15" t="str">
        <f>INDEX(X_Table_Dairy_ProductionSystems_Method1,4,1)</f>
        <v>Feed pad</v>
      </c>
      <c r="E155" s="15" t="str">
        <f>INDEX(X_Table_Dairy_Stage1MMS_2_AnaerobicLagoon,2,1)</f>
        <v>Anaerobic lagoon</v>
      </c>
      <c r="F155" s="15" cm="1">
        <f t="array" aca="1" ref="F155:J155" ca="1">OFFSET(X_Table_Dairy_ProductionSystems_Method1, 3,1,1,5)*OFFSET(X_Table_Dairy_Stage1MMS_1_AnaerobicLagoon, 1,1,1,5)</f>
        <v>8.8999999999999996E-2</v>
      </c>
      <c r="G155" s="15">
        <f ca="1"/>
        <v>8.8999999999999996E-2</v>
      </c>
      <c r="H155" s="15">
        <f ca="1"/>
        <v>8.8999999999999996E-2</v>
      </c>
      <c r="I155" s="15">
        <f ca="1"/>
        <v>8.8999999999999996E-2</v>
      </c>
      <c r="J155" s="15">
        <f ca="1"/>
        <v>8.8999999999999996E-2</v>
      </c>
      <c r="K155" s="16"/>
      <c r="O155" s="15" t="str">
        <f>INDEX(X_Table_Dairy_ProductionSystems_Method1,4,1)</f>
        <v>Feed pad</v>
      </c>
      <c r="P155" s="15" t="str">
        <f>INDEX(X_Table_Dairy_Stage1MMS_2_AnaerobicLagoon,2,1)</f>
        <v>Anaerobic lagoon</v>
      </c>
      <c r="Q155" s="15" cm="1">
        <f t="array" aca="1" ref="Q155:U155" ca="1">OFFSET(X_Table_Dairy_ProductionSystems_Method2, 3,1,1,5)*OFFSET(X_Table_Dairy_Stage1MMS_1_AnaerobicLagoon, 1,1,1,5)</f>
        <v>8.8999999999999996E-2</v>
      </c>
      <c r="R155" s="15">
        <f ca="1"/>
        <v>8.8999999999999996E-2</v>
      </c>
      <c r="S155" s="15">
        <f ca="1"/>
        <v>8.8999999999999996E-2</v>
      </c>
      <c r="T155" s="15">
        <f ca="1"/>
        <v>8.8999999999999996E-2</v>
      </c>
      <c r="U155" s="15">
        <f ca="1"/>
        <v>8.8999999999999996E-2</v>
      </c>
      <c r="V155" s="16"/>
    </row>
    <row r="156" spans="4:22" ht="20.100000000000001" customHeight="1" x14ac:dyDescent="0.25">
      <c r="D156" s="15" t="str">
        <f>INDEX(X_Table_Dairy_ProductionSystems_Method1,4,1)</f>
        <v>Feed pad</v>
      </c>
      <c r="E156" s="15" t="str">
        <f>INDEX(X_Table_Dairy_Stage1MMS_2_SumpAndDispersal,2,1)</f>
        <v>Sump and dispersal system</v>
      </c>
      <c r="F156" s="15" cm="1">
        <f t="array" aca="1" ref="F156:J156" ca="1">OFFSET(X_Table_Dairy_ProductionSystems_Method1, 3,1,1,5)*OFFSET(X_Table_Dairy_Stage1MMS_1_SumpAndDispersal, 1,1,1,5)</f>
        <v>8.8999999999999996E-2</v>
      </c>
      <c r="G156" s="15">
        <f ca="1"/>
        <v>8.8999999999999996E-2</v>
      </c>
      <c r="H156" s="15">
        <f ca="1"/>
        <v>8.8999999999999996E-2</v>
      </c>
      <c r="I156" s="15">
        <f ca="1"/>
        <v>8.8999999999999996E-2</v>
      </c>
      <c r="J156" s="15">
        <f ca="1"/>
        <v>8.8999999999999996E-2</v>
      </c>
      <c r="K156" s="16"/>
      <c r="O156" s="15" t="str">
        <f>INDEX(X_Table_Dairy_ProductionSystems_Method1,4,1)</f>
        <v>Feed pad</v>
      </c>
      <c r="P156" s="15" t="str">
        <f>INDEX(X_Table_Dairy_Stage1MMS_2_SumpAndDispersal,2,1)</f>
        <v>Sump and dispersal system</v>
      </c>
      <c r="Q156" s="15" cm="1">
        <f t="array" aca="1" ref="Q156:U156" ca="1">OFFSET(X_Table_Dairy_ProductionSystems_Method2, 3,1,1,5)*OFFSET(X_Table_Dairy_Stage1MMS_1_SumpAndDispersal, 1,1,1,5)</f>
        <v>8.8999999999999996E-2</v>
      </c>
      <c r="R156" s="15">
        <f ca="1"/>
        <v>8.8999999999999996E-2</v>
      </c>
      <c r="S156" s="15">
        <f ca="1"/>
        <v>8.8999999999999996E-2</v>
      </c>
      <c r="T156" s="15">
        <f ca="1"/>
        <v>8.8999999999999996E-2</v>
      </c>
      <c r="U156" s="15">
        <f ca="1"/>
        <v>8.8999999999999996E-2</v>
      </c>
      <c r="V156" s="16"/>
    </row>
    <row r="157" spans="4:22" ht="20.100000000000001" customHeight="1" x14ac:dyDescent="0.25">
      <c r="D157" s="15" t="str">
        <f>INDEX(X_Table_Dairy_ProductionSystems_Method1,4,1)</f>
        <v>Feed pad</v>
      </c>
      <c r="E157" s="15" t="str">
        <f>INDEX(X_Table_Dairy_Stage1MMS_2_DrainsToPaddock,2,1)</f>
        <v>Drains to paddock</v>
      </c>
      <c r="F157" s="15" cm="1">
        <f t="array" aca="1" ref="F157:J157" ca="1">OFFSET(X_Table_Dairy_ProductionSystems_Method1, 3,1,1,5)*OFFSET(X_Table_Dairy_Stage1MMS_1_DrainsToPaddock, 1,1,1,5)</f>
        <v>8.8999999999999996E-2</v>
      </c>
      <c r="G157" s="15">
        <f ca="1"/>
        <v>8.8999999999999996E-2</v>
      </c>
      <c r="H157" s="15">
        <f ca="1"/>
        <v>8.8999999999999996E-2</v>
      </c>
      <c r="I157" s="15">
        <f ca="1"/>
        <v>8.8999999999999996E-2</v>
      </c>
      <c r="J157" s="15">
        <f ca="1"/>
        <v>8.8999999999999996E-2</v>
      </c>
      <c r="K157" s="16"/>
      <c r="O157" s="15" t="str">
        <f>INDEX(X_Table_Dairy_ProductionSystems_Method1,4,1)</f>
        <v>Feed pad</v>
      </c>
      <c r="P157" s="15" t="str">
        <f>INDEX(X_Table_Dairy_Stage1MMS_2_DrainsToPaddock,2,1)</f>
        <v>Drains to paddock</v>
      </c>
      <c r="Q157" s="15" cm="1">
        <f t="array" aca="1" ref="Q157:U157" ca="1">OFFSET(X_Table_Dairy_ProductionSystems_Method2, 3,1,1,5)*OFFSET(X_Table_Dairy_Stage1MMS_1_DrainsToPaddock, 1,1,1,5)</f>
        <v>8.8999999999999996E-2</v>
      </c>
      <c r="R157" s="15">
        <f ca="1"/>
        <v>8.8999999999999996E-2</v>
      </c>
      <c r="S157" s="15">
        <f ca="1"/>
        <v>8.8999999999999996E-2</v>
      </c>
      <c r="T157" s="15">
        <f ca="1"/>
        <v>8.8999999999999996E-2</v>
      </c>
      <c r="U157" s="15">
        <f ca="1"/>
        <v>8.8999999999999996E-2</v>
      </c>
      <c r="V157" s="16"/>
    </row>
    <row r="158" spans="4:22" ht="20.100000000000001" customHeight="1" x14ac:dyDescent="0.25"/>
    <row r="159" spans="4:22" ht="20.100000000000001" customHeight="1" x14ac:dyDescent="0.25">
      <c r="D159" s="121" t="s">
        <v>428</v>
      </c>
      <c r="O159" s="121" t="s">
        <v>429</v>
      </c>
    </row>
    <row r="160" spans="4:22" ht="20.100000000000001" customHeight="1" x14ac:dyDescent="0.25">
      <c r="D160" s="122" t="s">
        <v>430</v>
      </c>
      <c r="O160" s="122" t="s">
        <v>431</v>
      </c>
    </row>
    <row r="161" spans="4:22" ht="20.100000000000001" customHeight="1" x14ac:dyDescent="0.25">
      <c r="D161" s="81" t="s">
        <v>159</v>
      </c>
      <c r="E161" s="81" t="s">
        <v>427</v>
      </c>
      <c r="F161" s="81" t="s">
        <v>432</v>
      </c>
      <c r="O161" s="81" t="s">
        <v>159</v>
      </c>
      <c r="P161" s="81" t="s">
        <v>427</v>
      </c>
      <c r="Q161" s="81" t="s">
        <v>432</v>
      </c>
    </row>
    <row r="162" spans="4:22" ht="20.100000000000001" customHeight="1" x14ac:dyDescent="0.25">
      <c r="D162" s="15" t="str">
        <f>INDEX(X_Table_Dairy_ProductionSystems_Method1,2,1)</f>
        <v>Pasture</v>
      </c>
      <c r="E162" s="15" t="str">
        <f>'Constants - Common Livestock'!$E$27</f>
        <v>Pasture range and paddock</v>
      </c>
      <c r="F162" s="15">
        <v>0</v>
      </c>
      <c r="G162" s="16" t="str">
        <f>$G$146</f>
        <v>fraction</v>
      </c>
      <c r="O162" s="15" t="str">
        <f>INDEX(X_Table_Dairy_ProductionSystems_Method1,2,1)</f>
        <v>Pasture</v>
      </c>
      <c r="P162" s="15" t="str">
        <f>'Constants - Common Livestock'!$E$27</f>
        <v>Pasture range and paddock</v>
      </c>
      <c r="Q162" s="15">
        <v>0</v>
      </c>
      <c r="R162" s="16" t="str">
        <f>$G$146</f>
        <v>fraction</v>
      </c>
    </row>
    <row r="163" spans="4:22" ht="20.100000000000001" customHeight="1" x14ac:dyDescent="0.25">
      <c r="D163" s="15" t="str">
        <f>INDEX(X_Table_Dairy_ProductionSystems_Method1,3,1)</f>
        <v>Milking shed</v>
      </c>
      <c r="E163" s="15" t="str">
        <f>INDEX(X_Table_Dairy_Stage1MMS_1_AnaerobicLagoon,2,1)</f>
        <v>Anaerobic lagoon</v>
      </c>
      <c r="F163" s="15">
        <f>X_Cell_Dairy_Stage1MMS_1_AnaerobicLagoon_AmountSeparated_Method1</f>
        <v>0.2</v>
      </c>
      <c r="O163" s="15" t="str">
        <f>INDEX(X_Table_Dairy_ProductionSystems_Method1,3,1)</f>
        <v>Milking shed</v>
      </c>
      <c r="P163" s="15" t="str">
        <f>INDEX(X_Table_Dairy_Stage1MMS_1_AnaerobicLagoon,2,1)</f>
        <v>Anaerobic lagoon</v>
      </c>
      <c r="Q163" s="15">
        <f>X_Cell_Dairy_Stage1MMS_1_AnaerobicLagoon_AmountSeparated_Method2</f>
        <v>0.2</v>
      </c>
      <c r="R163" s="16"/>
    </row>
    <row r="164" spans="4:22" ht="20.100000000000001" customHeight="1" x14ac:dyDescent="0.25">
      <c r="D164" s="15" t="str">
        <f>INDEX(X_Table_Dairy_ProductionSystems_Method1,3,1)</f>
        <v>Milking shed</v>
      </c>
      <c r="E164" s="15" t="str">
        <f>INDEX(X_Table_Dairy_Stage1MMS_1_SumpAndDispersal,2,1)</f>
        <v>Sump and dispersal system</v>
      </c>
      <c r="F164" s="15">
        <f>X_Cell_Dairy_Stage1MMS_1_SumpAndDispersal_AmountSeparated_Method1</f>
        <v>0.2</v>
      </c>
      <c r="G164" s="16"/>
      <c r="O164" s="15" t="str">
        <f>INDEX(X_Table_Dairy_ProductionSystems_Method1,3,1)</f>
        <v>Milking shed</v>
      </c>
      <c r="P164" s="15" t="str">
        <f>INDEX(X_Table_Dairy_Stage1MMS_1_SumpAndDispersal,2,1)</f>
        <v>Sump and dispersal system</v>
      </c>
      <c r="Q164" s="15">
        <f>X_Cell_Dairy_Stage1MMS_1_SumpAndDispersal_AmountSeparated_Method2</f>
        <v>0.2</v>
      </c>
      <c r="R164" s="16"/>
    </row>
    <row r="165" spans="4:22" ht="20.100000000000001" customHeight="1" x14ac:dyDescent="0.25">
      <c r="D165" s="15" t="str">
        <f>INDEX(X_Table_Dairy_ProductionSystems_Method1,3,1)</f>
        <v>Milking shed</v>
      </c>
      <c r="E165" s="15" t="str">
        <f>INDEX(X_Table_Dairy_Stage1MMS_1_DrainsToPaddock,2,1)</f>
        <v>Drains to paddock</v>
      </c>
      <c r="F165" s="15">
        <f>X_Cell_Dairy_Stage1MMS_1_DrainsToPaddock_AmountSeparated_Method1</f>
        <v>0.2</v>
      </c>
      <c r="G165" s="16"/>
      <c r="O165" s="15" t="str">
        <f>INDEX(X_Table_Dairy_ProductionSystems_Method1,3,1)</f>
        <v>Milking shed</v>
      </c>
      <c r="P165" s="15" t="str">
        <f>INDEX(X_Table_Dairy_Stage1MMS_1_DrainsToPaddock,2,1)</f>
        <v>Drains to paddock</v>
      </c>
      <c r="Q165" s="15">
        <f>X_Cell_Dairy_Stage1MMS_1_DrainsToPaddock_AmountSeparated_Method2</f>
        <v>0.2</v>
      </c>
      <c r="R165" s="16"/>
    </row>
    <row r="166" spans="4:22" ht="20.100000000000001" customHeight="1" x14ac:dyDescent="0.25">
      <c r="D166" s="15" t="str">
        <f>INDEX(X_Table_Dairy_ProductionSystems_Method1,4,1)</f>
        <v>Feed pad</v>
      </c>
      <c r="E166" s="15" t="str">
        <f>INDEX(X_Table_Dairy_Stage1MMS_2_AnaerobicLagoon,2,1)</f>
        <v>Anaerobic lagoon</v>
      </c>
      <c r="F166" s="15">
        <f>X_Cell_Dairy_Stage1MMS_2_AnaerobicLagoon_AmountSeparated_Method1</f>
        <v>0</v>
      </c>
      <c r="G166" s="16"/>
      <c r="O166" s="15" t="str">
        <f>INDEX(X_Table_Dairy_ProductionSystems_Method1,4,1)</f>
        <v>Feed pad</v>
      </c>
      <c r="P166" s="15" t="str">
        <f>INDEX(X_Table_Dairy_Stage1MMS_2_AnaerobicLagoon,2,1)</f>
        <v>Anaerobic lagoon</v>
      </c>
      <c r="Q166" s="15">
        <f>X_Cell_Dairy_Stage1MMS_2_AnaerobicLagoon_AmountSeparated_Method2</f>
        <v>0</v>
      </c>
      <c r="R166" s="16"/>
    </row>
    <row r="167" spans="4:22" ht="20.100000000000001" customHeight="1" x14ac:dyDescent="0.25">
      <c r="D167" s="15" t="str">
        <f>INDEX(X_Table_Dairy_ProductionSystems_Method1,4,1)</f>
        <v>Feed pad</v>
      </c>
      <c r="E167" s="15" t="str">
        <f>INDEX(X_Table_Dairy_Stage1MMS_2_SumpAndDispersal,2,1)</f>
        <v>Sump and dispersal system</v>
      </c>
      <c r="F167" s="15">
        <f>X_Cell_Dairy_Stage1MMS_2_SumpAndDispersal_AmountSeparated_Method1</f>
        <v>0.2</v>
      </c>
      <c r="G167" s="16"/>
      <c r="O167" s="15" t="str">
        <f>INDEX(X_Table_Dairy_ProductionSystems_Method1,4,1)</f>
        <v>Feed pad</v>
      </c>
      <c r="P167" s="15" t="str">
        <f>INDEX(X_Table_Dairy_Stage1MMS_2_SumpAndDispersal,2,1)</f>
        <v>Sump and dispersal system</v>
      </c>
      <c r="Q167" s="15">
        <f>X_Cell_Dairy_Stage1MMS_2_SumpAndDispersal_AmountSeparated_Method2</f>
        <v>0.2</v>
      </c>
      <c r="R167" s="16"/>
    </row>
    <row r="168" spans="4:22" ht="20.100000000000001" customHeight="1" x14ac:dyDescent="0.25">
      <c r="D168" s="15" t="str">
        <f>INDEX(X_Table_Dairy_ProductionSystems_Method1,4,1)</f>
        <v>Feed pad</v>
      </c>
      <c r="E168" s="15" t="str">
        <f>INDEX(X_Table_Dairy_Stage1MMS_2_DrainsToPaddock,2,1)</f>
        <v>Drains to paddock</v>
      </c>
      <c r="F168" s="15">
        <f>X_Cell_Dairy_Stage1MMS_2_DrainsToPaddock_AmountSeparated_Method1</f>
        <v>0.2</v>
      </c>
      <c r="G168" s="16"/>
      <c r="O168" s="15" t="str">
        <f>INDEX(X_Table_Dairy_ProductionSystems_Method1,4,1)</f>
        <v>Feed pad</v>
      </c>
      <c r="P168" s="15" t="str">
        <f>INDEX(X_Table_Dairy_Stage1MMS_2_DrainsToPaddock,2,1)</f>
        <v>Drains to paddock</v>
      </c>
      <c r="Q168" s="15">
        <f>X_Cell_Dairy_Stage1MMS_2_DrainsToPaddock_AmountSeparated_Method2</f>
        <v>0.2</v>
      </c>
      <c r="R168" s="16"/>
    </row>
    <row r="169" spans="4:22" ht="20.100000000000001" customHeight="1" x14ac:dyDescent="0.25"/>
    <row r="170" spans="4:22" ht="20.100000000000001" customHeight="1" x14ac:dyDescent="0.25">
      <c r="D170" s="121" t="s">
        <v>433</v>
      </c>
      <c r="O170" s="121" t="s">
        <v>433</v>
      </c>
    </row>
    <row r="171" spans="4:22" ht="20.100000000000001" customHeight="1" x14ac:dyDescent="0.25">
      <c r="D171" s="122" t="s">
        <v>434</v>
      </c>
      <c r="O171" s="122" t="s">
        <v>435</v>
      </c>
    </row>
    <row r="172" spans="4:22" ht="20.100000000000001" customHeight="1" x14ac:dyDescent="0.25">
      <c r="D172" s="123" t="s">
        <v>159</v>
      </c>
      <c r="E172" s="123" t="s">
        <v>427</v>
      </c>
      <c r="F172" s="123" t="s">
        <v>334</v>
      </c>
      <c r="G172" s="123" t="s">
        <v>335</v>
      </c>
      <c r="H172" s="123" t="s">
        <v>336</v>
      </c>
      <c r="I172" s="123" t="s">
        <v>337</v>
      </c>
      <c r="J172" s="123" t="s">
        <v>338</v>
      </c>
      <c r="O172" s="123" t="s">
        <v>159</v>
      </c>
      <c r="P172" s="123" t="s">
        <v>427</v>
      </c>
      <c r="Q172" s="123" t="s">
        <v>334</v>
      </c>
      <c r="R172" s="123" t="s">
        <v>335</v>
      </c>
      <c r="S172" s="123" t="s">
        <v>336</v>
      </c>
      <c r="T172" s="123" t="s">
        <v>337</v>
      </c>
      <c r="U172" s="123" t="s">
        <v>338</v>
      </c>
    </row>
    <row r="173" spans="4:22" ht="20.100000000000001" customHeight="1" x14ac:dyDescent="0.25">
      <c r="D173" s="15" t="str">
        <f>INDEX(X_Table_Dairy_ProductionSystems_Method1,2,1)</f>
        <v>Pasture</v>
      </c>
      <c r="E173" s="15" t="str">
        <f>'Constants - Common Livestock'!$E$27</f>
        <v>Pasture range and paddock</v>
      </c>
      <c r="F173" s="15" cm="1">
        <f t="array" aca="1" ref="F173" ca="1">MMS_Dairy_Methane_Equations.VEERG_4_3_1_1__4_FractionVolatileSolidsNotSolidStorage(F151,$F162)</f>
        <v>0.53400000000000003</v>
      </c>
      <c r="G173" s="15" cm="1">
        <f t="array" aca="1" ref="G173" ca="1">MMS_Dairy_Methane_Equations.VEERG_4_3_1_1__4_FractionVolatileSolidsNotSolidStorage(G151,$F162)</f>
        <v>0.53400000000000003</v>
      </c>
      <c r="H173" s="15" cm="1">
        <f t="array" aca="1" ref="H173" ca="1">MMS_Dairy_Methane_Equations.VEERG_4_3_1_1__4_FractionVolatileSolidsNotSolidStorage(H151,$F162)</f>
        <v>0.53400000000000003</v>
      </c>
      <c r="I173" s="15" cm="1">
        <f t="array" aca="1" ref="I173" ca="1">MMS_Dairy_Methane_Equations.VEERG_4_3_1_1__4_FractionVolatileSolidsNotSolidStorage(I151,$F162)</f>
        <v>0.53400000000000003</v>
      </c>
      <c r="J173" s="15" cm="1">
        <f t="array" aca="1" ref="J173" ca="1">MMS_Dairy_Methane_Equations.VEERG_4_3_1_1__4_FractionVolatileSolidsNotSolidStorage(J151,$F162)</f>
        <v>0.53400000000000003</v>
      </c>
      <c r="K173" s="16" t="str">
        <f>$E$143</f>
        <v>fraction</v>
      </c>
      <c r="O173" s="15" t="str">
        <f>INDEX(X_Table_Dairy_ProductionSystems_Method1,2,1)</f>
        <v>Pasture</v>
      </c>
      <c r="P173" s="15" t="str">
        <f>'Constants - Common Livestock'!$E$27</f>
        <v>Pasture range and paddock</v>
      </c>
      <c r="Q173" s="15" cm="1">
        <f t="array" aca="1" ref="Q173" ca="1">MMS_Dairy_Methane_Equations.VEERG_4_3_1_1__4_FractionVolatileSolidsNotSolidStorage(Q151,$Q162)</f>
        <v>0.53400000000000003</v>
      </c>
      <c r="R173" s="15" cm="1">
        <f t="array" aca="1" ref="R173" ca="1">MMS_Dairy_Methane_Equations.VEERG_4_3_1_1__4_FractionVolatileSolidsNotSolidStorage(R151,$Q162)</f>
        <v>0.53400000000000003</v>
      </c>
      <c r="S173" s="15" cm="1">
        <f t="array" aca="1" ref="S173" ca="1">MMS_Dairy_Methane_Equations.VEERG_4_3_1_1__4_FractionVolatileSolidsNotSolidStorage(S151,$Q162)</f>
        <v>0.53400000000000003</v>
      </c>
      <c r="T173" s="15" cm="1">
        <f t="array" aca="1" ref="T173" ca="1">MMS_Dairy_Methane_Equations.VEERG_4_3_1_1__4_FractionVolatileSolidsNotSolidStorage(T151,$Q162)</f>
        <v>0.53400000000000003</v>
      </c>
      <c r="U173" s="15" cm="1">
        <f t="array" aca="1" ref="U173" ca="1">MMS_Dairy_Methane_Equations.VEERG_4_3_1_1__4_FractionVolatileSolidsNotSolidStorage(U151,$Q162)</f>
        <v>0.53400000000000003</v>
      </c>
      <c r="V173" s="16" t="str">
        <f>$E$143</f>
        <v>fraction</v>
      </c>
    </row>
    <row r="174" spans="4:22" ht="20.100000000000001" customHeight="1" x14ac:dyDescent="0.25">
      <c r="D174" s="15" t="str">
        <f>INDEX(X_Table_Dairy_ProductionSystems_Method1,3,1)</f>
        <v>Milking shed</v>
      </c>
      <c r="E174" s="15" t="str">
        <f>INDEX(X_Table_Dairy_Stage1MMS_1_AnaerobicLagoon,2,1)</f>
        <v>Anaerobic lagoon</v>
      </c>
      <c r="F174" s="15" cm="1">
        <f t="array" aca="1" ref="F174" ca="1">MMS_Dairy_Methane_Equations.VEERG_4_3_1_1__4_FractionVolatileSolidsNotSolidStorage(F152,$F163)</f>
        <v>2.2000000000000002E-2</v>
      </c>
      <c r="G174" s="15" cm="1">
        <f t="array" aca="1" ref="G174" ca="1">MMS_Dairy_Methane_Equations.VEERG_4_3_1_1__4_FractionVolatileSolidsNotSolidStorage(G152,$F163)</f>
        <v>2.2000000000000002E-2</v>
      </c>
      <c r="H174" s="15" cm="1">
        <f t="array" aca="1" ref="H174" ca="1">MMS_Dairy_Methane_Equations.VEERG_4_3_1_1__4_FractionVolatileSolidsNotSolidStorage(H152,$F163)</f>
        <v>2.2000000000000002E-2</v>
      </c>
      <c r="I174" s="15" cm="1">
        <f t="array" aca="1" ref="I174" ca="1">MMS_Dairy_Methane_Equations.VEERG_4_3_1_1__4_FractionVolatileSolidsNotSolidStorage(I152,$F163)</f>
        <v>2.2000000000000002E-2</v>
      </c>
      <c r="J174" s="15" cm="1">
        <f t="array" aca="1" ref="J174" ca="1">MMS_Dairy_Methane_Equations.VEERG_4_3_1_1__4_FractionVolatileSolidsNotSolidStorage(J152,$F163)</f>
        <v>2.2000000000000002E-2</v>
      </c>
      <c r="O174" s="15" t="str">
        <f>INDEX(X_Table_Dairy_ProductionSystems_Method1,3,1)</f>
        <v>Milking shed</v>
      </c>
      <c r="P174" s="15" t="str">
        <f>INDEX(X_Table_Dairy_Stage1MMS_1_AnaerobicLagoon,2,1)</f>
        <v>Anaerobic lagoon</v>
      </c>
      <c r="Q174" s="15" cm="1">
        <f t="array" aca="1" ref="Q174" ca="1">MMS_Dairy_Methane_Equations.VEERG_4_3_1_1__4_FractionVolatileSolidsNotSolidStorage(Q152,$Q163)</f>
        <v>2.2000000000000002E-2</v>
      </c>
      <c r="R174" s="15" cm="1">
        <f t="array" aca="1" ref="R174" ca="1">MMS_Dairy_Methane_Equations.VEERG_4_3_1_1__4_FractionVolatileSolidsNotSolidStorage(R152,$Q163)</f>
        <v>2.2000000000000002E-2</v>
      </c>
      <c r="S174" s="15" cm="1">
        <f t="array" aca="1" ref="S174" ca="1">MMS_Dairy_Methane_Equations.VEERG_4_3_1_1__4_FractionVolatileSolidsNotSolidStorage(S152,$Q163)</f>
        <v>2.2000000000000002E-2</v>
      </c>
      <c r="T174" s="15" cm="1">
        <f t="array" aca="1" ref="T174" ca="1">MMS_Dairy_Methane_Equations.VEERG_4_3_1_1__4_FractionVolatileSolidsNotSolidStorage(T152,$Q163)</f>
        <v>2.2000000000000002E-2</v>
      </c>
      <c r="U174" s="15" cm="1">
        <f t="array" aca="1" ref="U174" ca="1">MMS_Dairy_Methane_Equations.VEERG_4_3_1_1__4_FractionVolatileSolidsNotSolidStorage(U152,$Q163)</f>
        <v>2.2000000000000002E-2</v>
      </c>
    </row>
    <row r="175" spans="4:22" ht="20.100000000000001" customHeight="1" x14ac:dyDescent="0.25">
      <c r="D175" s="15" t="str">
        <f>INDEX(X_Table_Dairy_ProductionSystems_Method1,3,1)</f>
        <v>Milking shed</v>
      </c>
      <c r="E175" s="15" t="str">
        <f>INDEX(X_Table_Dairy_Stage1MMS_1_SumpAndDispersal,2,1)</f>
        <v>Sump and dispersal system</v>
      </c>
      <c r="F175" s="15" cm="1">
        <f t="array" aca="1" ref="F175" ca="1">MMS_Dairy_Methane_Equations.VEERG_4_3_1_1__4_FractionVolatileSolidsNotSolidStorage(F153,$F164)</f>
        <v>2.2000000000000002E-2</v>
      </c>
      <c r="G175" s="15" cm="1">
        <f t="array" aca="1" ref="G175" ca="1">MMS_Dairy_Methane_Equations.VEERG_4_3_1_1__4_FractionVolatileSolidsNotSolidStorage(G153,$F164)</f>
        <v>2.2000000000000002E-2</v>
      </c>
      <c r="H175" s="15" cm="1">
        <f t="array" aca="1" ref="H175" ca="1">MMS_Dairy_Methane_Equations.VEERG_4_3_1_1__4_FractionVolatileSolidsNotSolidStorage(H153,$F164)</f>
        <v>2.2000000000000002E-2</v>
      </c>
      <c r="I175" s="15" cm="1">
        <f t="array" aca="1" ref="I175" ca="1">MMS_Dairy_Methane_Equations.VEERG_4_3_1_1__4_FractionVolatileSolidsNotSolidStorage(I153,$F164)</f>
        <v>2.2000000000000002E-2</v>
      </c>
      <c r="J175" s="15" cm="1">
        <f t="array" aca="1" ref="J175" ca="1">MMS_Dairy_Methane_Equations.VEERG_4_3_1_1__4_FractionVolatileSolidsNotSolidStorage(J153,$F164)</f>
        <v>2.2000000000000002E-2</v>
      </c>
      <c r="K175" s="16"/>
      <c r="O175" s="15" t="str">
        <f>INDEX(X_Table_Dairy_ProductionSystems_Method1,3,1)</f>
        <v>Milking shed</v>
      </c>
      <c r="P175" s="15" t="str">
        <f>INDEX(X_Table_Dairy_Stage1MMS_1_SumpAndDispersal,2,1)</f>
        <v>Sump and dispersal system</v>
      </c>
      <c r="Q175" s="15" cm="1">
        <f t="array" aca="1" ref="Q175" ca="1">MMS_Dairy_Methane_Equations.VEERG_4_3_1_1__4_FractionVolatileSolidsNotSolidStorage(Q153,$Q164)</f>
        <v>2.2000000000000002E-2</v>
      </c>
      <c r="R175" s="15" cm="1">
        <f t="array" aca="1" ref="R175" ca="1">MMS_Dairy_Methane_Equations.VEERG_4_3_1_1__4_FractionVolatileSolidsNotSolidStorage(R153,$Q164)</f>
        <v>2.2000000000000002E-2</v>
      </c>
      <c r="S175" s="15" cm="1">
        <f t="array" aca="1" ref="S175" ca="1">MMS_Dairy_Methane_Equations.VEERG_4_3_1_1__4_FractionVolatileSolidsNotSolidStorage(S153,$Q164)</f>
        <v>2.2000000000000002E-2</v>
      </c>
      <c r="T175" s="15" cm="1">
        <f t="array" aca="1" ref="T175" ca="1">MMS_Dairy_Methane_Equations.VEERG_4_3_1_1__4_FractionVolatileSolidsNotSolidStorage(T153,$Q164)</f>
        <v>2.2000000000000002E-2</v>
      </c>
      <c r="U175" s="15" cm="1">
        <f t="array" aca="1" ref="U175" ca="1">MMS_Dairy_Methane_Equations.VEERG_4_3_1_1__4_FractionVolatileSolidsNotSolidStorage(U153,$Q164)</f>
        <v>2.2000000000000002E-2</v>
      </c>
      <c r="V175" s="16"/>
    </row>
    <row r="176" spans="4:22" ht="20.100000000000001" customHeight="1" x14ac:dyDescent="0.25">
      <c r="D176" s="15" t="str">
        <f>INDEX(X_Table_Dairy_ProductionSystems_Method1,3,1)</f>
        <v>Milking shed</v>
      </c>
      <c r="E176" s="15" t="str">
        <f>INDEX(X_Table_Dairy_Stage1MMS_1_DrainsToPaddock,2,1)</f>
        <v>Drains to paddock</v>
      </c>
      <c r="F176" s="15" cm="1">
        <f t="array" aca="1" ref="F176" ca="1">MMS_Dairy_Methane_Equations.VEERG_4_3_1_1__4_FractionVolatileSolidsNotSolidStorage(F154,$F165)</f>
        <v>2.2000000000000002E-2</v>
      </c>
      <c r="G176" s="15" cm="1">
        <f t="array" aca="1" ref="G176" ca="1">MMS_Dairy_Methane_Equations.VEERG_4_3_1_1__4_FractionVolatileSolidsNotSolidStorage(G154,$F165)</f>
        <v>2.2000000000000002E-2</v>
      </c>
      <c r="H176" s="15" cm="1">
        <f t="array" aca="1" ref="H176" ca="1">MMS_Dairy_Methane_Equations.VEERG_4_3_1_1__4_FractionVolatileSolidsNotSolidStorage(H154,$F165)</f>
        <v>2.2000000000000002E-2</v>
      </c>
      <c r="I176" s="15" cm="1">
        <f t="array" aca="1" ref="I176" ca="1">MMS_Dairy_Methane_Equations.VEERG_4_3_1_1__4_FractionVolatileSolidsNotSolidStorage(I154,$F165)</f>
        <v>2.2000000000000002E-2</v>
      </c>
      <c r="J176" s="15" cm="1">
        <f t="array" aca="1" ref="J176" ca="1">MMS_Dairy_Methane_Equations.VEERG_4_3_1_1__4_FractionVolatileSolidsNotSolidStorage(J154,$F165)</f>
        <v>2.2000000000000002E-2</v>
      </c>
      <c r="K176" s="16"/>
      <c r="O176" s="15" t="str">
        <f>INDEX(X_Table_Dairy_ProductionSystems_Method1,3,1)</f>
        <v>Milking shed</v>
      </c>
      <c r="P176" s="15" t="str">
        <f>INDEX(X_Table_Dairy_Stage1MMS_1_DrainsToPaddock,2,1)</f>
        <v>Drains to paddock</v>
      </c>
      <c r="Q176" s="15" cm="1">
        <f t="array" aca="1" ref="Q176" ca="1">MMS_Dairy_Methane_Equations.VEERG_4_3_1_1__4_FractionVolatileSolidsNotSolidStorage(Q154,$Q165)</f>
        <v>2.2000000000000002E-2</v>
      </c>
      <c r="R176" s="15" cm="1">
        <f t="array" aca="1" ref="R176" ca="1">MMS_Dairy_Methane_Equations.VEERG_4_3_1_1__4_FractionVolatileSolidsNotSolidStorage(R154,$Q165)</f>
        <v>2.2000000000000002E-2</v>
      </c>
      <c r="S176" s="15" cm="1">
        <f t="array" aca="1" ref="S176" ca="1">MMS_Dairy_Methane_Equations.VEERG_4_3_1_1__4_FractionVolatileSolidsNotSolidStorage(S154,$Q165)</f>
        <v>2.2000000000000002E-2</v>
      </c>
      <c r="T176" s="15" cm="1">
        <f t="array" aca="1" ref="T176" ca="1">MMS_Dairy_Methane_Equations.VEERG_4_3_1_1__4_FractionVolatileSolidsNotSolidStorage(T154,$Q165)</f>
        <v>2.2000000000000002E-2</v>
      </c>
      <c r="U176" s="15" cm="1">
        <f t="array" aca="1" ref="U176" ca="1">MMS_Dairy_Methane_Equations.VEERG_4_3_1_1__4_FractionVolatileSolidsNotSolidStorage(U154,$Q165)</f>
        <v>2.2000000000000002E-2</v>
      </c>
      <c r="V176" s="16"/>
    </row>
    <row r="177" spans="1:23" ht="20.100000000000001" customHeight="1" x14ac:dyDescent="0.25">
      <c r="D177" s="15" t="str">
        <f>INDEX(X_Table_Dairy_ProductionSystems_Method1,4,1)</f>
        <v>Feed pad</v>
      </c>
      <c r="E177" s="15" t="str">
        <f>INDEX(X_Table_Dairy_Stage1MMS_2_AnaerobicLagoon,2,1)</f>
        <v>Anaerobic lagoon</v>
      </c>
      <c r="F177" s="15" cm="1">
        <f t="array" aca="1" ref="F177" ca="1">MMS_Dairy_Methane_Equations.VEERG_4_3_1_1__4_FractionVolatileSolidsNotSolidStorage(F155,$F166)</f>
        <v>8.8999999999999996E-2</v>
      </c>
      <c r="G177" s="15" cm="1">
        <f t="array" aca="1" ref="G177" ca="1">MMS_Dairy_Methane_Equations.VEERG_4_3_1_1__4_FractionVolatileSolidsNotSolidStorage(G155,$F166)</f>
        <v>8.8999999999999996E-2</v>
      </c>
      <c r="H177" s="15" cm="1">
        <f t="array" aca="1" ref="H177" ca="1">MMS_Dairy_Methane_Equations.VEERG_4_3_1_1__4_FractionVolatileSolidsNotSolidStorage(H155,$F166)</f>
        <v>8.8999999999999996E-2</v>
      </c>
      <c r="I177" s="15" cm="1">
        <f t="array" aca="1" ref="I177" ca="1">MMS_Dairy_Methane_Equations.VEERG_4_3_1_1__4_FractionVolatileSolidsNotSolidStorage(I155,$F166)</f>
        <v>8.8999999999999996E-2</v>
      </c>
      <c r="J177" s="15" cm="1">
        <f t="array" aca="1" ref="J177" ca="1">MMS_Dairy_Methane_Equations.VEERG_4_3_1_1__4_FractionVolatileSolidsNotSolidStorage(J155,$F166)</f>
        <v>8.8999999999999996E-2</v>
      </c>
      <c r="K177" s="16"/>
      <c r="O177" s="15" t="str">
        <f>INDEX(X_Table_Dairy_ProductionSystems_Method1,4,1)</f>
        <v>Feed pad</v>
      </c>
      <c r="P177" s="15" t="str">
        <f>INDEX(X_Table_Dairy_Stage1MMS_2_AnaerobicLagoon,2,1)</f>
        <v>Anaerobic lagoon</v>
      </c>
      <c r="Q177" s="15" cm="1">
        <f t="array" aca="1" ref="Q177" ca="1">MMS_Dairy_Methane_Equations.VEERG_4_3_1_1__4_FractionVolatileSolidsNotSolidStorage(Q155,$Q166)</f>
        <v>8.8999999999999996E-2</v>
      </c>
      <c r="R177" s="15" cm="1">
        <f t="array" aca="1" ref="R177" ca="1">MMS_Dairy_Methane_Equations.VEERG_4_3_1_1__4_FractionVolatileSolidsNotSolidStorage(R155,$Q166)</f>
        <v>8.8999999999999996E-2</v>
      </c>
      <c r="S177" s="15" cm="1">
        <f t="array" aca="1" ref="S177" ca="1">MMS_Dairy_Methane_Equations.VEERG_4_3_1_1__4_FractionVolatileSolidsNotSolidStorage(S155,$Q166)</f>
        <v>8.8999999999999996E-2</v>
      </c>
      <c r="T177" s="15" cm="1">
        <f t="array" aca="1" ref="T177" ca="1">MMS_Dairy_Methane_Equations.VEERG_4_3_1_1__4_FractionVolatileSolidsNotSolidStorage(T155,$Q166)</f>
        <v>8.8999999999999996E-2</v>
      </c>
      <c r="U177" s="15" cm="1">
        <f t="array" aca="1" ref="U177" ca="1">MMS_Dairy_Methane_Equations.VEERG_4_3_1_1__4_FractionVolatileSolidsNotSolidStorage(U155,$Q166)</f>
        <v>8.8999999999999996E-2</v>
      </c>
      <c r="V177" s="16"/>
    </row>
    <row r="178" spans="1:23" ht="20.100000000000001" customHeight="1" x14ac:dyDescent="0.25">
      <c r="A178" s="128" t="str">
        <f>HYPERLINK("#A1", "▲ Back to top")</f>
        <v>▲ Back to top</v>
      </c>
      <c r="D178" s="15" t="str">
        <f>INDEX(X_Table_Dairy_ProductionSystems_Method1,4,1)</f>
        <v>Feed pad</v>
      </c>
      <c r="E178" s="15" t="str">
        <f>INDEX(X_Table_Dairy_Stage1MMS_2_SumpAndDispersal,2,1)</f>
        <v>Sump and dispersal system</v>
      </c>
      <c r="F178" s="15" cm="1">
        <f t="array" aca="1" ref="F178" ca="1">MMS_Dairy_Methane_Equations.VEERG_4_3_1_1__4_FractionVolatileSolidsNotSolidStorage(F156,$F167)</f>
        <v>7.1199999999999999E-2</v>
      </c>
      <c r="G178" s="15" cm="1">
        <f t="array" aca="1" ref="G178" ca="1">MMS_Dairy_Methane_Equations.VEERG_4_3_1_1__4_FractionVolatileSolidsNotSolidStorage(G156,$F167)</f>
        <v>7.1199999999999999E-2</v>
      </c>
      <c r="H178" s="15" cm="1">
        <f t="array" aca="1" ref="H178" ca="1">MMS_Dairy_Methane_Equations.VEERG_4_3_1_1__4_FractionVolatileSolidsNotSolidStorage(H156,$F167)</f>
        <v>7.1199999999999999E-2</v>
      </c>
      <c r="I178" s="15" cm="1">
        <f t="array" aca="1" ref="I178" ca="1">MMS_Dairy_Methane_Equations.VEERG_4_3_1_1__4_FractionVolatileSolidsNotSolidStorage(I156,$F167)</f>
        <v>7.1199999999999999E-2</v>
      </c>
      <c r="J178" s="15" cm="1">
        <f t="array" aca="1" ref="J178" ca="1">MMS_Dairy_Methane_Equations.VEERG_4_3_1_1__4_FractionVolatileSolidsNotSolidStorage(J156,$F167)</f>
        <v>7.1199999999999999E-2</v>
      </c>
      <c r="K178" s="16"/>
      <c r="O178" s="15" t="str">
        <f>INDEX(X_Table_Dairy_ProductionSystems_Method1,4,1)</f>
        <v>Feed pad</v>
      </c>
      <c r="P178" s="15" t="str">
        <f>INDEX(X_Table_Dairy_Stage1MMS_2_SumpAndDispersal,2,1)</f>
        <v>Sump and dispersal system</v>
      </c>
      <c r="Q178" s="15" cm="1">
        <f t="array" aca="1" ref="Q178" ca="1">MMS_Dairy_Methane_Equations.VEERG_4_3_1_1__4_FractionVolatileSolidsNotSolidStorage(Q156,$Q167)</f>
        <v>7.1199999999999999E-2</v>
      </c>
      <c r="R178" s="15" cm="1">
        <f t="array" aca="1" ref="R178" ca="1">MMS_Dairy_Methane_Equations.VEERG_4_3_1_1__4_FractionVolatileSolidsNotSolidStorage(R156,$Q167)</f>
        <v>7.1199999999999999E-2</v>
      </c>
      <c r="S178" s="15" cm="1">
        <f t="array" aca="1" ref="S178" ca="1">MMS_Dairy_Methane_Equations.VEERG_4_3_1_1__4_FractionVolatileSolidsNotSolidStorage(S156,$Q167)</f>
        <v>7.1199999999999999E-2</v>
      </c>
      <c r="T178" s="15" cm="1">
        <f t="array" aca="1" ref="T178" ca="1">MMS_Dairy_Methane_Equations.VEERG_4_3_1_1__4_FractionVolatileSolidsNotSolidStorage(T156,$Q167)</f>
        <v>7.1199999999999999E-2</v>
      </c>
      <c r="U178" s="15" cm="1">
        <f t="array" aca="1" ref="U178" ca="1">MMS_Dairy_Methane_Equations.VEERG_4_3_1_1__4_FractionVolatileSolidsNotSolidStorage(U156,$Q167)</f>
        <v>7.1199999999999999E-2</v>
      </c>
      <c r="V178" s="16"/>
    </row>
    <row r="179" spans="1:23" ht="20.100000000000001" customHeight="1" x14ac:dyDescent="0.25">
      <c r="D179" s="15" t="str">
        <f>INDEX(X_Table_Dairy_ProductionSystems_Method1,4,1)</f>
        <v>Feed pad</v>
      </c>
      <c r="E179" s="15" t="str">
        <f>INDEX(X_Table_Dairy_Stage1MMS_2_DrainsToPaddock,2,1)</f>
        <v>Drains to paddock</v>
      </c>
      <c r="F179" s="15" cm="1">
        <f t="array" aca="1" ref="F179" ca="1">MMS_Dairy_Methane_Equations.VEERG_4_3_1_1__4_FractionVolatileSolidsNotSolidStorage(F157,$F168)</f>
        <v>7.1199999999999999E-2</v>
      </c>
      <c r="G179" s="15" cm="1">
        <f t="array" aca="1" ref="G179" ca="1">MMS_Dairy_Methane_Equations.VEERG_4_3_1_1__4_FractionVolatileSolidsNotSolidStorage(G157,$F168)</f>
        <v>7.1199999999999999E-2</v>
      </c>
      <c r="H179" s="15" cm="1">
        <f t="array" aca="1" ref="H179" ca="1">MMS_Dairy_Methane_Equations.VEERG_4_3_1_1__4_FractionVolatileSolidsNotSolidStorage(H157,$F168)</f>
        <v>7.1199999999999999E-2</v>
      </c>
      <c r="I179" s="15" cm="1">
        <f t="array" aca="1" ref="I179" ca="1">MMS_Dairy_Methane_Equations.VEERG_4_3_1_1__4_FractionVolatileSolidsNotSolidStorage(I157,$F168)</f>
        <v>7.1199999999999999E-2</v>
      </c>
      <c r="J179" s="15" cm="1">
        <f t="array" aca="1" ref="J179" ca="1">MMS_Dairy_Methane_Equations.VEERG_4_3_1_1__4_FractionVolatileSolidsNotSolidStorage(J157,$F168)</f>
        <v>7.1199999999999999E-2</v>
      </c>
      <c r="K179" s="16"/>
      <c r="O179" s="15" t="str">
        <f>INDEX(X_Table_Dairy_ProductionSystems_Method1,4,1)</f>
        <v>Feed pad</v>
      </c>
      <c r="P179" s="15" t="str">
        <f>INDEX(X_Table_Dairy_Stage1MMS_2_DrainsToPaddock,2,1)</f>
        <v>Drains to paddock</v>
      </c>
      <c r="Q179" s="15" cm="1">
        <f t="array" aca="1" ref="Q179" ca="1">MMS_Dairy_Methane_Equations.VEERG_4_3_1_1__4_FractionVolatileSolidsNotSolidStorage(Q157,$Q168)</f>
        <v>7.1199999999999999E-2</v>
      </c>
      <c r="R179" s="15" cm="1">
        <f t="array" aca="1" ref="R179" ca="1">MMS_Dairy_Methane_Equations.VEERG_4_3_1_1__4_FractionVolatileSolidsNotSolidStorage(R157,$Q168)</f>
        <v>7.1199999999999999E-2</v>
      </c>
      <c r="S179" s="15" cm="1">
        <f t="array" aca="1" ref="S179" ca="1">MMS_Dairy_Methane_Equations.VEERG_4_3_1_1__4_FractionVolatileSolidsNotSolidStorage(S157,$Q168)</f>
        <v>7.1199999999999999E-2</v>
      </c>
      <c r="T179" s="15" cm="1">
        <f t="array" aca="1" ref="T179" ca="1">MMS_Dairy_Methane_Equations.VEERG_4_3_1_1__4_FractionVolatileSolidsNotSolidStorage(T157,$Q168)</f>
        <v>7.1199999999999999E-2</v>
      </c>
      <c r="U179" s="15" cm="1">
        <f t="array" aca="1" ref="U179" ca="1">MMS_Dairy_Methane_Equations.VEERG_4_3_1_1__4_FractionVolatileSolidsNotSolidStorage(U157,$Q168)</f>
        <v>7.1199999999999999E-2</v>
      </c>
      <c r="V179" s="16"/>
    </row>
    <row r="180" spans="1:23" ht="20.100000000000001" customHeight="1" x14ac:dyDescent="0.25"/>
    <row r="181" spans="1:23" ht="20.100000000000001" customHeight="1" x14ac:dyDescent="0.25"/>
    <row r="182" spans="1:23" ht="20.100000000000001" customHeight="1" x14ac:dyDescent="0.25">
      <c r="C182" s="88"/>
      <c r="D182" s="88"/>
      <c r="E182" s="88"/>
      <c r="F182" s="88"/>
      <c r="G182" s="88"/>
      <c r="H182" s="88"/>
      <c r="I182" s="88"/>
      <c r="J182" s="88"/>
      <c r="K182" s="88"/>
      <c r="L182" s="88"/>
      <c r="N182" s="88"/>
      <c r="O182" s="88"/>
      <c r="P182" s="88"/>
      <c r="Q182" s="88"/>
      <c r="R182" s="88"/>
      <c r="S182" s="88"/>
      <c r="T182" s="88"/>
      <c r="U182" s="88"/>
      <c r="V182" s="88"/>
      <c r="W182" s="88"/>
    </row>
    <row r="183" spans="1:23" ht="20.100000000000001" customHeight="1" x14ac:dyDescent="0.25">
      <c r="D183" s="2" t="str" cm="1">
        <f t="array" ref="D183">MMS_Dairy_Methane_Equations.VEERG_4_3_1_1__5_FractionVolatileSolidsSolidStorage_Title()</f>
        <v>Fraction of volatile solids in solid storage</v>
      </c>
    </row>
    <row r="184" spans="1:23" ht="20.100000000000001" customHeight="1" x14ac:dyDescent="0.25">
      <c r="D184" s="17" t="str" cm="1">
        <f t="array" ref="D184">MMS_Dairy_Methane_Equations.VEERG_4_3_1_1__5_FractionVolatileSolidsSolidStorage_Source()</f>
        <v>VEERG 2026: 4.3.1.1, Equation (5)</v>
      </c>
    </row>
    <row r="185" spans="1:23" ht="20.100000000000001" customHeight="1" x14ac:dyDescent="0.25">
      <c r="D185" s="25" t="str" cm="1">
        <f t="array" ref="D185">MMS_Dairy_Methane_Equations.VEERG_4_3_1_1__5_FractionVolatileSolidsSolidStorage_Variation()</f>
        <v>Used separate variables for MMS and SS m 1, 7 and 9.</v>
      </c>
    </row>
    <row r="186" spans="1:23" ht="20.100000000000001" customHeight="1" x14ac:dyDescent="0.25">
      <c r="D186" s="117" t="s">
        <v>382</v>
      </c>
      <c r="E186" s="117"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2"/>
    </row>
    <row r="189" spans="1:23" ht="20.100000000000001" customHeight="1" x14ac:dyDescent="0.25">
      <c r="D189" s="76" t="s">
        <v>383</v>
      </c>
      <c r="E189" s="1" t="str" cm="1">
        <f t="array" ref="E189">MMS_Dairy_Methane_Equations.VEERG_4_3_1_1__5_FractionVolatileSolidsSolidStorage_Variable()</f>
        <v>FVS_jm4</v>
      </c>
    </row>
    <row r="190" spans="1:23" ht="20.100000000000001" customHeight="1" x14ac:dyDescent="0.25">
      <c r="D190" s="76" t="s">
        <v>118</v>
      </c>
      <c r="E190" s="9" t="str" cm="1">
        <f t="array" ref="E190">MMS_Dairy_Methane_Equations.VEERG_4_3_1_1__5_FractionVolatileSolidsSolidStorage_Unit()</f>
        <v>fraction</v>
      </c>
    </row>
    <row r="191" spans="1:23" ht="20.100000000000001" customHeight="1" x14ac:dyDescent="0.25"/>
    <row r="192" spans="1:23" ht="20.100000000000001" customHeight="1" x14ac:dyDescent="0.25">
      <c r="D192" s="119" t="str" cm="1">
        <f t="array" ref="D192:E194">_xlfn.CHOOSECOLS(MMS_Dairy_Methane_Equations.VEERG_4_3_1_1__5_FractionVolatileSolidsSolidStorage_Arguments(),1,2)</f>
        <v>MMS_jm4</v>
      </c>
      <c r="E192" s="119" t="str">
        <v>fraction of volatile solids in solid storage before transfer</v>
      </c>
      <c r="F192" s="119"/>
      <c r="G192" s="119" t="str" cm="1">
        <f t="array" ref="G192:H194">_xlfn.CHOOSECOLS(MMS_Dairy_Methane_Equations.VEERG_4_3_1_1__5_FractionVolatileSolidsSolidStorage_Arguments(),3,4)</f>
        <v>fraction</v>
      </c>
      <c r="H192" s="120" t="str">
        <v>Input</v>
      </c>
      <c r="I192" s="126" t="str" cm="1">
        <f t="array" aca="1" ref="I192" ca="1">HYPERLINK(Common_InputFunctions.Utility_SourceHyperlink($D$196),$D$196)</f>
        <v>M1_Table_MMS_j_m-4</v>
      </c>
    </row>
    <row r="193" spans="4:22" ht="20.100000000000001" customHeight="1" x14ac:dyDescent="0.25">
      <c r="D193" s="119" t="str">
        <v>MMS_jm179</v>
      </c>
      <c r="E193" s="119" t="str">
        <v>fraction of volatile solids in MMS m=1,7,9 before transfer</v>
      </c>
      <c r="F193" s="119"/>
      <c r="G193" s="119" t="str">
        <v>fraction</v>
      </c>
      <c r="H193" s="120" t="str">
        <v>Input</v>
      </c>
      <c r="I193" s="126" t="str" cm="1">
        <f t="array" aca="1" ref="I193" ca="1">HYPERLINK(Common_InputFunctions.Utility_SourceHyperlink($D$148),$D$148)</f>
        <v>M1_Table_MMS_j_m</v>
      </c>
    </row>
    <row r="194" spans="4:22" ht="20.100000000000001" customHeight="1" x14ac:dyDescent="0.25">
      <c r="D194" s="119" t="str">
        <v>SS_m</v>
      </c>
      <c r="E194" s="119" t="str">
        <v>fraction of volatile solids separated to solid storage for each MMS</v>
      </c>
      <c r="F194" s="119"/>
      <c r="G194" s="119" t="str">
        <v>fraction</v>
      </c>
      <c r="H194" s="120" t="str">
        <v>Input</v>
      </c>
      <c r="I194" s="126" t="str" cm="1">
        <f t="array" aca="1" ref="I194" ca="1">HYPERLINK(Common_InputFunctions.Utility_SourceHyperlink($D$159),$D$159)</f>
        <v>M1_Table_SS_m</v>
      </c>
    </row>
    <row r="195" spans="4:22" ht="20.100000000000001" customHeight="1" x14ac:dyDescent="0.25"/>
    <row r="196" spans="4:22" ht="20.100000000000001" customHeight="1" x14ac:dyDescent="0.25">
      <c r="D196" s="121" t="s">
        <v>436</v>
      </c>
      <c r="O196" s="121" t="s">
        <v>437</v>
      </c>
    </row>
    <row r="197" spans="4:22" ht="20.100000000000001" customHeight="1" x14ac:dyDescent="0.25">
      <c r="D197" s="122" t="s">
        <v>438</v>
      </c>
      <c r="O197" s="122" t="s">
        <v>439</v>
      </c>
    </row>
    <row r="198" spans="4:22" ht="20.100000000000001" customHeight="1" x14ac:dyDescent="0.25">
      <c r="D198" s="81" t="s">
        <v>159</v>
      </c>
      <c r="E198" s="81" t="s">
        <v>427</v>
      </c>
      <c r="F198" s="81" t="s">
        <v>334</v>
      </c>
      <c r="G198" s="81" t="s">
        <v>335</v>
      </c>
      <c r="H198" s="81" t="s">
        <v>336</v>
      </c>
      <c r="I198" s="81" t="s">
        <v>337</v>
      </c>
      <c r="J198" s="81" t="s">
        <v>338</v>
      </c>
      <c r="O198" s="81" t="s">
        <v>159</v>
      </c>
      <c r="P198" s="81" t="s">
        <v>427</v>
      </c>
      <c r="Q198" s="81" t="s">
        <v>334</v>
      </c>
      <c r="R198" s="81" t="s">
        <v>335</v>
      </c>
      <c r="S198" s="81" t="s">
        <v>336</v>
      </c>
      <c r="T198" s="81" t="s">
        <v>337</v>
      </c>
      <c r="U198" s="81" t="s">
        <v>338</v>
      </c>
    </row>
    <row r="199" spans="4:22" ht="20.100000000000001" customHeight="1" x14ac:dyDescent="0.25">
      <c r="D199" s="15" t="str">
        <f>INDEX(X_Table_Dairy_ProductionSystems_Method1,3,1)</f>
        <v>Milking shed</v>
      </c>
      <c r="E199" s="15" t="str">
        <f>INDEX(X_Table_Dairy_Stage1MMS_1_SolidStorage,2,1)</f>
        <v>Solid storage (before solid separation)</v>
      </c>
      <c r="F199" s="15" cm="1">
        <f t="array" aca="1" ref="F199:J199" ca="1">OFFSET(X_Table_Dairy_ProductionSystems_Method1, 2,1,1,5)*OFFSET(X_Table_Dairy_Stage1MMS_1_SolidStorage, 1,1,1,5)</f>
        <v>2.75E-2</v>
      </c>
      <c r="G199" s="15">
        <f ca="1"/>
        <v>2.75E-2</v>
      </c>
      <c r="H199" s="15">
        <f ca="1"/>
        <v>2.75E-2</v>
      </c>
      <c r="I199" s="15">
        <f ca="1"/>
        <v>2.75E-2</v>
      </c>
      <c r="J199" s="15">
        <f ca="1"/>
        <v>2.75E-2</v>
      </c>
      <c r="K199" s="16" t="s">
        <v>350</v>
      </c>
      <c r="O199" s="15" t="str">
        <f>INDEX(X_Table_Dairy_ProductionSystems_Method1,3,1)</f>
        <v>Milking shed</v>
      </c>
      <c r="P199" s="15" t="str">
        <f>INDEX(X_Table_Dairy_Stage1MMS_1_SolidStorage,2,1)</f>
        <v>Solid storage (before solid separation)</v>
      </c>
      <c r="Q199" s="15" cm="1">
        <f t="array" aca="1" ref="Q199:U199" ca="1">OFFSET(X_Table_Dairy_ProductionSystems_Method2, 2,1,1,5)*OFFSET(X_Table_Dairy_Stage1MMS_1_SolidStorage, 1,1,1,5)</f>
        <v>2.75E-2</v>
      </c>
      <c r="R199" s="15">
        <f ca="1"/>
        <v>2.75E-2</v>
      </c>
      <c r="S199" s="15">
        <f ca="1"/>
        <v>2.75E-2</v>
      </c>
      <c r="T199" s="15">
        <f ca="1"/>
        <v>2.75E-2</v>
      </c>
      <c r="U199" s="15">
        <f ca="1"/>
        <v>2.75E-2</v>
      </c>
      <c r="V199" s="16" t="s">
        <v>350</v>
      </c>
    </row>
    <row r="200" spans="4:22" ht="20.100000000000001" customHeight="1" x14ac:dyDescent="0.25">
      <c r="D200" s="15" t="str">
        <f>INDEX(X_Table_Dairy_ProductionSystems_Method1,4,1)</f>
        <v>Feed pad</v>
      </c>
      <c r="E200" s="15" t="str">
        <f>INDEX(X_Table_Dairy_Stage1MMS_2_SolidStorage,2,1)</f>
        <v>Solid storage (before solid separation)</v>
      </c>
      <c r="F200" s="15" cm="1">
        <f t="array" aca="1" ref="F200:J200" ca="1">OFFSET(X_Table_Dairy_ProductionSystems_Method1, 3,1,1,5)*OFFSET(X_Table_Dairy_Stage1MMS_1_SolidStorage, 1,1,1,5)</f>
        <v>8.8999999999999996E-2</v>
      </c>
      <c r="G200" s="15">
        <f ca="1"/>
        <v>8.8999999999999996E-2</v>
      </c>
      <c r="H200" s="15">
        <f ca="1"/>
        <v>8.8999999999999996E-2</v>
      </c>
      <c r="I200" s="15">
        <f ca="1"/>
        <v>8.8999999999999996E-2</v>
      </c>
      <c r="J200" s="15">
        <f ca="1"/>
        <v>8.8999999999999996E-2</v>
      </c>
      <c r="K200" s="16" t="s">
        <v>350</v>
      </c>
      <c r="O200" s="15" t="str">
        <f>INDEX(X_Table_Dairy_ProductionSystems_Method1,4,1)</f>
        <v>Feed pad</v>
      </c>
      <c r="P200" s="15" t="str">
        <f>INDEX(X_Table_Dairy_Stage1MMS_2_SolidStorage,2,1)</f>
        <v>Solid storage (before solid separation)</v>
      </c>
      <c r="Q200" s="15" cm="1">
        <f t="array" aca="1" ref="Q200:U200" ca="1">OFFSET(X_Table_Dairy_ProductionSystems_Method2, 3,1,1,5)*OFFSET(X_Table_Dairy_Stage1MMS_1_SolidStorage, 1,1,1,5)</f>
        <v>8.8999999999999996E-2</v>
      </c>
      <c r="R200" s="15">
        <f ca="1"/>
        <v>8.8999999999999996E-2</v>
      </c>
      <c r="S200" s="15">
        <f ca="1"/>
        <v>8.8999999999999996E-2</v>
      </c>
      <c r="T200" s="15">
        <f ca="1"/>
        <v>8.8999999999999996E-2</v>
      </c>
      <c r="U200" s="15">
        <f ca="1"/>
        <v>8.8999999999999996E-2</v>
      </c>
      <c r="V200" s="16" t="s">
        <v>350</v>
      </c>
    </row>
    <row r="201" spans="4:22" ht="20.100000000000001" customHeight="1" x14ac:dyDescent="0.25"/>
    <row r="202" spans="4:22" ht="20.100000000000001" customHeight="1" x14ac:dyDescent="0.25">
      <c r="D202" s="121" t="s">
        <v>440</v>
      </c>
      <c r="O202" s="121" t="s">
        <v>441</v>
      </c>
    </row>
    <row r="203" spans="4:22" ht="20.100000000000001" customHeight="1" x14ac:dyDescent="0.25">
      <c r="D203" s="122" t="s">
        <v>442</v>
      </c>
      <c r="O203" s="122" t="s">
        <v>443</v>
      </c>
    </row>
    <row r="204" spans="4:22" ht="20.100000000000001" customHeight="1" x14ac:dyDescent="0.25">
      <c r="D204" s="123" t="s">
        <v>159</v>
      </c>
      <c r="E204" s="123" t="s">
        <v>427</v>
      </c>
      <c r="F204" s="123" t="s">
        <v>334</v>
      </c>
      <c r="G204" s="123" t="s">
        <v>335</v>
      </c>
      <c r="H204" s="123" t="s">
        <v>336</v>
      </c>
      <c r="I204" s="123" t="s">
        <v>337</v>
      </c>
      <c r="J204" s="123" t="s">
        <v>338</v>
      </c>
      <c r="O204" s="123" t="s">
        <v>159</v>
      </c>
      <c r="P204" s="123" t="s">
        <v>427</v>
      </c>
      <c r="Q204" s="123" t="s">
        <v>334</v>
      </c>
      <c r="R204" s="123" t="s">
        <v>335</v>
      </c>
      <c r="S204" s="123" t="s">
        <v>336</v>
      </c>
      <c r="T204" s="123" t="s">
        <v>337</v>
      </c>
      <c r="U204" s="123" t="s">
        <v>338</v>
      </c>
    </row>
    <row r="205" spans="4:22" ht="20.100000000000001" customHeight="1" x14ac:dyDescent="0.25">
      <c r="D205" s="15" t="str">
        <f>INDEX(X_Table_Dairy_ProductionSystems_Method1,3,1)</f>
        <v>Milking shed</v>
      </c>
      <c r="E205" s="15" t="s">
        <v>75</v>
      </c>
      <c r="F205" s="15" cm="1">
        <f t="array" aca="1" ref="F205" ca="1">MMS_Dairy_Methane_Equations.VEERG_4_3_1_1__5_FractionVolatileSolidsSolidStorageVariation(F199,F152,$F163,F153,$F164,F154,$F165)</f>
        <v>4.3999999999999997E-2</v>
      </c>
      <c r="G205" s="15" cm="1">
        <f t="array" aca="1" ref="G205" ca="1">MMS_Dairy_Methane_Equations.VEERG_4_3_1_1__5_FractionVolatileSolidsSolidStorageVariation(G199,G152,$F163,G153,$F164,G154,$F165)</f>
        <v>4.3999999999999997E-2</v>
      </c>
      <c r="H205" s="15" cm="1">
        <f t="array" aca="1" ref="H205" ca="1">MMS_Dairy_Methane_Equations.VEERG_4_3_1_1__5_FractionVolatileSolidsSolidStorageVariation(H199,H152,$F163,H153,$F164,H154,$F165)</f>
        <v>4.3999999999999997E-2</v>
      </c>
      <c r="I205" s="15" cm="1">
        <f t="array" aca="1" ref="I205" ca="1">MMS_Dairy_Methane_Equations.VEERG_4_3_1_1__5_FractionVolatileSolidsSolidStorageVariation(I199,I152,$F163,I153,$F164,I154,$F165)</f>
        <v>4.3999999999999997E-2</v>
      </c>
      <c r="J205" s="15" cm="1">
        <f t="array" aca="1" ref="J205" ca="1">MMS_Dairy_Methane_Equations.VEERG_4_3_1_1__5_FractionVolatileSolidsSolidStorageVariation(J199,J152,$F163,J153,$F164,J154,$F165)</f>
        <v>4.3999999999999997E-2</v>
      </c>
      <c r="K205" s="16" t="str">
        <f>$E$190</f>
        <v>fraction</v>
      </c>
      <c r="O205" s="15" t="str">
        <f>INDEX(X_Table_Dairy_ProductionSystems_Method1,3,1)</f>
        <v>Milking shed</v>
      </c>
      <c r="P205" s="15" t="s">
        <v>75</v>
      </c>
      <c r="Q205" s="15" cm="1">
        <f t="array" aca="1" ref="Q205" ca="1">MMS_Dairy_Methane_Equations.VEERG_4_3_1_1__5_FractionVolatileSolidsSolidStorageVariation(Q199,Q152,$Q163,Q153,$Q164,Q154,$Q165)</f>
        <v>4.3999999999999997E-2</v>
      </c>
      <c r="R205" s="15" cm="1">
        <f t="array" aca="1" ref="R205" ca="1">MMS_Dairy_Methane_Equations.VEERG_4_3_1_1__5_FractionVolatileSolidsSolidStorageVariation(R199,R152,$Q163,R153,$Q164,R154,$Q165)</f>
        <v>4.3999999999999997E-2</v>
      </c>
      <c r="S205" s="15" cm="1">
        <f t="array" aca="1" ref="S205" ca="1">MMS_Dairy_Methane_Equations.VEERG_4_3_1_1__5_FractionVolatileSolidsSolidStorageVariation(S199,S152,$Q163,S153,$Q164,S154,$Q165)</f>
        <v>4.3999999999999997E-2</v>
      </c>
      <c r="T205" s="15" cm="1">
        <f t="array" aca="1" ref="T205" ca="1">MMS_Dairy_Methane_Equations.VEERG_4_3_1_1__5_FractionVolatileSolidsSolidStorageVariation(T199,T152,$Q163,T153,$Q164,T154,$Q165)</f>
        <v>4.3999999999999997E-2</v>
      </c>
      <c r="U205" s="15" cm="1">
        <f t="array" aca="1" ref="U205" ca="1">MMS_Dairy_Methane_Equations.VEERG_4_3_1_1__5_FractionVolatileSolidsSolidStorageVariation(U199,U152,$Q163,U153,$Q164,U154,$Q165)</f>
        <v>4.3999999999999997E-2</v>
      </c>
      <c r="V205" s="16" t="str">
        <f>$E$190</f>
        <v>fraction</v>
      </c>
    </row>
    <row r="206" spans="4:22" ht="20.100000000000001" customHeight="1" x14ac:dyDescent="0.25">
      <c r="D206" s="15" t="str">
        <f>INDEX(X_Table_Dairy_ProductionSystems_Method1,4,1)</f>
        <v>Feed pad</v>
      </c>
      <c r="E206" s="15" t="s">
        <v>75</v>
      </c>
      <c r="F206" s="15" cm="1">
        <f t="array" aca="1" ref="F206" ca="1">MMS_Dairy_Methane_Equations.VEERG_4_3_1_1__5_FractionVolatileSolidsSolidStorageVariation(F200,F155,$F166,F156,$F167,F157,$F168)</f>
        <v>0.12459999999999999</v>
      </c>
      <c r="G206" s="15" cm="1">
        <f t="array" aca="1" ref="G206" ca="1">MMS_Dairy_Methane_Equations.VEERG_4_3_1_1__5_FractionVolatileSolidsSolidStorageVariation(G200,G155,$F166,G156,$F167,G157,$F168)</f>
        <v>0.12459999999999999</v>
      </c>
      <c r="H206" s="15" cm="1">
        <f t="array" aca="1" ref="H206" ca="1">MMS_Dairy_Methane_Equations.VEERG_4_3_1_1__5_FractionVolatileSolidsSolidStorageVariation(H200,H155,$F166,H156,$F167,H157,$F168)</f>
        <v>0.12459999999999999</v>
      </c>
      <c r="I206" s="15" cm="1">
        <f t="array" aca="1" ref="I206" ca="1">MMS_Dairy_Methane_Equations.VEERG_4_3_1_1__5_FractionVolatileSolidsSolidStorageVariation(I200,I155,$F166,I156,$F167,I157,$F168)</f>
        <v>0.12459999999999999</v>
      </c>
      <c r="J206" s="15" cm="1">
        <f t="array" aca="1" ref="J206" ca="1">MMS_Dairy_Methane_Equations.VEERG_4_3_1_1__5_FractionVolatileSolidsSolidStorageVariation(J200,J155,$F166,J156,$F167,J157,$F168)</f>
        <v>0.12459999999999999</v>
      </c>
      <c r="K206" s="16" t="str">
        <f>$E$190</f>
        <v>fraction</v>
      </c>
      <c r="O206" s="15" t="str">
        <f>INDEX(X_Table_Dairy_ProductionSystems_Method1,4,1)</f>
        <v>Feed pad</v>
      </c>
      <c r="P206" s="15" t="s">
        <v>75</v>
      </c>
      <c r="Q206" s="15" cm="1">
        <f t="array" aca="1" ref="Q206" ca="1">MMS_Dairy_Methane_Equations.VEERG_4_3_1_1__5_FractionVolatileSolidsSolidStorageVariation(Q200,Q155,$Q166,Q156,$Q167,Q157,$Q168)</f>
        <v>0.12459999999999999</v>
      </c>
      <c r="R206" s="15" cm="1">
        <f t="array" aca="1" ref="R206" ca="1">MMS_Dairy_Methane_Equations.VEERG_4_3_1_1__5_FractionVolatileSolidsSolidStorageVariation(R200,R155,$Q166,R156,$Q167,R157,$Q168)</f>
        <v>0.12459999999999999</v>
      </c>
      <c r="S206" s="15" cm="1">
        <f t="array" aca="1" ref="S206" ca="1">MMS_Dairy_Methane_Equations.VEERG_4_3_1_1__5_FractionVolatileSolidsSolidStorageVariation(S200,S155,$Q166,S156,$Q167,S157,$Q168)</f>
        <v>0.12459999999999999</v>
      </c>
      <c r="T206" s="15" cm="1">
        <f t="array" aca="1" ref="T206" ca="1">MMS_Dairy_Methane_Equations.VEERG_4_3_1_1__5_FractionVolatileSolidsSolidStorageVariation(T200,T155,$Q166,T156,$Q167,T157,$Q168)</f>
        <v>0.12459999999999999</v>
      </c>
      <c r="U206" s="15" cm="1">
        <f t="array" aca="1" ref="U206" ca="1">MMS_Dairy_Methane_Equations.VEERG_4_3_1_1__5_FractionVolatileSolidsSolidStorageVariation(U200,U155,$Q166,U156,$Q167,U157,$Q168)</f>
        <v>0.12459999999999999</v>
      </c>
      <c r="V206" s="16" t="str">
        <f>$E$190</f>
        <v>fraction</v>
      </c>
    </row>
    <row r="207" spans="4:22" ht="20.100000000000001" customHeight="1" x14ac:dyDescent="0.25"/>
    <row r="208" spans="4:22" ht="20.100000000000001" customHeight="1" x14ac:dyDescent="0.25"/>
    <row r="209" spans="1:23" ht="20.100000000000001" customHeight="1" x14ac:dyDescent="0.25">
      <c r="C209" s="88"/>
      <c r="D209" s="88"/>
      <c r="E209" s="88"/>
      <c r="F209" s="88"/>
      <c r="G209" s="88"/>
      <c r="H209" s="88"/>
      <c r="I209" s="88"/>
      <c r="J209" s="88"/>
      <c r="K209" s="88"/>
      <c r="L209" s="88"/>
      <c r="N209" s="88"/>
      <c r="O209" s="88"/>
      <c r="P209" s="88"/>
      <c r="Q209" s="88"/>
      <c r="R209" s="88"/>
      <c r="S209" s="88"/>
      <c r="T209" s="88"/>
      <c r="U209" s="88"/>
      <c r="V209" s="88"/>
      <c r="W209" s="88"/>
    </row>
    <row r="210" spans="1:23" ht="20.100000000000001" customHeight="1" x14ac:dyDescent="0.25">
      <c r="D210" s="2" t="str" cm="1">
        <f t="array" ref="D210">MMS_Dairy_Methane_Equations.VEERG_4_3_1_1__2_MethaneFromManureProduction_Title()</f>
        <v>Methane from manure production from weaned dairy cattle</v>
      </c>
    </row>
    <row r="211" spans="1:23" ht="20.100000000000001" customHeight="1" x14ac:dyDescent="0.25">
      <c r="D211" s="17" t="str" cm="1">
        <f t="array" ref="D211">MMS_Dairy_Methane_Equations.VEERG_4_3_1_1__2_MethaneFromManureProduction_Source()</f>
        <v>VEERG 2026: 4.3.1.1, Equation (2)</v>
      </c>
    </row>
    <row r="212" spans="1:23" ht="20.100000000000001" customHeight="1" x14ac:dyDescent="0.25">
      <c r="D212" s="117" t="s">
        <v>382</v>
      </c>
      <c r="E212" s="117"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2"/>
    </row>
    <row r="215" spans="1:23" ht="20.100000000000001" customHeight="1" x14ac:dyDescent="0.25">
      <c r="D215" s="76" t="s">
        <v>383</v>
      </c>
      <c r="E215" s="1" t="str" cm="1">
        <f t="array" ref="E215">MMS_Dairy_Methane_Equations.VEERG_4_3_1_1__2_MethaneFromManureProduction_Variable()</f>
        <v>M_jm</v>
      </c>
    </row>
    <row r="216" spans="1:23" ht="20.100000000000001" customHeight="1" x14ac:dyDescent="0.25">
      <c r="D216" s="76" t="s">
        <v>118</v>
      </c>
      <c r="E216" s="9" t="str" cm="1">
        <f t="array" ref="E216">MMS_Dairy_Methane_Equations.VEERG_4_3_1_1__2_MethaneFromManureProduction_Unit()</f>
        <v>kg CH4/head/day</v>
      </c>
    </row>
    <row r="217" spans="1:23" ht="20.100000000000001" customHeight="1" x14ac:dyDescent="0.25">
      <c r="A217" s="128" t="str">
        <f>HYPERLINK("#A1", "▲ Back to top")</f>
        <v>▲ Back to top</v>
      </c>
    </row>
    <row r="218" spans="1:23" ht="20.100000000000001" customHeight="1" x14ac:dyDescent="0.25">
      <c r="D218" s="119" t="str" cm="1">
        <f t="array" ref="D218:E223">_xlfn.CHOOSECOLS(MMS_Dairy_Methane_Equations.VEERG_4_3_1_1__2_MethaneFromManureProduction_Arguments(),1,2)</f>
        <v>VS_j</v>
      </c>
      <c r="E218" s="124" t="str">
        <v>daily volatile solids production per head for dairy cattle (kg/head/day)</v>
      </c>
      <c r="F218" s="125"/>
      <c r="G218" s="119" t="str" cm="1">
        <f t="array" ref="G218:H223">_xlfn.CHOOSECOLS(MMS_Dairy_Methane_Equations.VEERG_4_3_1_1__2_MethaneFromManureProduction_Arguments(),3,4)</f>
        <v>kg/head/day</v>
      </c>
      <c r="H218" s="127" t="str">
        <v>Calculated from 4.3.1.1 (3)</v>
      </c>
      <c r="I218" s="126" t="str" cm="1">
        <f t="array" aca="1" ref="I218" ca="1">HYPERLINK(Common_InputFunctions.Utility_SourceHyperlink($D$130),$D$130)</f>
        <v>M1_Table_VS_j</v>
      </c>
      <c r="J218" s="119"/>
      <c r="O218" s="119" t="str" cm="1">
        <f t="array" ref="O218:P223">_xlfn.CHOOSECOLS(MMS_Dairy_Methane_Equations.VEERG_4_3_1_1__2_MethaneFromManureProduction_Arguments_Method2(),1,2)</f>
        <v>VS_j</v>
      </c>
      <c r="P218" s="124" t="str">
        <v>daily volatile solids production per head for dairy cattle (kg/head/day)</v>
      </c>
      <c r="Q218" s="125"/>
      <c r="R218" s="119" t="str" cm="1">
        <f t="array" ref="R218:S223">_xlfn.CHOOSECOLS(MMS_Dairy_Methane_Equations.VEERG_4_3_1_1__2_MethaneFromManureProduction_Arguments_Method2(),3,4)</f>
        <v>kg/head/day</v>
      </c>
      <c r="S218" s="127" t="str">
        <v>Calculated from 4.3.1.1 (3)</v>
      </c>
      <c r="T218" s="119"/>
    </row>
    <row r="219" spans="1:23" ht="20.100000000000001" customHeight="1" x14ac:dyDescent="0.25">
      <c r="D219" s="119" t="str">
        <v>FVS_jmT1</v>
      </c>
      <c r="E219" s="124" t="str">
        <v>fraction of waste from each class in each management system</v>
      </c>
      <c r="F219" s="125"/>
      <c r="G219" s="119" t="str">
        <v>fraction</v>
      </c>
      <c r="H219" s="127" t="str">
        <v>Calculated from 4.3.1.1 (4)(5)</v>
      </c>
      <c r="I219" s="126" t="str" cm="1">
        <f t="array" aca="1" ref="I219" ca="1">HYPERLINK(Common_InputFunctions.Utility_SourceHyperlink($D$170),$D$170)</f>
        <v>M1_Table_FVS_j_m</v>
      </c>
      <c r="J219" s="126" t="str" cm="1">
        <f t="array" aca="1" ref="J219" ca="1">HYPERLINK(Common_InputFunctions.Utility_SourceHyperlink($D$202),$D$202)</f>
        <v>M1_Table_FVS_j_m-4</v>
      </c>
      <c r="O219" s="119" t="str">
        <v>FVS_jmT1</v>
      </c>
      <c r="P219" s="124" t="str">
        <v>fraction of waste from each class in each management system</v>
      </c>
      <c r="Q219" s="125"/>
      <c r="R219" s="119" t="str">
        <v>fraction</v>
      </c>
      <c r="S219" s="127" t="str">
        <v>Calculated from 4.3.1.1 (4)(5)</v>
      </c>
      <c r="T219" s="119"/>
    </row>
    <row r="220" spans="1:23" ht="20.100000000000001" customHeight="1" x14ac:dyDescent="0.25">
      <c r="D220" s="119" t="str">
        <v>MCF_im</v>
      </c>
      <c r="E220" s="124" t="str">
        <v>methane conversion factor for temperature zone and MMS</v>
      </c>
      <c r="F220" s="125"/>
      <c r="G220" s="119" t="str">
        <v>fraction</v>
      </c>
      <c r="H220" s="127" t="str">
        <v>Constant</v>
      </c>
      <c r="I220" s="126" t="str" cm="1">
        <f t="array" aca="1" ref="I220" ca="1">HYPERLINK(Common_InputFunctions.Utility_SourceHyperlink($D$225),$D$225)</f>
        <v>M1_Table_MCF_i_m</v>
      </c>
      <c r="J220" s="119"/>
      <c r="O220" s="119" t="str">
        <v>MCF_im</v>
      </c>
      <c r="P220" s="124" t="str">
        <v>methane conversion factor for temperature zone and MMS</v>
      </c>
      <c r="Q220" s="125"/>
      <c r="R220" s="119" t="str">
        <v>fraction</v>
      </c>
      <c r="S220" s="127" t="str">
        <v>Constant</v>
      </c>
      <c r="T220" s="126" t="str" cm="1">
        <f t="array" aca="1" ref="T220" ca="1">HYPERLINK(Common_InputFunctions.Utility_SourceHyperlink($O$225),$O$225)</f>
        <v>M2_Table_MCF_i_m</v>
      </c>
    </row>
    <row r="221" spans="1:23" ht="20.100000000000001" customHeight="1" x14ac:dyDescent="0.25">
      <c r="D221" s="119" t="str">
        <v>B_o</v>
      </c>
      <c r="E221" s="124" t="str">
        <v>emissions potential (m3 CH4/kgVS)</v>
      </c>
      <c r="F221" s="125"/>
      <c r="G221" s="119" t="str">
        <v>m3 CH4/kgVS</v>
      </c>
      <c r="H221" s="127" t="str">
        <v>Constant</v>
      </c>
      <c r="I221" s="119">
        <f>SourceData_Dairy_MethaneEmissionsPotential_Data</f>
        <v>0.24</v>
      </c>
      <c r="J221" s="119"/>
      <c r="O221" s="119" t="str">
        <v>B_o</v>
      </c>
      <c r="P221" s="124" t="str">
        <v>emissions potential (m3 CH4/kgVS)</v>
      </c>
      <c r="Q221" s="125"/>
      <c r="R221" s="119" t="str">
        <v>m3 CH4/kgVS</v>
      </c>
      <c r="S221" s="127" t="str">
        <v>Constant</v>
      </c>
      <c r="T221" s="119"/>
    </row>
    <row r="222" spans="1:23" ht="20.100000000000001" customHeight="1" x14ac:dyDescent="0.25">
      <c r="D222" s="119" t="str">
        <v>rho</v>
      </c>
      <c r="E222" s="124" t="str">
        <v>density of methane (kg/m3)</v>
      </c>
      <c r="F222" s="125"/>
      <c r="G222" s="119" t="str">
        <v>kg/m3</v>
      </c>
      <c r="H222" s="127" t="str">
        <v>Constant</v>
      </c>
      <c r="I222" s="119">
        <f>Common_SourceData_DensityOfMethane_Data</f>
        <v>0.6784</v>
      </c>
      <c r="J222" s="119"/>
      <c r="O222" s="119" t="str">
        <v>rho</v>
      </c>
      <c r="P222" s="124" t="str">
        <v>density of methane (kg/m3)</v>
      </c>
      <c r="Q222" s="125"/>
      <c r="R222" s="119" t="str">
        <v>kg/m3</v>
      </c>
      <c r="S222" s="127" t="str">
        <v>Constant</v>
      </c>
      <c r="T222" s="119"/>
    </row>
    <row r="223" spans="1:23" ht="20.100000000000001" customHeight="1" x14ac:dyDescent="0.25">
      <c r="D223" s="119" t="str">
        <v>i</v>
      </c>
      <c r="E223" s="124" t="str">
        <v>state</v>
      </c>
      <c r="F223" s="125"/>
      <c r="G223" s="119" t="str">
        <v>state</v>
      </c>
      <c r="H223" s="120" t="str">
        <v>Input</v>
      </c>
      <c r="I223" s="119" t="str">
        <f>Common_InputFunctions.Utility_LookupValueInTable(X_Cell_Site_State, Table_AustralianStates[Common Name],Table_AustralianStates[Abbreviation])</f>
        <v>WA</v>
      </c>
      <c r="J223" s="119"/>
      <c r="O223" s="119" t="str">
        <v>MAT</v>
      </c>
      <c r="P223" s="124" t="str">
        <v>Mean annual temperature</v>
      </c>
      <c r="Q223" s="125"/>
      <c r="R223" s="119" t="str">
        <v>°C</v>
      </c>
      <c r="S223" s="120" t="str">
        <v>Input</v>
      </c>
      <c r="T223" s="119">
        <f>X_Cell_Site_AverageTemperature</f>
        <v>18</v>
      </c>
    </row>
    <row r="224" spans="1:23" ht="20.100000000000001" customHeight="1" x14ac:dyDescent="0.25"/>
    <row r="225" spans="4:22" ht="20.100000000000001" customHeight="1" x14ac:dyDescent="0.25">
      <c r="D225" s="129" t="s">
        <v>444</v>
      </c>
      <c r="O225" s="129" t="s">
        <v>445</v>
      </c>
    </row>
    <row r="226" spans="4:22" ht="20.100000000000001" customHeight="1" x14ac:dyDescent="0.25">
      <c r="D226" s="130" t="s">
        <v>446</v>
      </c>
      <c r="O226" s="130" t="s">
        <v>447</v>
      </c>
    </row>
    <row r="227" spans="4:22" ht="20.100000000000001" customHeight="1" x14ac:dyDescent="0.25">
      <c r="D227" s="123" t="s">
        <v>427</v>
      </c>
      <c r="E227" s="123" t="s">
        <v>448</v>
      </c>
      <c r="O227" s="123" t="s">
        <v>427</v>
      </c>
      <c r="P227" s="123" t="s">
        <v>448</v>
      </c>
    </row>
    <row r="228" spans="4:22" ht="20.100000000000001" customHeight="1" x14ac:dyDescent="0.25">
      <c r="D228" s="131" t="str">
        <f>'Constants - Common Livestock'!$E$27</f>
        <v>Pasture range and paddock</v>
      </c>
      <c r="E228" s="15" cm="1">
        <f t="array" ref="E228">CommonLivestock_InputFunctions.Livestock_LookupMCFState(D228,Table_SourceData_Dairy_MCFjm[NIR reference],$I$223,Table_SourceData_Dairy_MCFjm[#Headers],Table_SourceData_Dairy_MCFjm[#Data])</f>
        <v>0.01</v>
      </c>
      <c r="O228" s="131" t="str">
        <f>'Constants - Common Livestock'!$E$27</f>
        <v>Pasture range and paddock</v>
      </c>
      <c r="P228" s="15" cm="1">
        <f t="array" ref="P228">CommonLivestock_InputFunctions.Livestock_LookupMCFState(O228,Table_SourceData_Dairy_MCFjm[NIR reference],$I$223,Table_SourceData_Dairy_MCFjm[#Headers],Table_SourceData_Dairy_MCFjm[#Data])</f>
        <v>0.01</v>
      </c>
      <c r="Q228" s="69" t="s">
        <v>449</v>
      </c>
      <c r="R228" s="69"/>
    </row>
    <row r="229" spans="4:22" ht="20.100000000000001" customHeight="1" x14ac:dyDescent="0.25">
      <c r="D229" s="131" t="str">
        <f>'Constants - Dairy'!$D$8</f>
        <v>Anaerobic lagoon</v>
      </c>
      <c r="E229" s="15" cm="1">
        <f t="array" ref="E229">CommonLivestock_InputFunctions.Livestock_LookupMCFState(D229,Table_SourceData_Dairy_MCFjm[NIR reference],$I$223,Table_SourceData_Dairy_MCFjm[#Headers],Table_SourceData_Dairy_MCFjm[#Data])</f>
        <v>0.76</v>
      </c>
      <c r="O229" s="131" t="str">
        <f>'Constants - Dairy'!$D$8</f>
        <v>Anaerobic lagoon</v>
      </c>
      <c r="P229" s="15">
        <f>Common_InputFunctions.Common_GetMCFTemperatureZone($T$223, O229,Table_SourceData_Common_MCFTemperatureZone[MAT raw],Table_SourceData_Common_MCFTemperatureZone[#Headers],Table_SourceData_Common_MCFTemperatureZone[#Data])</f>
        <v>0.77</v>
      </c>
    </row>
    <row r="230" spans="4:22" ht="20.100000000000001" customHeight="1" x14ac:dyDescent="0.25">
      <c r="D230" s="131" t="str">
        <f>'Constants - Dairy'!$D$9</f>
        <v>Sump and dispersal system</v>
      </c>
      <c r="E230" s="15" cm="1">
        <f t="array" ref="E230">CommonLivestock_InputFunctions.Livestock_LookupMCFState(D230,Table_SourceData_Dairy_MCFjm[NIR reference],$I$223,Table_SourceData_Dairy_MCFjm[#Headers],Table_SourceData_Dairy_MCFjm[#Data])</f>
        <v>5.0000000000000001E-3</v>
      </c>
      <c r="O230" s="131" t="str">
        <f>'Constants - Dairy'!$D$9</f>
        <v>Sump and dispersal system</v>
      </c>
      <c r="P230" s="15">
        <f>Common_InputFunctions.Common_GetMCFTemperatureZone($T$223, "Daily spread",Table_SourceData_Common_MCFTemperatureZone[MAT raw],Table_SourceData_Common_MCFTemperatureZone[#Headers],Table_SourceData_Common_MCFTemperatureZone[#Data])</f>
        <v>5.0000000000000001E-3</v>
      </c>
      <c r="Q230" s="69" t="s">
        <v>450</v>
      </c>
      <c r="R230" s="69"/>
    </row>
    <row r="231" spans="4:22" ht="20.100000000000001" customHeight="1" x14ac:dyDescent="0.25">
      <c r="D231" s="131" t="str">
        <f>'Constants - Dairy'!$D$10</f>
        <v>Drains to paddock</v>
      </c>
      <c r="E231" s="15" cm="1">
        <f t="array" ref="E231">CommonLivestock_InputFunctions.Livestock_LookupMCFState(D231,Table_SourceData_Dairy_MCFjm[NIR reference],$I$223,Table_SourceData_Dairy_MCFjm[#Headers],Table_SourceData_Dairy_MCFjm[#Data])</f>
        <v>0.18</v>
      </c>
      <c r="O231" s="131" t="str">
        <f>'Constants - Dairy'!$D$10</f>
        <v>Drains to paddock</v>
      </c>
      <c r="P231" s="15">
        <f>Common_InputFunctions.Common_GetMCFTemperatureZone($T$223, "Liquid systems",Table_SourceData_Common_MCFTemperatureZone[MAT raw],Table_SourceData_Common_MCFTemperatureZone[#Headers],Table_SourceData_Common_MCFTemperatureZone[#Data])</f>
        <v>0.22</v>
      </c>
      <c r="Q231" s="69" t="s">
        <v>451</v>
      </c>
      <c r="R231" s="69"/>
    </row>
    <row r="232" spans="4:22" ht="20.100000000000001" customHeight="1" x14ac:dyDescent="0.25">
      <c r="D232" s="131" t="str">
        <f>'Constants - Dairy'!$D$11</f>
        <v>Solid storage</v>
      </c>
      <c r="E232" s="15" cm="1">
        <f t="array" ref="E232">CommonLivestock_InputFunctions.Livestock_LookupMCFState(D232,Table_SourceData_Dairy_MCFjm[NIR reference],$I$223,Table_SourceData_Dairy_MCFjm[#Headers],Table_SourceData_Dairy_MCFjm[#Data])</f>
        <v>0.02</v>
      </c>
      <c r="O232" s="131" t="str">
        <f>'Constants - Dairy'!$D$11</f>
        <v>Solid storage</v>
      </c>
      <c r="P232" s="15">
        <f>Common_InputFunctions.Common_GetMCFTemperatureZone($T$223, O232,Table_SourceData_Common_MCFTemperatureZone[MAT raw],Table_SourceData_Common_MCFTemperatureZone[#Headers],Table_SourceData_Common_MCFTemperatureZone[#Data])</f>
        <v>0.02</v>
      </c>
    </row>
    <row r="233" spans="4:22" ht="20.100000000000001" customHeight="1" x14ac:dyDescent="0.25"/>
    <row r="234" spans="4:22" ht="20.100000000000001" customHeight="1" x14ac:dyDescent="0.25">
      <c r="D234" s="129" t="s">
        <v>452</v>
      </c>
      <c r="O234" s="129" t="s">
        <v>453</v>
      </c>
    </row>
    <row r="235" spans="4:22" ht="20.100000000000001" customHeight="1" x14ac:dyDescent="0.25">
      <c r="D235" s="130" t="s">
        <v>454</v>
      </c>
      <c r="O235" s="130" t="s">
        <v>455</v>
      </c>
    </row>
    <row r="236" spans="4:22" ht="20.100000000000001" customHeight="1" x14ac:dyDescent="0.25">
      <c r="D236" s="123" t="s">
        <v>159</v>
      </c>
      <c r="E236" s="123" t="s">
        <v>427</v>
      </c>
      <c r="F236" s="123" t="s">
        <v>334</v>
      </c>
      <c r="G236" s="123" t="s">
        <v>335</v>
      </c>
      <c r="H236" s="123" t="s">
        <v>336</v>
      </c>
      <c r="I236" s="123" t="s">
        <v>337</v>
      </c>
      <c r="J236" s="123" t="s">
        <v>338</v>
      </c>
      <c r="O236" s="123" t="s">
        <v>159</v>
      </c>
      <c r="P236" s="123" t="s">
        <v>427</v>
      </c>
      <c r="Q236" s="123" t="s">
        <v>334</v>
      </c>
      <c r="R236" s="123" t="s">
        <v>335</v>
      </c>
      <c r="S236" s="123" t="s">
        <v>336</v>
      </c>
      <c r="T236" s="123" t="s">
        <v>337</v>
      </c>
      <c r="U236" s="123" t="s">
        <v>338</v>
      </c>
    </row>
    <row r="237" spans="4:22" ht="20.100000000000001" customHeight="1" x14ac:dyDescent="0.25">
      <c r="D237" s="15" t="str">
        <f>INDEX(X_Table_Dairy_ProductionSystems_Method1,2,1)</f>
        <v>Pasture</v>
      </c>
      <c r="E237" s="15" t="str">
        <f>'Constants - Common Livestock'!$E$27</f>
        <v>Pasture range and paddock</v>
      </c>
      <c r="F237" s="15" cm="1">
        <f t="array" aca="1" ref="F237" ca="1">MMS_Dairy_Methane_Equations.VEERG_4_3_1_1__2_MethaneFromManureProduction(D$133,F173,_xlfn.XLOOKUP($E237,$D$228:$D$232,$E$228:$E$232),$I$221,$I$222)</f>
        <v>4.3689196218983364E-3</v>
      </c>
      <c r="G237" s="15" cm="1">
        <f t="array" aca="1" ref="G237" ca="1">MMS_Dairy_Methane_Equations.VEERG_4_3_1_1__2_MethaneFromManureProduction(E$133,G173,_xlfn.XLOOKUP($E237,$D$228:$D$232,$E$228:$E$232),$I$221,$I$222)</f>
        <v>1.7209245840165332E-3</v>
      </c>
      <c r="H237" s="15" cm="1">
        <f t="array" aca="1" ref="H237" ca="1">MMS_Dairy_Methane_Equations.VEERG_4_3_1_1__2_MethaneFromManureProduction(F$133,H173,_xlfn.XLOOKUP($E237,$D$228:$D$232,$E$228:$E$232),$I$221,$I$222)</f>
        <v>9.3323909012537774E-4</v>
      </c>
      <c r="I237" s="15" cm="1">
        <f t="array" aca="1" ref="I237" ca="1">MMS_Dairy_Methane_Equations.VEERG_4_3_1_1__2_MethaneFromManureProduction(G$133,I173,_xlfn.XLOOKUP($E237,$D$228:$D$232,$E$228:$E$232),$I$221,$I$222)</f>
        <v>2.0939609577804406E-3</v>
      </c>
      <c r="J237" s="15" cm="1">
        <f t="array" aca="1" ref="J237" ca="1">MMS_Dairy_Methane_Equations.VEERG_4_3_1_1__2_MethaneFromManureProduction(H$133,J173,_xlfn.XLOOKUP($E237,$D$228:$D$232,$E$228:$E$232),$I$221,$I$222)</f>
        <v>1.2559439850690533E-3</v>
      </c>
      <c r="K237" s="16" t="str">
        <f>$E$216</f>
        <v>kg CH4/head/day</v>
      </c>
      <c r="O237" s="15" t="str">
        <f>INDEX(X_Table_Dairy_ProductionSystems_Method1,2,1)</f>
        <v>Pasture</v>
      </c>
      <c r="P237" s="15" t="str">
        <f>'Constants - Common Livestock'!$E$27</f>
        <v>Pasture range and paddock</v>
      </c>
      <c r="Q237" s="15" cm="1">
        <f t="array" aca="1" ref="Q237" ca="1">MMS_Dairy_Methane_Equations.VEERG_4_3_1_1__2_MethaneFromManureProduction(O$133,Q173,_xlfn.XLOOKUP($P237,$O$228:$O$232,$P$228:$P$232),$I$221,$I$222)</f>
        <v>4.3689196218983364E-3</v>
      </c>
      <c r="R237" s="15" cm="1">
        <f t="array" aca="1" ref="R237" ca="1">MMS_Dairy_Methane_Equations.VEERG_4_3_1_1__2_MethaneFromManureProduction(P$133,R173,_xlfn.XLOOKUP($P237,$O$228:$O$232,$P$228:$P$232),$I$221,$I$222)</f>
        <v>1.7209245840165332E-3</v>
      </c>
      <c r="S237" s="15" cm="1">
        <f t="array" aca="1" ref="S237" ca="1">MMS_Dairy_Methane_Equations.VEERG_4_3_1_1__2_MethaneFromManureProduction(Q$133,S173,_xlfn.XLOOKUP($P237,$O$228:$O$232,$P$228:$P$232),$I$221,$I$222)</f>
        <v>9.3323909012537774E-4</v>
      </c>
      <c r="T237" s="15" cm="1">
        <f t="array" aca="1" ref="T237" ca="1">MMS_Dairy_Methane_Equations.VEERG_4_3_1_1__2_MethaneFromManureProduction(R$133,T173,_xlfn.XLOOKUP($P237,$O$228:$O$232,$P$228:$P$232),$I$221,$I$222)</f>
        <v>2.0939609577804406E-3</v>
      </c>
      <c r="U237" s="15" cm="1">
        <f t="array" aca="1" ref="U237" ca="1">MMS_Dairy_Methane_Equations.VEERG_4_3_1_1__2_MethaneFromManureProduction(S$133,U173,_xlfn.XLOOKUP($P237,$O$228:$O$232,$P$228:$P$232),$I$221,$I$222)</f>
        <v>1.2559439850690533E-3</v>
      </c>
      <c r="V237" s="16" t="str">
        <f>$E$216</f>
        <v>kg CH4/head/day</v>
      </c>
    </row>
    <row r="238" spans="4:22" ht="20.100000000000001" customHeight="1" x14ac:dyDescent="0.25">
      <c r="D238" s="15" t="str">
        <f>INDEX(X_Table_Dairy_ProductionSystems_Method1,3,1)</f>
        <v>Milking shed</v>
      </c>
      <c r="E238" s="15" t="str">
        <f>INDEX(X_Table_Dairy_Stage1MMS_1_AnaerobicLagoon,2,1)</f>
        <v>Anaerobic lagoon</v>
      </c>
      <c r="F238" s="15" cm="1">
        <f t="array" aca="1" ref="F238" ca="1">MMS_Dairy_Methane_Equations.VEERG_4_3_1_1__2_MethaneFromManureProduction(D$133,F174,_xlfn.XLOOKUP($E238,$D$228:$D$232,$E$228:$E$232),$I$221,$I$222)</f>
        <v>1.367946368504498E-2</v>
      </c>
      <c r="G238" s="15" cm="1">
        <f t="array" aca="1" ref="G238" ca="1">MMS_Dairy_Methane_Equations.VEERG_4_3_1_1__2_MethaneFromManureProduction(E$133,G174,_xlfn.XLOOKUP($E238,$D$228:$D$232,$E$228:$E$232),$I$221,$I$222)</f>
        <v>5.3883631169955861E-3</v>
      </c>
      <c r="H238" s="15" cm="1">
        <f t="array" aca="1" ref="H238" ca="1">MMS_Dairy_Methane_Equations.VEERG_4_3_1_1__2_MethaneFromManureProduction(F$133,H174,_xlfn.XLOOKUP($E238,$D$228:$D$232,$E$228:$E$232),$I$221,$I$222)</f>
        <v>2.922051982564853E-3</v>
      </c>
      <c r="I238" s="15" cm="1">
        <f t="array" aca="1" ref="I238" ca="1">MMS_Dairy_Methane_Equations.VEERG_4_3_1_1__2_MethaneFromManureProduction(G$133,I174,_xlfn.XLOOKUP($E238,$D$228:$D$232,$E$228:$E$232),$I$221,$I$222)</f>
        <v>6.556372137469845E-3</v>
      </c>
      <c r="J238" s="15" cm="1">
        <f t="array" aca="1" ref="J238" ca="1">MMS_Dairy_Methane_Equations.VEERG_4_3_1_1__2_MethaneFromManureProduction(H$133,J174,_xlfn.XLOOKUP($E238,$D$228:$D$232,$E$228:$E$232),$I$221,$I$222)</f>
        <v>3.9324688071825046E-3</v>
      </c>
      <c r="O238" s="15" t="str">
        <f>INDEX(X_Table_Dairy_ProductionSystems_Method1,3,1)</f>
        <v>Milking shed</v>
      </c>
      <c r="P238" s="15" t="str">
        <f>INDEX(X_Table_Dairy_Stage1MMS_1_AnaerobicLagoon,2,1)</f>
        <v>Anaerobic lagoon</v>
      </c>
      <c r="Q238" s="15" cm="1">
        <f t="array" aca="1" ref="Q238" ca="1">MMS_Dairy_Methane_Equations.VEERG_4_3_1_1__2_MethaneFromManureProduction(O$133,Q174,_xlfn.XLOOKUP($P238,$O$228:$O$232,$P$228:$P$232),$I$221,$I$222)</f>
        <v>1.3859456628269253E-2</v>
      </c>
      <c r="R238" s="15" cm="1">
        <f t="array" aca="1" ref="R238" ca="1">MMS_Dairy_Methane_Equations.VEERG_4_3_1_1__2_MethaneFromManureProduction(P$133,R174,_xlfn.XLOOKUP($P238,$O$228:$O$232,$P$228:$P$232),$I$221,$I$222)</f>
        <v>5.4592626316928971E-3</v>
      </c>
      <c r="S238" s="15" cm="1">
        <f t="array" aca="1" ref="S238" ca="1">MMS_Dairy_Methane_Equations.VEERG_4_3_1_1__2_MethaneFromManureProduction(Q$133,S174,_xlfn.XLOOKUP($P238,$O$228:$O$232,$P$228:$P$232),$I$221,$I$222)</f>
        <v>2.9605000349670215E-3</v>
      </c>
      <c r="T238" s="15" cm="1">
        <f t="array" aca="1" ref="T238" ca="1">MMS_Dairy_Methane_Equations.VEERG_4_3_1_1__2_MethaneFromManureProduction(R$133,T174,_xlfn.XLOOKUP($P238,$O$228:$O$232,$P$228:$P$232),$I$221,$I$222)</f>
        <v>6.6426401919102386E-3</v>
      </c>
      <c r="U238" s="15" cm="1">
        <f t="array" aca="1" ref="U238" ca="1">MMS_Dairy_Methane_Equations.VEERG_4_3_1_1__2_MethaneFromManureProduction(S$133,U174,_xlfn.XLOOKUP($P238,$O$228:$O$232,$P$228:$P$232),$I$221,$I$222)</f>
        <v>3.9842118178033264E-3</v>
      </c>
    </row>
    <row r="239" spans="4:22" ht="20.100000000000001" customHeight="1" x14ac:dyDescent="0.25">
      <c r="D239" s="15" t="str">
        <f>INDEX(X_Table_Dairy_ProductionSystems_Method1,3,1)</f>
        <v>Milking shed</v>
      </c>
      <c r="E239" s="15" t="str">
        <f>INDEX(X_Table_Dairy_Stage1MMS_1_SumpAndDispersal,2,1)</f>
        <v>Sump and dispersal system</v>
      </c>
      <c r="F239" s="15" cm="1">
        <f t="array" aca="1" ref="F239" ca="1">MMS_Dairy_Methane_Equations.VEERG_4_3_1_1__2_MethaneFromManureProduction(D$133,F175,_xlfn.XLOOKUP($E239,$D$228:$D$232,$E$228:$E$232),$I$221,$I$222)</f>
        <v>8.9996471612138024E-5</v>
      </c>
      <c r="G239" s="15" cm="1">
        <f t="array" aca="1" ref="G239" ca="1">MMS_Dairy_Methane_Equations.VEERG_4_3_1_1__2_MethaneFromManureProduction(E$133,G175,_xlfn.XLOOKUP($E239,$D$228:$D$232,$E$228:$E$232),$I$221,$I$222)</f>
        <v>3.5449757348655176E-5</v>
      </c>
      <c r="H239" s="15" cm="1">
        <f t="array" aca="1" ref="H239" ca="1">MMS_Dairy_Methane_Equations.VEERG_4_3_1_1__2_MethaneFromManureProduction(F$133,H175,_xlfn.XLOOKUP($E239,$D$228:$D$232,$E$228:$E$232),$I$221,$I$222)</f>
        <v>1.9224026201084556E-5</v>
      </c>
      <c r="I239" s="15" cm="1">
        <f t="array" aca="1" ref="I239" ca="1">MMS_Dairy_Methane_Equations.VEERG_4_3_1_1__2_MethaneFromManureProduction(G$133,I175,_xlfn.XLOOKUP($E239,$D$228:$D$232,$E$228:$E$232),$I$221,$I$222)</f>
        <v>4.313402722019635E-5</v>
      </c>
      <c r="J239" s="15" cm="1">
        <f t="array" aca="1" ref="J239" ca="1">MMS_Dairy_Methane_Equations.VEERG_4_3_1_1__2_MethaneFromManureProduction(H$133,J175,_xlfn.XLOOKUP($E239,$D$228:$D$232,$E$228:$E$232),$I$221,$I$222)</f>
        <v>2.587150531041121E-5</v>
      </c>
      <c r="K239" s="16"/>
      <c r="O239" s="15" t="str">
        <f>INDEX(X_Table_Dairy_ProductionSystems_Method1,3,1)</f>
        <v>Milking shed</v>
      </c>
      <c r="P239" s="15" t="str">
        <f>INDEX(X_Table_Dairy_Stage1MMS_1_SumpAndDispersal,2,1)</f>
        <v>Sump and dispersal system</v>
      </c>
      <c r="Q239" s="15" cm="1">
        <f t="array" aca="1" ref="Q239" ca="1">MMS_Dairy_Methane_Equations.VEERG_4_3_1_1__2_MethaneFromManureProduction(O$133,Q175,_xlfn.XLOOKUP($P239,$O$228:$O$232,$P$228:$P$232),$I$221,$I$222)</f>
        <v>8.9996471612138024E-5</v>
      </c>
      <c r="R239" s="15" cm="1">
        <f t="array" aca="1" ref="R239" ca="1">MMS_Dairy_Methane_Equations.VEERG_4_3_1_1__2_MethaneFromManureProduction(P$133,R175,_xlfn.XLOOKUP($P239,$O$228:$O$232,$P$228:$P$232),$I$221,$I$222)</f>
        <v>3.5449757348655176E-5</v>
      </c>
      <c r="S239" s="15" cm="1">
        <f t="array" aca="1" ref="S239" ca="1">MMS_Dairy_Methane_Equations.VEERG_4_3_1_1__2_MethaneFromManureProduction(Q$133,S175,_xlfn.XLOOKUP($P239,$O$228:$O$232,$P$228:$P$232),$I$221,$I$222)</f>
        <v>1.9224026201084556E-5</v>
      </c>
      <c r="T239" s="15" cm="1">
        <f t="array" aca="1" ref="T239" ca="1">MMS_Dairy_Methane_Equations.VEERG_4_3_1_1__2_MethaneFromManureProduction(R$133,T175,_xlfn.XLOOKUP($P239,$O$228:$O$232,$P$228:$P$232),$I$221,$I$222)</f>
        <v>4.313402722019635E-5</v>
      </c>
      <c r="U239" s="15" cm="1">
        <f t="array" aca="1" ref="U239" ca="1">MMS_Dairy_Methane_Equations.VEERG_4_3_1_1__2_MethaneFromManureProduction(S$133,U175,_xlfn.XLOOKUP($P239,$O$228:$O$232,$P$228:$P$232),$I$221,$I$222)</f>
        <v>2.587150531041121E-5</v>
      </c>
      <c r="V239" s="16"/>
    </row>
    <row r="240" spans="4:22" ht="20.100000000000001" customHeight="1" x14ac:dyDescent="0.25">
      <c r="D240" s="15" t="str">
        <f>INDEX(X_Table_Dairy_ProductionSystems_Method1,3,1)</f>
        <v>Milking shed</v>
      </c>
      <c r="E240" s="15" t="str">
        <f>INDEX(X_Table_Dairy_Stage1MMS_1_DrainsToPaddock,2,1)</f>
        <v>Drains to paddock</v>
      </c>
      <c r="F240" s="15" cm="1">
        <f t="array" aca="1" ref="F240" ca="1">MMS_Dairy_Methane_Equations.VEERG_4_3_1_1__2_MethaneFromManureProduction(D$133,F176,_xlfn.XLOOKUP($E240,$D$228:$D$232,$E$228:$E$232),$I$221,$I$222)</f>
        <v>3.2398729780369687E-3</v>
      </c>
      <c r="G240" s="15" cm="1">
        <f t="array" aca="1" ref="G240" ca="1">MMS_Dairy_Methane_Equations.VEERG_4_3_1_1__2_MethaneFromManureProduction(E$133,G176,_xlfn.XLOOKUP($E240,$D$228:$D$232,$E$228:$E$232),$I$221,$I$222)</f>
        <v>1.2761912645515865E-3</v>
      </c>
      <c r="H240" s="15" cm="1">
        <f t="array" aca="1" ref="H240" ca="1">MMS_Dairy_Methane_Equations.VEERG_4_3_1_1__2_MethaneFromManureProduction(F$133,H176,_xlfn.XLOOKUP($E240,$D$228:$D$232,$E$228:$E$232),$I$221,$I$222)</f>
        <v>6.9206494323904399E-4</v>
      </c>
      <c r="I240" s="15" cm="1">
        <f t="array" aca="1" ref="I240" ca="1">MMS_Dairy_Methane_Equations.VEERG_4_3_1_1__2_MethaneFromManureProduction(G$133,I176,_xlfn.XLOOKUP($E240,$D$228:$D$232,$E$228:$E$232),$I$221,$I$222)</f>
        <v>1.5528249799270685E-3</v>
      </c>
      <c r="J240" s="15" cm="1">
        <f t="array" aca="1" ref="J240" ca="1">MMS_Dairy_Methane_Equations.VEERG_4_3_1_1__2_MethaneFromManureProduction(H$133,J176,_xlfn.XLOOKUP($E240,$D$228:$D$232,$E$228:$E$232),$I$221,$I$222)</f>
        <v>9.3137419117480342E-4</v>
      </c>
      <c r="K240" s="16"/>
      <c r="O240" s="15" t="str">
        <f>INDEX(X_Table_Dairy_ProductionSystems_Method1,3,1)</f>
        <v>Milking shed</v>
      </c>
      <c r="P240" s="15" t="str">
        <f>INDEX(X_Table_Dairy_Stage1MMS_1_DrainsToPaddock,2,1)</f>
        <v>Drains to paddock</v>
      </c>
      <c r="Q240" s="15" cm="1">
        <f t="array" aca="1" ref="Q240" ca="1">MMS_Dairy_Methane_Equations.VEERG_4_3_1_1__2_MethaneFromManureProduction(O$133,Q176,_xlfn.XLOOKUP($P240,$O$228:$O$232,$P$228:$P$232),$I$221,$I$222)</f>
        <v>3.9598447509340724E-3</v>
      </c>
      <c r="R240" s="15" cm="1">
        <f t="array" aca="1" ref="R240" ca="1">MMS_Dairy_Methane_Equations.VEERG_4_3_1_1__2_MethaneFromManureProduction(P$133,R176,_xlfn.XLOOKUP($P240,$O$228:$O$232,$P$228:$P$232),$I$221,$I$222)</f>
        <v>1.5597893233408276E-3</v>
      </c>
      <c r="S240" s="15" cm="1">
        <f t="array" aca="1" ref="S240" ca="1">MMS_Dairy_Methane_Equations.VEERG_4_3_1_1__2_MethaneFromManureProduction(Q$133,S176,_xlfn.XLOOKUP($P240,$O$228:$O$232,$P$228:$P$232),$I$221,$I$222)</f>
        <v>8.4585715284772047E-4</v>
      </c>
      <c r="T240" s="15" cm="1">
        <f t="array" aca="1" ref="T240" ca="1">MMS_Dairy_Methane_Equations.VEERG_4_3_1_1__2_MethaneFromManureProduction(R$133,T176,_xlfn.XLOOKUP($P240,$O$228:$O$232,$P$228:$P$232),$I$221,$I$222)</f>
        <v>1.8978971976886393E-3</v>
      </c>
      <c r="U240" s="15" cm="1">
        <f t="array" aca="1" ref="U240" ca="1">MMS_Dairy_Methane_Equations.VEERG_4_3_1_1__2_MethaneFromManureProduction(S$133,U176,_xlfn.XLOOKUP($P240,$O$228:$O$232,$P$228:$P$232),$I$221,$I$222)</f>
        <v>1.1383462336580932E-3</v>
      </c>
      <c r="V240" s="16"/>
    </row>
    <row r="241" spans="3:23" ht="20.100000000000001" customHeight="1" x14ac:dyDescent="0.25">
      <c r="D241" s="15" t="str">
        <f>INDEX(X_Table_Dairy_ProductionSystems_Method1,3,1)</f>
        <v>Milking shed</v>
      </c>
      <c r="E241" s="15" t="s">
        <v>75</v>
      </c>
      <c r="F241" s="15" cm="1">
        <f t="array" aca="1" ref="F241" ca="1">MMS_Dairy_Methane_Equations.VEERG_4_3_1_1__2_MethaneFromManureProduction(D$133,F205,_xlfn.XLOOKUP($E241,$D$228:$D$232,$E$228:$E$232),$I$221,$I$222)</f>
        <v>7.1997177289710409E-4</v>
      </c>
      <c r="G241" s="15" cm="1">
        <f t="array" aca="1" ref="G241" ca="1">MMS_Dairy_Methane_Equations.VEERG_4_3_1_1__2_MethaneFromManureProduction(E$133,G205,_xlfn.XLOOKUP($E241,$D$228:$D$232,$E$228:$E$232),$I$221,$I$222)</f>
        <v>2.8359805878924141E-4</v>
      </c>
      <c r="H241" s="15" cm="1">
        <f t="array" aca="1" ref="H241" ca="1">MMS_Dairy_Methane_Equations.VEERG_4_3_1_1__2_MethaneFromManureProduction(F$133,H205,_xlfn.XLOOKUP($E241,$D$228:$D$232,$E$228:$E$232),$I$221,$I$222)</f>
        <v>1.5379220960867642E-4</v>
      </c>
      <c r="I241" s="15" cm="1">
        <f t="array" aca="1" ref="I241" ca="1">MMS_Dairy_Methane_Equations.VEERG_4_3_1_1__2_MethaneFromManureProduction(G$133,I205,_xlfn.XLOOKUP($E241,$D$228:$D$232,$E$228:$E$232),$I$221,$I$222)</f>
        <v>3.4507221776157069E-4</v>
      </c>
      <c r="J241" s="15" cm="1">
        <f t="array" aca="1" ref="J241" ca="1">MMS_Dairy_Methane_Equations.VEERG_4_3_1_1__2_MethaneFromManureProduction(H$133,J205,_xlfn.XLOOKUP($E241,$D$228:$D$232,$E$228:$E$232),$I$221,$I$222)</f>
        <v>2.0697204248328968E-4</v>
      </c>
      <c r="K241" s="16"/>
      <c r="O241" s="15" t="str">
        <f>INDEX(X_Table_Dairy_ProductionSystems_Method1,3,1)</f>
        <v>Milking shed</v>
      </c>
      <c r="P241" s="15" t="s">
        <v>75</v>
      </c>
      <c r="Q241" s="15" cm="1">
        <f t="array" aca="1" ref="Q241" ca="1">MMS_Dairy_Methane_Equations.VEERG_4_3_1_1__2_MethaneFromManureProduction(O$133,Q205,_xlfn.XLOOKUP($P241,$O$228:$O$232,$P$228:$P$232),$I$221,$I$222)</f>
        <v>7.1997177289710409E-4</v>
      </c>
      <c r="R241" s="15" cm="1">
        <f t="array" aca="1" ref="R241" ca="1">MMS_Dairy_Methane_Equations.VEERG_4_3_1_1__2_MethaneFromManureProduction(P$133,R205,_xlfn.XLOOKUP($P241,$O$228:$O$232,$P$228:$P$232),$I$221,$I$222)</f>
        <v>2.8359805878924141E-4</v>
      </c>
      <c r="S241" s="15" cm="1">
        <f t="array" aca="1" ref="S241" ca="1">MMS_Dairy_Methane_Equations.VEERG_4_3_1_1__2_MethaneFromManureProduction(Q$133,S205,_xlfn.XLOOKUP($P241,$O$228:$O$232,$P$228:$P$232),$I$221,$I$222)</f>
        <v>1.5379220960867642E-4</v>
      </c>
      <c r="T241" s="15" cm="1">
        <f t="array" aca="1" ref="T241" ca="1">MMS_Dairy_Methane_Equations.VEERG_4_3_1_1__2_MethaneFromManureProduction(R$133,T205,_xlfn.XLOOKUP($P241,$O$228:$O$232,$P$228:$P$232),$I$221,$I$222)</f>
        <v>3.4507221776157069E-4</v>
      </c>
      <c r="U241" s="15" cm="1">
        <f t="array" aca="1" ref="U241" ca="1">MMS_Dairy_Methane_Equations.VEERG_4_3_1_1__2_MethaneFromManureProduction(S$133,U205,_xlfn.XLOOKUP($P241,$O$228:$O$232,$P$228:$P$232),$I$221,$I$222)</f>
        <v>2.0697204248328968E-4</v>
      </c>
      <c r="V241" s="16"/>
    </row>
    <row r="242" spans="3:23" ht="20.100000000000001" customHeight="1" x14ac:dyDescent="0.25">
      <c r="D242" s="15" t="str">
        <f>INDEX(X_Table_Dairy_ProductionSystems_Method1,4,1)</f>
        <v>Feed pad</v>
      </c>
      <c r="E242" s="15" t="str">
        <f>INDEX(X_Table_Dairy_Stage1MMS_2_AnaerobicLagoon,2,1)</f>
        <v>Anaerobic lagoon</v>
      </c>
      <c r="F242" s="15" cm="1">
        <f t="array" aca="1" ref="F242" ca="1">MMS_Dairy_Methane_Equations.VEERG_4_3_1_1__2_MethaneFromManureProduction(D$133,F177,_xlfn.XLOOKUP($E242,$D$228:$D$232,$E$228:$E$232),$I$221,$I$222)</f>
        <v>5.5339648544045585E-2</v>
      </c>
      <c r="G242" s="15" cm="1">
        <f t="array" aca="1" ref="G242" ca="1">MMS_Dairy_Methane_Equations.VEERG_4_3_1_1__2_MethaneFromManureProduction(E$133,G177,_xlfn.XLOOKUP($E242,$D$228:$D$232,$E$228:$E$232),$I$221,$I$222)</f>
        <v>2.1798378064209416E-2</v>
      </c>
      <c r="H242" s="15" cm="1">
        <f t="array" aca="1" ref="H242" ca="1">MMS_Dairy_Methane_Equations.VEERG_4_3_1_1__2_MethaneFromManureProduction(F$133,H177,_xlfn.XLOOKUP($E242,$D$228:$D$232,$E$228:$E$232),$I$221,$I$222)</f>
        <v>1.1821028474921448E-2</v>
      </c>
      <c r="I242" s="15" cm="1">
        <f t="array" aca="1" ref="I242" ca="1">MMS_Dairy_Methane_Equations.VEERG_4_3_1_1__2_MethaneFromManureProduction(G$133,I177,_xlfn.XLOOKUP($E242,$D$228:$D$232,$E$228:$E$232),$I$221,$I$222)</f>
        <v>2.6523505465218911E-2</v>
      </c>
      <c r="J242" s="15" cm="1">
        <f t="array" aca="1" ref="J242" ca="1">MMS_Dairy_Methane_Equations.VEERG_4_3_1_1__2_MethaneFromManureProduction(H$133,J177,_xlfn.XLOOKUP($E242,$D$228:$D$232,$E$228:$E$232),$I$221,$I$222)</f>
        <v>1.5908623810874673E-2</v>
      </c>
      <c r="K242" s="16"/>
      <c r="O242" s="15" t="str">
        <f>INDEX(X_Table_Dairy_ProductionSystems_Method1,4,1)</f>
        <v>Feed pad</v>
      </c>
      <c r="P242" s="15" t="str">
        <f>INDEX(X_Table_Dairy_Stage1MMS_2_AnaerobicLagoon,2,1)</f>
        <v>Anaerobic lagoon</v>
      </c>
      <c r="Q242" s="15" cm="1">
        <f t="array" aca="1" ref="Q242" ca="1">MMS_Dairy_Methane_Equations.VEERG_4_3_1_1__2_MethaneFromManureProduction(O$133,Q177,_xlfn.XLOOKUP($P242,$O$228:$O$232,$P$228:$P$232),$I$221,$I$222)</f>
        <v>5.6067801814361974E-2</v>
      </c>
      <c r="R242" s="15" cm="1">
        <f t="array" aca="1" ref="R242" ca="1">MMS_Dairy_Methane_Equations.VEERG_4_3_1_1__2_MethaneFromManureProduction(P$133,R177,_xlfn.XLOOKUP($P242,$O$228:$O$232,$P$228:$P$232),$I$221,$I$222)</f>
        <v>2.2085198828212176E-2</v>
      </c>
      <c r="S242" s="15" cm="1">
        <f t="array" aca="1" ref="S242" ca="1">MMS_Dairy_Methane_Equations.VEERG_4_3_1_1__2_MethaneFromManureProduction(Q$133,S177,_xlfn.XLOOKUP($P242,$O$228:$O$232,$P$228:$P$232),$I$221,$I$222)</f>
        <v>1.197656832327568E-2</v>
      </c>
      <c r="T242" s="15" cm="1">
        <f t="array" aca="1" ref="T242" ca="1">MMS_Dairy_Methane_Equations.VEERG_4_3_1_1__2_MethaneFromManureProduction(R$133,T177,_xlfn.XLOOKUP($P242,$O$228:$O$232,$P$228:$P$232),$I$221,$I$222)</f>
        <v>2.687249895818232E-2</v>
      </c>
      <c r="U242" s="15" cm="1">
        <f t="array" aca="1" ref="U242" ca="1">MMS_Dairy_Methane_Equations.VEERG_4_3_1_1__2_MethaneFromManureProduction(S$133,U177,_xlfn.XLOOKUP($P242,$O$228:$O$232,$P$228:$P$232),$I$221,$I$222)</f>
        <v>1.6117947808386185E-2</v>
      </c>
      <c r="V242" s="16"/>
    </row>
    <row r="243" spans="3:23" ht="20.100000000000001" customHeight="1" x14ac:dyDescent="0.25">
      <c r="D243" s="15" t="str">
        <f>INDEX(X_Table_Dairy_ProductionSystems_Method1,4,1)</f>
        <v>Feed pad</v>
      </c>
      <c r="E243" s="15" t="str">
        <f>INDEX(X_Table_Dairy_Stage1MMS_2_SumpAndDispersal,2,1)</f>
        <v>Sump and dispersal system</v>
      </c>
      <c r="F243" s="15" cm="1">
        <f t="array" aca="1" ref="F243" ca="1">MMS_Dairy_Methane_Equations.VEERG_4_3_1_1__2_MethaneFromManureProduction(D$133,F178,_xlfn.XLOOKUP($E243,$D$228:$D$232,$E$228:$E$232),$I$221,$I$222)</f>
        <v>2.9126130812655575E-4</v>
      </c>
      <c r="G243" s="15" cm="1">
        <f t="array" aca="1" ref="G243" ca="1">MMS_Dairy_Methane_Equations.VEERG_4_3_1_1__2_MethaneFromManureProduction(E$133,G178,_xlfn.XLOOKUP($E243,$D$228:$D$232,$E$228:$E$232),$I$221,$I$222)</f>
        <v>1.1472830560110218E-4</v>
      </c>
      <c r="H243" s="15" cm="1">
        <f t="array" aca="1" ref="H243" ca="1">MMS_Dairy_Methane_Equations.VEERG_4_3_1_1__2_MethaneFromManureProduction(F$133,H178,_xlfn.XLOOKUP($E243,$D$228:$D$232,$E$228:$E$232),$I$221,$I$222)</f>
        <v>6.2215939341691832E-5</v>
      </c>
      <c r="I243" s="15" cm="1">
        <f t="array" aca="1" ref="I243" ca="1">MMS_Dairy_Methane_Equations.VEERG_4_3_1_1__2_MethaneFromManureProduction(G$133,I178,_xlfn.XLOOKUP($E243,$D$228:$D$232,$E$228:$E$232),$I$221,$I$222)</f>
        <v>1.3959739718536268E-4</v>
      </c>
      <c r="J243" s="15" cm="1">
        <f t="array" aca="1" ref="J243" ca="1">MMS_Dairy_Methane_Equations.VEERG_4_3_1_1__2_MethaneFromManureProduction(H$133,J178,_xlfn.XLOOKUP($E243,$D$228:$D$232,$E$228:$E$232),$I$221,$I$222)</f>
        <v>8.3729599004603552E-5</v>
      </c>
      <c r="K243" s="16"/>
      <c r="O243" s="15" t="str">
        <f>INDEX(X_Table_Dairy_ProductionSystems_Method1,4,1)</f>
        <v>Feed pad</v>
      </c>
      <c r="P243" s="15" t="str">
        <f>INDEX(X_Table_Dairy_Stage1MMS_2_SumpAndDispersal,2,1)</f>
        <v>Sump and dispersal system</v>
      </c>
      <c r="Q243" s="15" cm="1">
        <f t="array" aca="1" ref="Q243" ca="1">MMS_Dairy_Methane_Equations.VEERG_4_3_1_1__2_MethaneFromManureProduction(O$133,Q178,_xlfn.XLOOKUP($P243,$O$228:$O$232,$P$228:$P$232),$I$221,$I$222)</f>
        <v>2.9126130812655575E-4</v>
      </c>
      <c r="R243" s="15" cm="1">
        <f t="array" aca="1" ref="R243" ca="1">MMS_Dairy_Methane_Equations.VEERG_4_3_1_1__2_MethaneFromManureProduction(P$133,R178,_xlfn.XLOOKUP($P243,$O$228:$O$232,$P$228:$P$232),$I$221,$I$222)</f>
        <v>1.1472830560110218E-4</v>
      </c>
      <c r="S243" s="15" cm="1">
        <f t="array" aca="1" ref="S243" ca="1">MMS_Dairy_Methane_Equations.VEERG_4_3_1_1__2_MethaneFromManureProduction(Q$133,S178,_xlfn.XLOOKUP($P243,$O$228:$O$232,$P$228:$P$232),$I$221,$I$222)</f>
        <v>6.2215939341691832E-5</v>
      </c>
      <c r="T243" s="15" cm="1">
        <f t="array" aca="1" ref="T243" ca="1">MMS_Dairy_Methane_Equations.VEERG_4_3_1_1__2_MethaneFromManureProduction(R$133,T178,_xlfn.XLOOKUP($P243,$O$228:$O$232,$P$228:$P$232),$I$221,$I$222)</f>
        <v>1.3959739718536268E-4</v>
      </c>
      <c r="U243" s="15" cm="1">
        <f t="array" aca="1" ref="U243" ca="1">MMS_Dairy_Methane_Equations.VEERG_4_3_1_1__2_MethaneFromManureProduction(S$133,U178,_xlfn.XLOOKUP($P243,$O$228:$O$232,$P$228:$P$232),$I$221,$I$222)</f>
        <v>8.3729599004603552E-5</v>
      </c>
      <c r="V243" s="16"/>
    </row>
    <row r="244" spans="3:23" ht="20.100000000000001" customHeight="1" x14ac:dyDescent="0.25">
      <c r="D244" s="15" t="str">
        <f>INDEX(X_Table_Dairy_ProductionSystems_Method1,4,1)</f>
        <v>Feed pad</v>
      </c>
      <c r="E244" s="15" t="str">
        <f>INDEX(X_Table_Dairy_Stage1MMS_2_DrainsToPaddock,2,1)</f>
        <v>Drains to paddock</v>
      </c>
      <c r="F244" s="15" cm="1">
        <f t="array" aca="1" ref="F244" ca="1">MMS_Dairy_Methane_Equations.VEERG_4_3_1_1__2_MethaneFromManureProduction(D$133,F179,_xlfn.XLOOKUP($E244,$D$228:$D$232,$E$228:$E$232),$I$221,$I$222)</f>
        <v>1.0485407092556005E-2</v>
      </c>
      <c r="G244" s="15" cm="1">
        <f t="array" aca="1" ref="G244" ca="1">MMS_Dairy_Methane_Equations.VEERG_4_3_1_1__2_MethaneFromManureProduction(E$133,G179,_xlfn.XLOOKUP($E244,$D$228:$D$232,$E$228:$E$232),$I$221,$I$222)</f>
        <v>4.1302190016396789E-3</v>
      </c>
      <c r="H244" s="15" cm="1">
        <f t="array" aca="1" ref="H244" ca="1">MMS_Dairy_Methane_Equations.VEERG_4_3_1_1__2_MethaneFromManureProduction(F$133,H179,_xlfn.XLOOKUP($E244,$D$228:$D$232,$E$228:$E$232),$I$221,$I$222)</f>
        <v>2.2397738163009058E-3</v>
      </c>
      <c r="I244" s="15" cm="1">
        <f t="array" aca="1" ref="I244" ca="1">MMS_Dairy_Methane_Equations.VEERG_4_3_1_1__2_MethaneFromManureProduction(G$133,I179,_xlfn.XLOOKUP($E244,$D$228:$D$232,$E$228:$E$232),$I$221,$I$222)</f>
        <v>5.0255062986730567E-3</v>
      </c>
      <c r="J244" s="15" cm="1">
        <f t="array" aca="1" ref="J244" ca="1">MMS_Dairy_Methane_Equations.VEERG_4_3_1_1__2_MethaneFromManureProduction(H$133,J179,_xlfn.XLOOKUP($E244,$D$228:$D$232,$E$228:$E$232),$I$221,$I$222)</f>
        <v>3.0142655641657275E-3</v>
      </c>
      <c r="K244" s="16"/>
      <c r="O244" s="15" t="str">
        <f>INDEX(X_Table_Dairy_ProductionSystems_Method1,4,1)</f>
        <v>Feed pad</v>
      </c>
      <c r="P244" s="15" t="str">
        <f>INDEX(X_Table_Dairy_Stage1MMS_2_DrainsToPaddock,2,1)</f>
        <v>Drains to paddock</v>
      </c>
      <c r="Q244" s="15" cm="1">
        <f t="array" aca="1" ref="Q244" ca="1">MMS_Dairy_Methane_Equations.VEERG_4_3_1_1__2_MethaneFromManureProduction(O$133,Q179,_xlfn.XLOOKUP($P244,$O$228:$O$232,$P$228:$P$232),$I$221,$I$222)</f>
        <v>1.2815497557568452E-2</v>
      </c>
      <c r="R244" s="15" cm="1">
        <f t="array" aca="1" ref="R244" ca="1">MMS_Dairy_Methane_Equations.VEERG_4_3_1_1__2_MethaneFromManureProduction(P$133,R179,_xlfn.XLOOKUP($P244,$O$228:$O$232,$P$228:$P$232),$I$221,$I$222)</f>
        <v>5.0480454464484964E-3</v>
      </c>
      <c r="S244" s="15" cm="1">
        <f t="array" aca="1" ref="S244" ca="1">MMS_Dairy_Methane_Equations.VEERG_4_3_1_1__2_MethaneFromManureProduction(Q$133,S179,_xlfn.XLOOKUP($P244,$O$228:$O$232,$P$228:$P$232),$I$221,$I$222)</f>
        <v>2.7375013310344406E-3</v>
      </c>
      <c r="T244" s="15" cm="1">
        <f t="array" aca="1" ref="T244" ca="1">MMS_Dairy_Methane_Equations.VEERG_4_3_1_1__2_MethaneFromManureProduction(R$133,T179,_xlfn.XLOOKUP($P244,$O$228:$O$232,$P$228:$P$232),$I$221,$I$222)</f>
        <v>6.1422854761559592E-3</v>
      </c>
      <c r="U244" s="15" cm="1">
        <f t="array" aca="1" ref="U244" ca="1">MMS_Dairy_Methane_Equations.VEERG_4_3_1_1__2_MethaneFromManureProduction(S$133,U179,_xlfn.XLOOKUP($P244,$O$228:$O$232,$P$228:$P$232),$I$221,$I$222)</f>
        <v>3.684102356202556E-3</v>
      </c>
      <c r="V244" s="16"/>
    </row>
    <row r="245" spans="3:23" ht="20.100000000000001" customHeight="1" x14ac:dyDescent="0.25">
      <c r="D245" s="15" t="str">
        <f>INDEX(X_Table_Dairy_ProductionSystems_Method1,4,1)</f>
        <v>Feed pad</v>
      </c>
      <c r="E245" s="15" t="s">
        <v>75</v>
      </c>
      <c r="F245" s="15" cm="1">
        <f t="array" aca="1" ref="F245" ca="1">MMS_Dairy_Methane_Equations.VEERG_4_3_1_1__2_MethaneFromManureProduction(D$133,F206,_xlfn.XLOOKUP($E245,$D$228:$D$232,$E$228:$E$232),$I$221,$I$222)</f>
        <v>2.0388291568858899E-3</v>
      </c>
      <c r="G245" s="15" cm="1">
        <f t="array" aca="1" ref="G245" ca="1">MMS_Dairy_Methane_Equations.VEERG_4_3_1_1__2_MethaneFromManureProduction(E$133,G206,_xlfn.XLOOKUP($E245,$D$228:$D$232,$E$228:$E$232),$I$221,$I$222)</f>
        <v>8.0309813920771526E-4</v>
      </c>
      <c r="H245" s="15" cm="1">
        <f t="array" aca="1" ref="H245" ca="1">MMS_Dairy_Methane_Equations.VEERG_4_3_1_1__2_MethaneFromManureProduction(F$133,H206,_xlfn.XLOOKUP($E245,$D$228:$D$232,$E$228:$E$232),$I$221,$I$222)</f>
        <v>4.3551157539184287E-4</v>
      </c>
      <c r="I245" s="15" cm="1">
        <f t="array" aca="1" ref="I245" ca="1">MMS_Dairy_Methane_Equations.VEERG_4_3_1_1__2_MethaneFromManureProduction(G$133,I206,_xlfn.XLOOKUP($E245,$D$228:$D$232,$E$228:$E$232),$I$221,$I$222)</f>
        <v>9.7718178029753897E-4</v>
      </c>
      <c r="J245" s="15" cm="1">
        <f t="array" aca="1" ref="J245" ca="1">MMS_Dairy_Methane_Equations.VEERG_4_3_1_1__2_MethaneFromManureProduction(H$133,J206,_xlfn.XLOOKUP($E245,$D$228:$D$232,$E$228:$E$232),$I$221,$I$222)</f>
        <v>5.8610719303222485E-4</v>
      </c>
      <c r="K245" s="16"/>
      <c r="O245" s="15" t="str">
        <f>INDEX(X_Table_Dairy_ProductionSystems_Method1,4,1)</f>
        <v>Feed pad</v>
      </c>
      <c r="P245" s="15" t="s">
        <v>75</v>
      </c>
      <c r="Q245" s="15" cm="1">
        <f t="array" aca="1" ref="Q245" ca="1">MMS_Dairy_Methane_Equations.VEERG_4_3_1_1__2_MethaneFromManureProduction(O$133,Q206,_xlfn.XLOOKUP($P245,$O$228:$O$232,$P$228:$P$232),$I$221,$I$222)</f>
        <v>2.0388291568858899E-3</v>
      </c>
      <c r="R245" s="15" cm="1">
        <f t="array" aca="1" ref="R245" ca="1">MMS_Dairy_Methane_Equations.VEERG_4_3_1_1__2_MethaneFromManureProduction(P$133,R206,_xlfn.XLOOKUP($P245,$O$228:$O$232,$P$228:$P$232),$I$221,$I$222)</f>
        <v>8.0309813920771526E-4</v>
      </c>
      <c r="S245" s="15" cm="1">
        <f t="array" aca="1" ref="S245" ca="1">MMS_Dairy_Methane_Equations.VEERG_4_3_1_1__2_MethaneFromManureProduction(Q$133,S206,_xlfn.XLOOKUP($P245,$O$228:$O$232,$P$228:$P$232),$I$221,$I$222)</f>
        <v>4.3551157539184287E-4</v>
      </c>
      <c r="T245" s="15" cm="1">
        <f t="array" aca="1" ref="T245" ca="1">MMS_Dairy_Methane_Equations.VEERG_4_3_1_1__2_MethaneFromManureProduction(R$133,T206,_xlfn.XLOOKUP($P245,$O$228:$O$232,$P$228:$P$232),$I$221,$I$222)</f>
        <v>9.7718178029753897E-4</v>
      </c>
      <c r="U245" s="15" cm="1">
        <f t="array" aca="1" ref="U245" ca="1">MMS_Dairy_Methane_Equations.VEERG_4_3_1_1__2_MethaneFromManureProduction(S$133,U206,_xlfn.XLOOKUP($P245,$O$228:$O$232,$P$228:$P$232),$I$221,$I$222)</f>
        <v>5.8610719303222485E-4</v>
      </c>
      <c r="V245" s="16"/>
    </row>
    <row r="246" spans="3:23" ht="20.100000000000001" customHeight="1" x14ac:dyDescent="0.25"/>
    <row r="247" spans="3:23" ht="20.100000000000001" customHeight="1" x14ac:dyDescent="0.25"/>
    <row r="248" spans="3:23" ht="20.100000000000001" customHeight="1" x14ac:dyDescent="0.25">
      <c r="C248" s="88"/>
      <c r="D248" s="88"/>
      <c r="E248" s="88"/>
      <c r="F248" s="88"/>
      <c r="G248" s="88"/>
      <c r="H248" s="88"/>
      <c r="I248" s="88"/>
      <c r="J248" s="88"/>
      <c r="K248" s="88"/>
      <c r="L248" s="88"/>
      <c r="N248" s="88"/>
      <c r="O248" s="88"/>
      <c r="P248" s="88"/>
      <c r="Q248" s="88"/>
      <c r="R248" s="88"/>
      <c r="S248" s="88"/>
      <c r="T248" s="88"/>
      <c r="U248" s="88"/>
      <c r="V248" s="88"/>
      <c r="W248" s="88"/>
    </row>
    <row r="249" spans="3:23" ht="20.100000000000001" customHeight="1" x14ac:dyDescent="0.25">
      <c r="D249" s="2" t="str" cm="1">
        <f t="array" ref="D249">MMS_Dairy_Methane_Equations.VEERG_4_3_1_1__1_TotalAnnualMethaneFromManureManagement_Title()</f>
        <v>Total annual methane production from manure management</v>
      </c>
    </row>
    <row r="250" spans="3:23" ht="20.100000000000001" customHeight="1" x14ac:dyDescent="0.25">
      <c r="D250" s="17" t="str" cm="1">
        <f t="array" ref="D250">MMS_Dairy_Methane_Equations.VEERG_4_3_1_1__1_TotalAnnualMethaneFromManureManagement_Source()</f>
        <v>VEERG 2026: 4.3.1.1, Equation (1)</v>
      </c>
    </row>
    <row r="251" spans="3:23" ht="20.100000000000001" customHeight="1" x14ac:dyDescent="0.25">
      <c r="D251" s="25"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17" t="s">
        <v>382</v>
      </c>
      <c r="E252" s="117" t="str" cm="1">
        <f t="array" aca="1" ref="E252" ca="1">Common_InputFunctions.Utility_DisplayFunctionName($F$291)</f>
        <v>=MMS_Dairy_Methane_Equations.VEERG_4_3_1_1__1_TotalAnnualMethaneFromManureManagementVariation</v>
      </c>
    </row>
    <row r="253" spans="3:23" ht="20.100000000000001" customHeight="1" x14ac:dyDescent="0.25">
      <c r="D253" s="2"/>
    </row>
    <row r="254" spans="3:23" ht="20.100000000000001" customHeight="1" x14ac:dyDescent="0.25">
      <c r="D254" s="2"/>
    </row>
    <row r="255" spans="3:23" ht="20.100000000000001" customHeight="1" x14ac:dyDescent="0.25">
      <c r="D255" s="76" t="s">
        <v>383</v>
      </c>
      <c r="E255" s="1" t="str" cm="1">
        <f t="array" ref="E255">MMS_Dairy_Methane_Equations.VEERG_4_3_1_1__1_TotalAnnualMethaneFromManureManagement_Variable()</f>
        <v>E_CH4</v>
      </c>
    </row>
    <row r="256" spans="3:23" ht="20.100000000000001" customHeight="1" x14ac:dyDescent="0.25">
      <c r="D256" s="76" t="s">
        <v>118</v>
      </c>
      <c r="E256" s="9" t="str" cm="1">
        <f t="array" ref="E256">MMS_Dairy_Methane_Equations.VEERG_4_3_1_1__1_TotalAnnualMethaneFromManureManagement_Unit()</f>
        <v>t CH4</v>
      </c>
    </row>
    <row r="257" spans="4:15" ht="20.100000000000001" customHeight="1" x14ac:dyDescent="0.25"/>
    <row r="258" spans="4:15" ht="20.100000000000001" customHeight="1" x14ac:dyDescent="0.25">
      <c r="D258" s="119" t="str" cm="1">
        <f t="array" ref="D258:E265">_xlfn.CHOOSECOLS(MMS_Dairy_Methane_Equations.VEERG_4_3_1_1__1_TotalAnnualMethaneFromManureManagement_Arguments(),1,2)</f>
        <v>N_j124</v>
      </c>
      <c r="E258" s="124" t="str">
        <v>number of dairy cattle in classes j=1,2,4</v>
      </c>
      <c r="F258" s="132"/>
      <c r="G258" s="125"/>
      <c r="H258" s="119" t="str" cm="1">
        <f t="array" ref="H258:I265">_xlfn.CHOOSECOLS(MMS_Dairy_Methane_Equations.VEERG_4_3_1_1__1_TotalAnnualMethaneFromManureManagement_Arguments(),3,4)</f>
        <v>head</v>
      </c>
      <c r="I258" s="120" t="str">
        <v>Input</v>
      </c>
      <c r="J258" s="126" t="str" cm="1">
        <f t="array" aca="1" ref="J258" ca="1">HYPERLINK(Common_InputFunctions.Utility_SourceHyperlink($D$267),$D$267)</f>
        <v>Table_N_j</v>
      </c>
    </row>
    <row r="259" spans="4:15" ht="20.100000000000001" customHeight="1" x14ac:dyDescent="0.25">
      <c r="D259" s="119" t="str">
        <v>M_j124m</v>
      </c>
      <c r="E259" s="124" t="str">
        <v>methane production from manure of weaned dairy cattle in classes j=1,2,4 in MMS m</v>
      </c>
      <c r="F259" s="132"/>
      <c r="G259" s="125"/>
      <c r="H259" s="119" t="str">
        <v>kg CH4/head/day</v>
      </c>
      <c r="I259" s="127" t="str">
        <v>Calculated from 4.3.1.1 (2)</v>
      </c>
      <c r="J259" s="126" t="str" cm="1">
        <f t="array" aca="1" ref="J259" ca="1">HYPERLINK(Common_InputFunctions.Utility_SourceHyperlink($D$234),$D$234)</f>
        <v>M1_M_j_m</v>
      </c>
    </row>
    <row r="260" spans="4:15" ht="20.100000000000001" customHeight="1" x14ac:dyDescent="0.25">
      <c r="D260" s="119" t="str">
        <v>D_j124</v>
      </c>
      <c r="E260" s="124" t="str">
        <v>duration of stay on farm for classes j=1,2,4</v>
      </c>
      <c r="F260" s="132"/>
      <c r="G260" s="125"/>
      <c r="H260" s="119" t="str">
        <v>days</v>
      </c>
      <c r="I260" s="120" t="str">
        <v>Input</v>
      </c>
      <c r="J260" s="126" t="str" cm="1">
        <f t="array" aca="1" ref="J260" ca="1">HYPERLINK(Common_InputFunctions.Utility_SourceHyperlink($D$272),$D$272)</f>
        <v>M1_Table_D_j</v>
      </c>
    </row>
    <row r="261" spans="4:15" ht="20.100000000000001" customHeight="1" x14ac:dyDescent="0.25">
      <c r="D261" s="119" t="str">
        <v>N_j35</v>
      </c>
      <c r="E261" s="124" t="str">
        <v>number of dairy cattle in classes j=3,5</v>
      </c>
      <c r="F261" s="132"/>
      <c r="G261" s="125"/>
      <c r="H261" s="119" t="str">
        <v>head</v>
      </c>
      <c r="I261" s="120" t="str">
        <v>Input</v>
      </c>
      <c r="J261" s="126" t="str" cm="1">
        <f t="array" aca="1" ref="J261" ca="1">HYPERLINK(Common_InputFunctions.Utility_SourceHyperlink($D$267),$D$267)</f>
        <v>Table_N_j</v>
      </c>
    </row>
    <row r="262" spans="4:15" ht="20.100000000000001" customHeight="1" x14ac:dyDescent="0.25">
      <c r="D262" s="119" t="str">
        <v>M_j35m</v>
      </c>
      <c r="E262" s="124" t="str">
        <v>methane production from manure of weaned dairy cattle in classes j=3,5 in MMS m</v>
      </c>
      <c r="F262" s="132"/>
      <c r="G262" s="125"/>
      <c r="H262" s="119" t="str">
        <v>kg CH4/head/day</v>
      </c>
      <c r="I262" s="127" t="str">
        <v>Calculated from 4.3.1.1 (2)</v>
      </c>
      <c r="J262" s="126" t="str" cm="1">
        <f t="array" aca="1" ref="J262" ca="1">HYPERLINK(Common_InputFunctions.Utility_SourceHyperlink($D$234),$D$234)</f>
        <v>M1_M_j_m</v>
      </c>
    </row>
    <row r="263" spans="4:15" ht="20.100000000000001" customHeight="1" x14ac:dyDescent="0.25">
      <c r="D263" s="119" t="str">
        <v>D_j35</v>
      </c>
      <c r="E263" s="124" t="str">
        <v>duration of stay on farm for classes j=3,5</v>
      </c>
      <c r="F263" s="132"/>
      <c r="G263" s="125"/>
      <c r="H263" s="119" t="str">
        <v>days</v>
      </c>
      <c r="I263" s="120" t="str">
        <v>Input</v>
      </c>
      <c r="J263" s="126" t="str" cm="1">
        <f t="array" aca="1" ref="J263" ca="1">HYPERLINK(Common_InputFunctions.Utility_SourceHyperlink($D$272),$D$272)</f>
        <v>M1_Table_D_j</v>
      </c>
    </row>
    <row r="264" spans="4:15" ht="20.100000000000001" customHeight="1" x14ac:dyDescent="0.25">
      <c r="D264" s="119" t="str">
        <v>MPW_manure_j35</v>
      </c>
      <c r="E264" s="124" t="str">
        <v>methane production from manure of pre-weaned heifer and bull calves</v>
      </c>
      <c r="F264" s="132"/>
      <c r="G264" s="125"/>
      <c r="H264" s="119" t="str">
        <v>kg CH4/head/day</v>
      </c>
      <c r="I264" s="127" t="str">
        <v>Constant</v>
      </c>
      <c r="J264" s="126" t="str" cm="1">
        <f t="array" aca="1" ref="J264" ca="1">HYPERLINK(Common_InputFunctions.Utility_SourceHyperlink($D$277),$D$277)</f>
        <v>Table_MPW_manure_j-3-5</v>
      </c>
    </row>
    <row r="265" spans="4:15" ht="20.100000000000001" customHeight="1" x14ac:dyDescent="0.25">
      <c r="D265" s="119" t="str">
        <v>DPW_j35</v>
      </c>
      <c r="E265" s="124" t="str">
        <v>duration of stay on farm for pre-weaned heifer and bull calves</v>
      </c>
      <c r="F265" s="132"/>
      <c r="G265" s="125"/>
      <c r="H265" s="119" t="str">
        <v>days</v>
      </c>
      <c r="I265" s="120" t="str">
        <v>Input</v>
      </c>
      <c r="J265" s="126" t="str" cm="1">
        <f t="array" aca="1" ref="J265" ca="1">HYPERLINK(Common_InputFunctions.Utility_SourceHyperlink($D$282),$D$282)</f>
        <v>M1_Table_DPW_j</v>
      </c>
    </row>
    <row r="266" spans="4:15" ht="20.100000000000001" customHeight="1" x14ac:dyDescent="0.25"/>
    <row r="267" spans="4:15" ht="20.100000000000001" customHeight="1" x14ac:dyDescent="0.25">
      <c r="D267" s="121" t="s">
        <v>456</v>
      </c>
    </row>
    <row r="268" spans="4:15" ht="20.100000000000001" customHeight="1" x14ac:dyDescent="0.25">
      <c r="D268" s="122" t="s">
        <v>457</v>
      </c>
    </row>
    <row r="269" spans="4:15" ht="20.100000000000001" customHeight="1" x14ac:dyDescent="0.25">
      <c r="D269" s="81" t="s">
        <v>334</v>
      </c>
      <c r="E269" s="81" t="s">
        <v>335</v>
      </c>
      <c r="F269" s="81" t="s">
        <v>336</v>
      </c>
      <c r="G269" s="81" t="s">
        <v>337</v>
      </c>
      <c r="H269" s="81" t="s">
        <v>338</v>
      </c>
    </row>
    <row r="270" spans="4:15" ht="20.100000000000001" customHeight="1" x14ac:dyDescent="0.25">
      <c r="D270" s="133">
        <f>INDEX(X_Table_Dairy_HerdMovement,2,2)</f>
        <v>100</v>
      </c>
      <c r="E270" s="133">
        <f>INDEX(X_Table_Dairy_HerdMovement,2,3)</f>
        <v>100</v>
      </c>
      <c r="F270" s="133">
        <f>INDEX(X_Table_Dairy_HerdMovement,2,4)</f>
        <v>100</v>
      </c>
      <c r="G270" s="133">
        <f>INDEX(X_Table_Dairy_HerdMovement,2,5)</f>
        <v>100</v>
      </c>
      <c r="H270" s="133">
        <f>INDEX(X_Table_Dairy_HerdMovement,2,6)</f>
        <v>100</v>
      </c>
      <c r="I270" s="16" t="s">
        <v>458</v>
      </c>
    </row>
    <row r="271" spans="4:15" ht="20.100000000000001" customHeight="1" x14ac:dyDescent="0.25"/>
    <row r="272" spans="4:15" x14ac:dyDescent="0.25">
      <c r="D272" s="121" t="s">
        <v>459</v>
      </c>
      <c r="O272" s="121" t="s">
        <v>460</v>
      </c>
    </row>
    <row r="273" spans="1:20" x14ac:dyDescent="0.25">
      <c r="D273" s="122" t="s">
        <v>461</v>
      </c>
      <c r="O273" s="122" t="s">
        <v>462</v>
      </c>
    </row>
    <row r="274" spans="1:20" x14ac:dyDescent="0.25">
      <c r="D274" s="81" t="s">
        <v>334</v>
      </c>
      <c r="E274" s="81" t="s">
        <v>335</v>
      </c>
      <c r="F274" s="81" t="s">
        <v>336</v>
      </c>
      <c r="G274" s="81" t="s">
        <v>337</v>
      </c>
      <c r="H274" s="81" t="s">
        <v>338</v>
      </c>
      <c r="O274" s="81" t="s">
        <v>334</v>
      </c>
      <c r="P274" s="81" t="s">
        <v>335</v>
      </c>
      <c r="Q274" s="81" t="s">
        <v>336</v>
      </c>
      <c r="R274" s="81" t="s">
        <v>337</v>
      </c>
      <c r="S274" s="81" t="s">
        <v>338</v>
      </c>
    </row>
    <row r="275" spans="1:20" x14ac:dyDescent="0.25">
      <c r="A275" s="128" t="str">
        <f>HYPERLINK("#A1", "▲ Back to top")</f>
        <v>▲ Back to top</v>
      </c>
      <c r="D275" s="15">
        <f>INDEX(X_Table_Dairy_DurationOfStay_Method1,2,2)</f>
        <v>365</v>
      </c>
      <c r="E275" s="15">
        <f>INDEX(X_Table_Dairy_DurationOfStay_Method1,2,3)</f>
        <v>365</v>
      </c>
      <c r="F275" s="15">
        <f>INDEX(X_Table_Dairy_DurationOfStay_Method1,2,4)</f>
        <v>281</v>
      </c>
      <c r="G275" s="15">
        <f>INDEX(X_Table_Dairy_DurationOfStay_Method1,2,5)</f>
        <v>365</v>
      </c>
      <c r="H275" s="15">
        <f>INDEX(X_Table_Dairy_DurationOfStay_Method1,2,6)</f>
        <v>281</v>
      </c>
      <c r="I275" s="16" t="s">
        <v>112</v>
      </c>
      <c r="O275" s="15">
        <f>INDEX(X_Table_Dairy_DurationOfStay_Method2,2,2)</f>
        <v>365</v>
      </c>
      <c r="P275" s="15">
        <f>INDEX(X_Table_Dairy_DurationOfStay_Method2,2,3)</f>
        <v>365</v>
      </c>
      <c r="Q275" s="15">
        <f>INDEX(X_Table_Dairy_DurationOfStay_Method2,2,4)</f>
        <v>281</v>
      </c>
      <c r="R275" s="15">
        <f>INDEX(X_Table_Dairy_DurationOfStay_Method2,2,5)</f>
        <v>365</v>
      </c>
      <c r="S275" s="15">
        <f>INDEX(X_Table_Dairy_DurationOfStay_Method2,2,6)</f>
        <v>281</v>
      </c>
      <c r="T275" s="16" t="s">
        <v>112</v>
      </c>
    </row>
    <row r="277" spans="1:20" x14ac:dyDescent="0.25">
      <c r="D277" s="121" t="s">
        <v>463</v>
      </c>
    </row>
    <row r="278" spans="1:20" x14ac:dyDescent="0.25">
      <c r="D278" s="122" t="s">
        <v>464</v>
      </c>
    </row>
    <row r="279" spans="1:20" x14ac:dyDescent="0.25">
      <c r="D279" s="123" t="s">
        <v>334</v>
      </c>
      <c r="E279" s="123" t="s">
        <v>335</v>
      </c>
      <c r="F279" s="123" t="s">
        <v>336</v>
      </c>
      <c r="G279" s="123" t="s">
        <v>337</v>
      </c>
      <c r="H279" s="123" t="s">
        <v>338</v>
      </c>
    </row>
    <row r="280" spans="1:20" x14ac:dyDescent="0.25">
      <c r="D280" s="15">
        <v>0</v>
      </c>
      <c r="E280" s="15">
        <v>0</v>
      </c>
      <c r="F280" s="15">
        <f>'Constants - Dairy'!$E$63</f>
        <v>1.7600000000000001E-2</v>
      </c>
      <c r="G280" s="15">
        <v>0</v>
      </c>
      <c r="H280" s="15">
        <f>'Constants - Dairy'!$E$64</f>
        <v>2.0400000000000001E-2</v>
      </c>
      <c r="I280" s="16" t="s">
        <v>465</v>
      </c>
    </row>
    <row r="282" spans="1:20" x14ac:dyDescent="0.25">
      <c r="D282" s="121" t="s">
        <v>466</v>
      </c>
      <c r="O282" s="121" t="s">
        <v>466</v>
      </c>
    </row>
    <row r="283" spans="1:20" x14ac:dyDescent="0.25">
      <c r="D283" s="122" t="s">
        <v>467</v>
      </c>
      <c r="O283" s="122" t="s">
        <v>467</v>
      </c>
    </row>
    <row r="284" spans="1:20" x14ac:dyDescent="0.25">
      <c r="D284" s="123" t="s">
        <v>334</v>
      </c>
      <c r="E284" s="123" t="s">
        <v>335</v>
      </c>
      <c r="F284" s="123" t="s">
        <v>336</v>
      </c>
      <c r="G284" s="123" t="s">
        <v>337</v>
      </c>
      <c r="H284" s="123" t="s">
        <v>338</v>
      </c>
      <c r="O284" s="81" t="s">
        <v>334</v>
      </c>
      <c r="P284" s="81" t="s">
        <v>335</v>
      </c>
      <c r="Q284" s="81" t="s">
        <v>336</v>
      </c>
      <c r="R284" s="81" t="s">
        <v>337</v>
      </c>
      <c r="S284" s="81" t="s">
        <v>338</v>
      </c>
    </row>
    <row r="285" spans="1:20" x14ac:dyDescent="0.25">
      <c r="D285" s="15">
        <f>INDEX(X_Table_Dairy_DurationOfStay_Method1,3,2)</f>
        <v>0</v>
      </c>
      <c r="E285" s="15">
        <f>INDEX(X_Table_Dairy_DurationOfStay_Method1,3,3)</f>
        <v>0</v>
      </c>
      <c r="F285" s="15">
        <f>INDEX(X_Table_Dairy_DurationOfStay_Method1,3,4)</f>
        <v>84</v>
      </c>
      <c r="G285" s="15">
        <f>INDEX(X_Table_Dairy_DurationOfStay_Method1,3,5)</f>
        <v>0</v>
      </c>
      <c r="H285" s="15">
        <f>INDEX(X_Table_Dairy_DurationOfStay_Method1,3,6)</f>
        <v>84</v>
      </c>
      <c r="I285" s="16" t="s">
        <v>112</v>
      </c>
      <c r="O285" s="15">
        <f>INDEX(X_Table_Dairy_DurationOfStay_Method2,3,2)</f>
        <v>0</v>
      </c>
      <c r="P285" s="15">
        <f>INDEX(X_Table_Dairy_DurationOfStay_Method2,3,3)</f>
        <v>0</v>
      </c>
      <c r="Q285" s="15">
        <f>INDEX(X_Table_Dairy_DurationOfStay_Method2,3,4)</f>
        <v>84</v>
      </c>
      <c r="R285" s="15">
        <f>INDEX(X_Table_Dairy_DurationOfStay_Method2,3,5)</f>
        <v>0</v>
      </c>
      <c r="S285" s="15">
        <f>INDEX(X_Table_Dairy_DurationOfStay_Method2,3,6)</f>
        <v>84</v>
      </c>
      <c r="T285" s="16" t="s">
        <v>112</v>
      </c>
    </row>
    <row r="287" spans="1:20" x14ac:dyDescent="0.25">
      <c r="D287" s="121" t="s">
        <v>468</v>
      </c>
      <c r="O287" s="121" t="s">
        <v>468</v>
      </c>
    </row>
    <row r="288" spans="1:20" x14ac:dyDescent="0.25">
      <c r="D288" s="122" t="s">
        <v>469</v>
      </c>
      <c r="O288" s="122" t="s">
        <v>470</v>
      </c>
    </row>
    <row r="289" spans="4:21" x14ac:dyDescent="0.25">
      <c r="D289" s="123" t="s">
        <v>159</v>
      </c>
      <c r="E289" s="123" t="s">
        <v>427</v>
      </c>
      <c r="F289" s="123" t="s">
        <v>334</v>
      </c>
      <c r="G289" s="123" t="s">
        <v>335</v>
      </c>
      <c r="H289" s="123" t="s">
        <v>336</v>
      </c>
      <c r="I289" s="123" t="s">
        <v>337</v>
      </c>
      <c r="J289" s="123" t="s">
        <v>338</v>
      </c>
      <c r="O289" s="123" t="s">
        <v>159</v>
      </c>
      <c r="P289" s="123" t="s">
        <v>427</v>
      </c>
      <c r="Q289" s="123" t="s">
        <v>334</v>
      </c>
      <c r="R289" s="123" t="s">
        <v>335</v>
      </c>
      <c r="S289" s="123" t="s">
        <v>336</v>
      </c>
      <c r="T289" s="123" t="s">
        <v>337</v>
      </c>
      <c r="U289" s="123" t="s">
        <v>338</v>
      </c>
    </row>
    <row r="290" spans="4:21" x14ac:dyDescent="0.25">
      <c r="D290" s="15" t="str">
        <f>INDEX(X_Table_Dairy_ProductionSystems_Method1,2,1)</f>
        <v>Pasture</v>
      </c>
      <c r="E290" s="15" t="str">
        <f>'Constants - Common Livestock'!$E$27</f>
        <v>Pasture range and paddock</v>
      </c>
      <c r="F290" s="15" cm="1">
        <f t="array" aca="1" ref="F290" ca="1">MMS_Dairy_Methane_Equations.VEERG_4_3_1_1__1_TotalAnnualMethaneFromManureManagementVariation(D$270,F237,D$275,0,0,0,0,0)</f>
        <v>0.15946556619928928</v>
      </c>
      <c r="G290" s="15" cm="1">
        <f t="array" aca="1" ref="G290" ca="1">MMS_Dairy_Methane_Equations.VEERG_4_3_1_1__1_TotalAnnualMethaneFromManureManagementVariation(E$270,G237,E$275,0,0,0,0,0)</f>
        <v>6.2813747316603469E-2</v>
      </c>
      <c r="H290" s="15" cm="1">
        <f t="array" aca="1" ref="H290" ca="1">MMS_Dairy_Methane_Equations.VEERG_4_3_1_1__1_TotalAnnualMethaneFromManureManagementVariation(0,0,0,F$270,H237,F$275,F$280,F$285)</f>
        <v>0.17406401843252312</v>
      </c>
      <c r="I290" s="15" cm="1">
        <f t="array" aca="1" ref="I290" ca="1">MMS_Dairy_Methane_Equations.VEERG_4_3_1_1__1_TotalAnnualMethaneFromManureManagementVariation(G$270,I237,G$275,0,0,0,0,0)</f>
        <v>7.6429574958986099E-2</v>
      </c>
      <c r="J290" s="15" cm="1">
        <f t="array" aca="1" ref="J290" ca="1">MMS_Dairy_Methane_Equations.VEERG_4_3_1_1__1_TotalAnnualMethaneFromManureManagementVariation(0,0,0,H$270,J237,H$275,H$280,H$285)</f>
        <v>0.20665202598044041</v>
      </c>
      <c r="O290" s="15" t="str">
        <f>INDEX(X_Table_Dairy_ProductionSystems_Method1,2,1)</f>
        <v>Pasture</v>
      </c>
      <c r="P290" s="15" t="str">
        <f>'Constants - Common Livestock'!$E$27</f>
        <v>Pasture range and paddock</v>
      </c>
      <c r="Q290" s="15" cm="1">
        <f t="array" aca="1" ref="Q290" ca="1">MMS_Dairy_Methane_Equations.VEERG_4_3_1_1__1_TotalAnnualMethaneFromManureManagementVariation(D$270,Q237,O$275,0,0,0,0,0)</f>
        <v>0.15946556619928928</v>
      </c>
      <c r="R290" s="15" cm="1">
        <f t="array" aca="1" ref="R290" ca="1">MMS_Dairy_Methane_Equations.VEERG_4_3_1_1__1_TotalAnnualMethaneFromManureManagementVariation(E$270,R237,P$275,0,0,0,0,0)</f>
        <v>6.2813747316603469E-2</v>
      </c>
      <c r="S290" s="15" cm="1">
        <f t="array" aca="1" ref="S290" ca="1">MMS_Dairy_Methane_Equations.VEERG_4_3_1_1__1_TotalAnnualMethaneFromManureManagementVariation(0,0,0,F$270,S237,Q$275,F$280,Q$285)</f>
        <v>0.17406401843252312</v>
      </c>
      <c r="T290" s="15" cm="1">
        <f t="array" aca="1" ref="T290" ca="1">MMS_Dairy_Methane_Equations.VEERG_4_3_1_1__1_TotalAnnualMethaneFromManureManagementVariation(G$270,T237,R$275,0,0,0,0,0)</f>
        <v>7.6429574958986099E-2</v>
      </c>
      <c r="U290" s="15" cm="1">
        <f t="array" aca="1" ref="U290" ca="1">MMS_Dairy_Methane_Equations.VEERG_4_3_1_1__1_TotalAnnualMethaneFromManureManagementVariation(0,0,0,H$270,U237,S$275,H$280,S$285)</f>
        <v>0.20665202598044041</v>
      </c>
    </row>
    <row r="291" spans="4:21" x14ac:dyDescent="0.25">
      <c r="D291" s="15" t="str">
        <f>INDEX(X_Table_Dairy_ProductionSystems_Method1,3,1)</f>
        <v>Milking shed</v>
      </c>
      <c r="E291" s="15" t="str">
        <f>INDEX(X_Table_Dairy_Stage1MMS_1_AnaerobicLagoon,2,1)</f>
        <v>Anaerobic lagoon</v>
      </c>
      <c r="F291" s="15" cm="1">
        <f t="array" aca="1" ref="F291" ca="1">MMS_Dairy_Methane_Equations.VEERG_4_3_1_1__1_TotalAnnualMethaneFromManureManagementVariation(D$270,F238,D$275,0,0,0,0,0)</f>
        <v>0.49930042450414175</v>
      </c>
      <c r="G291" s="15" cm="1">
        <f t="array" aca="1" ref="G291" ca="1">MMS_Dairy_Methane_Equations.VEERG_4_3_1_1__1_TotalAnnualMethaneFromManureManagementVariation(E$270,G238,E$275,0,0,0,0,0)</f>
        <v>0.1966752537703389</v>
      </c>
      <c r="H291" s="15" cm="1">
        <f t="array" aca="1" ref="H291" ca="1">MMS_Dairy_Methane_Equations.VEERG_4_3_1_1__1_TotalAnnualMethaneFromManureManagementVariation(0,0,0,F$270,H238,F$275,F$280,F$285)</f>
        <v>0.22994966071007236</v>
      </c>
      <c r="I291" s="15" cm="1">
        <f t="array" aca="1" ref="I291" ca="1">MMS_Dairy_Methane_Equations.VEERG_4_3_1_1__1_TotalAnnualMethaneFromManureManagementVariation(G$270,I238,G$275,0,0,0,0,0)</f>
        <v>0.23930758301764934</v>
      </c>
      <c r="J291" s="15" cm="1">
        <f t="array" aca="1" ref="J291" ca="1">MMS_Dairy_Methane_Equations.VEERG_4_3_1_1__1_TotalAnnualMethaneFromManureManagementVariation(0,0,0,H$270,J238,H$275,H$280,H$285)</f>
        <v>0.28186237348182841</v>
      </c>
      <c r="O291" s="15" t="str">
        <f>INDEX(X_Table_Dairy_ProductionSystems_Method1,3,1)</f>
        <v>Milking shed</v>
      </c>
      <c r="P291" s="15" t="str">
        <f>INDEX(X_Table_Dairy_Stage1MMS_1_AnaerobicLagoon,2,1)</f>
        <v>Anaerobic lagoon</v>
      </c>
      <c r="Q291" s="15" cm="1">
        <f t="array" aca="1" ref="Q291" ca="1">MMS_Dairy_Methane_Equations.VEERG_4_3_1_1__1_TotalAnnualMethaneFromManureManagementVariation(D$270,Q238,O$275,0,0,0,0,0)</f>
        <v>0.50587016693182774</v>
      </c>
      <c r="R291" s="15" cm="1">
        <f t="array" aca="1" ref="R291" ca="1">MMS_Dairy_Methane_Equations.VEERG_4_3_1_1__1_TotalAnnualMethaneFromManureManagementVariation(E$270,R238,P$275,0,0,0,0,0)</f>
        <v>0.19926308605679074</v>
      </c>
      <c r="S291" s="15" cm="1">
        <f t="array" aca="1" ref="S291" ca="1">MMS_Dairy_Methane_Equations.VEERG_4_3_1_1__1_TotalAnnualMethaneFromManureManagementVariation(0,0,0,F$270,S238,Q$275,F$280,Q$285)</f>
        <v>0.23103005098257332</v>
      </c>
      <c r="T291" s="15" cm="1">
        <f t="array" aca="1" ref="T291" ca="1">MMS_Dairy_Methane_Equations.VEERG_4_3_1_1__1_TotalAnnualMethaneFromManureManagementVariation(G$270,T238,R$275,0,0,0,0,0)</f>
        <v>0.24245636700472373</v>
      </c>
      <c r="U291" s="15" cm="1">
        <f t="array" aca="1" ref="U291" ca="1">MMS_Dairy_Methane_Equations.VEERG_4_3_1_1__1_TotalAnnualMethaneFromManureManagementVariation(0,0,0,H$270,U238,S$275,H$280,S$285)</f>
        <v>0.2833163520802735</v>
      </c>
    </row>
    <row r="292" spans="4:21" x14ac:dyDescent="0.25">
      <c r="D292" s="15" t="str">
        <f>INDEX(X_Table_Dairy_ProductionSystems_Method1,3,1)</f>
        <v>Milking shed</v>
      </c>
      <c r="E292" s="15" t="str">
        <f>INDEX(X_Table_Dairy_Stage1MMS_1_SumpAndDispersal,2,1)</f>
        <v>Sump and dispersal system</v>
      </c>
      <c r="F292" s="15" cm="1">
        <f t="array" aca="1" ref="F292" ca="1">MMS_Dairy_Methane_Equations.VEERG_4_3_1_1__1_TotalAnnualMethaneFromManureManagementVariation(D$270,F239,D$275,0,0,0,0,0)</f>
        <v>3.2848712138430379E-3</v>
      </c>
      <c r="G292" s="15" cm="1">
        <f t="array" aca="1" ref="G292" ca="1">MMS_Dairy_Methane_Equations.VEERG_4_3_1_1__1_TotalAnnualMethaneFromManureManagementVariation(E$270,G239,E$275,0,0,0,0,0)</f>
        <v>1.293916143225914E-3</v>
      </c>
      <c r="H292" s="15" cm="1">
        <f t="array" aca="1" ref="H292" ca="1">MMS_Dairy_Methane_Equations.VEERG_4_3_1_1__1_TotalAnnualMethaneFromManureManagementVariation(0,0,0,F$270,H239,F$275,F$280,F$285)</f>
        <v>0.14838019513625048</v>
      </c>
      <c r="I292" s="15" cm="1">
        <f t="array" aca="1" ref="I292" ca="1">MMS_Dairy_Methane_Equations.VEERG_4_3_1_1__1_TotalAnnualMethaneFromManureManagementVariation(G$270,I239,G$275,0,0,0,0,0)</f>
        <v>1.5743919935371669E-3</v>
      </c>
      <c r="J292" s="15" cm="1">
        <f t="array" aca="1" ref="J292" ca="1">MMS_Dairy_Methane_Equations.VEERG_4_3_1_1__1_TotalAnnualMethaneFromManureManagementVariation(0,0,0,H$270,J239,H$275,H$280,H$285)</f>
        <v>0.17208698929922259</v>
      </c>
      <c r="O292" s="15" t="str">
        <f>INDEX(X_Table_Dairy_ProductionSystems_Method1,3,1)</f>
        <v>Milking shed</v>
      </c>
      <c r="P292" s="15" t="str">
        <f>INDEX(X_Table_Dairy_Stage1MMS_1_SumpAndDispersal,2,1)</f>
        <v>Sump and dispersal system</v>
      </c>
      <c r="Q292" s="15" cm="1">
        <f t="array" aca="1" ref="Q292" ca="1">MMS_Dairy_Methane_Equations.VEERG_4_3_1_1__1_TotalAnnualMethaneFromManureManagementVariation(D$270,Q239,O$275,0,0,0,0,0)</f>
        <v>3.2848712138430379E-3</v>
      </c>
      <c r="R292" s="15" cm="1">
        <f t="array" aca="1" ref="R292" ca="1">MMS_Dairy_Methane_Equations.VEERG_4_3_1_1__1_TotalAnnualMethaneFromManureManagementVariation(E$270,R239,P$275,0,0,0,0,0)</f>
        <v>1.293916143225914E-3</v>
      </c>
      <c r="S292" s="15" cm="1">
        <f t="array" aca="1" ref="S292" ca="1">MMS_Dairy_Methane_Equations.VEERG_4_3_1_1__1_TotalAnnualMethaneFromManureManagementVariation(0,0,0,F$270,S239,Q$275,F$280,Q$285)</f>
        <v>0.14838019513625048</v>
      </c>
      <c r="T292" s="15" cm="1">
        <f t="array" aca="1" ref="T292" ca="1">MMS_Dairy_Methane_Equations.VEERG_4_3_1_1__1_TotalAnnualMethaneFromManureManagementVariation(G$270,T239,R$275,0,0,0,0,0)</f>
        <v>1.5743919935371669E-3</v>
      </c>
      <c r="U292" s="15" cm="1">
        <f t="array" aca="1" ref="U292" ca="1">MMS_Dairy_Methane_Equations.VEERG_4_3_1_1__1_TotalAnnualMethaneFromManureManagementVariation(0,0,0,H$270,U239,S$275,H$280,S$285)</f>
        <v>0.17208698929922259</v>
      </c>
    </row>
    <row r="293" spans="4:21" x14ac:dyDescent="0.25">
      <c r="D293" s="15" t="str">
        <f>INDEX(X_Table_Dairy_ProductionSystems_Method1,3,1)</f>
        <v>Milking shed</v>
      </c>
      <c r="E293" s="15" t="str">
        <f>INDEX(X_Table_Dairy_Stage1MMS_1_DrainsToPaddock,2,1)</f>
        <v>Drains to paddock</v>
      </c>
      <c r="F293" s="15" cm="1">
        <f t="array" aca="1" ref="F293" ca="1">MMS_Dairy_Methane_Equations.VEERG_4_3_1_1__1_TotalAnnualMethaneFromManureManagementVariation(D$270,F240,D$275,0,0,0,0,0)</f>
        <v>0.11825536369834934</v>
      </c>
      <c r="G293" s="15" cm="1">
        <f t="array" aca="1" ref="G293" ca="1">MMS_Dairy_Methane_Equations.VEERG_4_3_1_1__1_TotalAnnualMethaneFromManureManagementVariation(E$270,G240,E$275,0,0,0,0,0)</f>
        <v>4.6580981156132899E-2</v>
      </c>
      <c r="H293" s="15" cm="1">
        <f t="array" aca="1" ref="H293" ca="1">MMS_Dairy_Methane_Equations.VEERG_4_3_1_1__1_TotalAnnualMethaneFromManureManagementVariation(0,0,0,F$270,H240,F$275,F$280,F$285)</f>
        <v>0.16728702490501715</v>
      </c>
      <c r="I293" s="15" cm="1">
        <f t="array" aca="1" ref="I293" ca="1">MMS_Dairy_Methane_Equations.VEERG_4_3_1_1__1_TotalAnnualMethaneFromManureManagementVariation(G$270,I240,G$275,0,0,0,0,0)</f>
        <v>5.6678111767338002E-2</v>
      </c>
      <c r="J293" s="15" cm="1">
        <f t="array" aca="1" ref="J293" ca="1">MMS_Dairy_Methane_Equations.VEERG_4_3_1_1__1_TotalAnnualMethaneFromManureManagementVariation(0,0,0,H$270,J240,H$275,H$280,H$285)</f>
        <v>0.197531614772012</v>
      </c>
      <c r="O293" s="15" t="str">
        <f>INDEX(X_Table_Dairy_ProductionSystems_Method1,3,1)</f>
        <v>Milking shed</v>
      </c>
      <c r="P293" s="15" t="str">
        <f>INDEX(X_Table_Dairy_Stage1MMS_1_DrainsToPaddock,2,1)</f>
        <v>Drains to paddock</v>
      </c>
      <c r="Q293" s="15" cm="1">
        <f t="array" aca="1" ref="Q293" ca="1">MMS_Dairy_Methane_Equations.VEERG_4_3_1_1__1_TotalAnnualMethaneFromManureManagementVariation(D$270,Q240,O$275,0,0,0,0,0)</f>
        <v>0.14453433340909366</v>
      </c>
      <c r="R293" s="15" cm="1">
        <f t="array" aca="1" ref="R293" ca="1">MMS_Dairy_Methane_Equations.VEERG_4_3_1_1__1_TotalAnnualMethaneFromManureManagementVariation(E$270,R240,P$275,0,0,0,0,0)</f>
        <v>5.6932310301940216E-2</v>
      </c>
      <c r="S293" s="15" cm="1">
        <f t="array" aca="1" ref="S293" ca="1">MMS_Dairy_Methane_Equations.VEERG_4_3_1_1__1_TotalAnnualMethaneFromManureManagementVariation(0,0,0,F$270,S240,Q$275,F$280,Q$285)</f>
        <v>0.17160858599502096</v>
      </c>
      <c r="T293" s="15" cm="1">
        <f t="array" aca="1" ref="T293" ca="1">MMS_Dairy_Methane_Equations.VEERG_4_3_1_1__1_TotalAnnualMethaneFromManureManagementVariation(G$270,T240,R$275,0,0,0,0,0)</f>
        <v>6.9273247715635339E-2</v>
      </c>
      <c r="U293" s="15" cm="1">
        <f t="array" aca="1" ref="U293" ca="1">MMS_Dairy_Methane_Equations.VEERG_4_3_1_1__1_TotalAnnualMethaneFromManureManagementVariation(0,0,0,H$270,U240,S$275,H$280,S$285)</f>
        <v>0.20334752916579243</v>
      </c>
    </row>
    <row r="294" spans="4:21" x14ac:dyDescent="0.25">
      <c r="D294" s="15" t="str">
        <f>INDEX(X_Table_Dairy_ProductionSystems_Method1,3,1)</f>
        <v>Milking shed</v>
      </c>
      <c r="E294" s="15" t="s">
        <v>75</v>
      </c>
      <c r="F294" s="15" cm="1">
        <f t="array" aca="1" ref="F294" ca="1">MMS_Dairy_Methane_Equations.VEERG_4_3_1_1__1_TotalAnnualMethaneFromManureManagementVariation(D$270,F241,D$275,0,0,0,0,0)</f>
        <v>2.6278969710744299E-2</v>
      </c>
      <c r="G294" s="15" cm="1">
        <f t="array" aca="1" ref="G294" ca="1">MMS_Dairy_Methane_Equations.VEERG_4_3_1_1__1_TotalAnnualMethaneFromManureManagementVariation(E$270,G241,E$275,0,0,0,0,0)</f>
        <v>1.0351329145807312E-2</v>
      </c>
      <c r="H294" s="15" cm="1">
        <f t="array" aca="1" ref="H294" ca="1">MMS_Dairy_Methane_Equations.VEERG_4_3_1_1__1_TotalAnnualMethaneFromManureManagementVariation(0,0,0,F$270,H241,F$275,F$280,F$285)</f>
        <v>0.15216156109000381</v>
      </c>
      <c r="I294" s="15" cm="1">
        <f t="array" aca="1" ref="I294" ca="1">MMS_Dairy_Methane_Equations.VEERG_4_3_1_1__1_TotalAnnualMethaneFromManureManagementVariation(G$270,I241,G$275,0,0,0,0,0)</f>
        <v>1.259513594829733E-2</v>
      </c>
      <c r="J294" s="15" cm="1">
        <f t="array" aca="1" ref="J294" ca="1">MMS_Dairy_Methane_Equations.VEERG_4_3_1_1__1_TotalAnnualMethaneFromManureManagementVariation(0,0,0,H$270,J241,H$275,H$280,H$285)</f>
        <v>0.17717591439378047</v>
      </c>
      <c r="O294" s="15" t="str">
        <f>INDEX(X_Table_Dairy_ProductionSystems_Method1,3,1)</f>
        <v>Milking shed</v>
      </c>
      <c r="P294" s="15" t="s">
        <v>75</v>
      </c>
      <c r="Q294" s="15" cm="1">
        <f t="array" aca="1" ref="Q294" ca="1">MMS_Dairy_Methane_Equations.VEERG_4_3_1_1__1_TotalAnnualMethaneFromManureManagementVariation(D$270,Q241,O$275,0,0,0,0,0)</f>
        <v>2.6278969710744299E-2</v>
      </c>
      <c r="R294" s="15" cm="1">
        <f t="array" aca="1" ref="R294" ca="1">MMS_Dairy_Methane_Equations.VEERG_4_3_1_1__1_TotalAnnualMethaneFromManureManagementVariation(E$270,R241,P$275,0,0,0,0,0)</f>
        <v>1.0351329145807312E-2</v>
      </c>
      <c r="S294" s="15" cm="1">
        <f t="array" aca="1" ref="S294" ca="1">MMS_Dairy_Methane_Equations.VEERG_4_3_1_1__1_TotalAnnualMethaneFromManureManagementVariation(0,0,0,F$270,S241,Q$275,F$280,Q$285)</f>
        <v>0.15216156109000381</v>
      </c>
      <c r="T294" s="15" cm="1">
        <f t="array" aca="1" ref="T294" ca="1">MMS_Dairy_Methane_Equations.VEERG_4_3_1_1__1_TotalAnnualMethaneFromManureManagementVariation(G$270,T241,R$275,0,0,0,0,0)</f>
        <v>1.259513594829733E-2</v>
      </c>
      <c r="U294" s="15" cm="1">
        <f t="array" aca="1" ref="U294" ca="1">MMS_Dairy_Methane_Equations.VEERG_4_3_1_1__1_TotalAnnualMethaneFromManureManagementVariation(0,0,0,H$270,U241,S$275,H$280,S$285)</f>
        <v>0.17717591439378047</v>
      </c>
    </row>
    <row r="295" spans="4:21" x14ac:dyDescent="0.25">
      <c r="D295" s="15" t="str">
        <f>INDEX(X_Table_Dairy_ProductionSystems_Method1,4,1)</f>
        <v>Feed pad</v>
      </c>
      <c r="E295" s="15" t="str">
        <f>INDEX(X_Table_Dairy_Stage1MMS_2_AnaerobicLagoon,2,1)</f>
        <v>Anaerobic lagoon</v>
      </c>
      <c r="F295" s="15" cm="1">
        <f t="array" aca="1" ref="F295" ca="1">MMS_Dairy_Methane_Equations.VEERG_4_3_1_1__1_TotalAnnualMethaneFromManureManagementVariation(D$270,F242,D$275,0,0,0,0,0)</f>
        <v>2.0198971718576639</v>
      </c>
      <c r="G295" s="15" cm="1">
        <f t="array" aca="1" ref="G295" ca="1">MMS_Dairy_Methane_Equations.VEERG_4_3_1_1__1_TotalAnnualMethaneFromManureManagementVariation(E$270,G242,E$275,0,0,0,0,0)</f>
        <v>0.79564079934364373</v>
      </c>
      <c r="H295" s="15" cm="1">
        <f t="array" aca="1" ref="H295" ca="1">MMS_Dairy_Methane_Equations.VEERG_4_3_1_1__1_TotalAnnualMethaneFromManureManagementVariation(0,0,0,F$270,H242,F$275,F$280,F$285)</f>
        <v>0.48001090014529268</v>
      </c>
      <c r="I295" s="15" cm="1">
        <f t="array" aca="1" ref="I295" ca="1">MMS_Dairy_Methane_Equations.VEERG_4_3_1_1__1_TotalAnnualMethaneFromManureManagementVariation(G$270,I242,G$275,0,0,0,0,0)</f>
        <v>0.96810794948049028</v>
      </c>
      <c r="J295" s="15" cm="1">
        <f t="array" aca="1" ref="J295" ca="1">MMS_Dairy_Methane_Equations.VEERG_4_3_1_1__1_TotalAnnualMethaneFromManureManagementVariation(0,0,0,H$270,J242,H$275,H$280,H$285)</f>
        <v>0.6183923290855784</v>
      </c>
      <c r="O295" s="15" t="str">
        <f>INDEX(X_Table_Dairy_ProductionSystems_Method1,4,1)</f>
        <v>Feed pad</v>
      </c>
      <c r="P295" s="15" t="str">
        <f>INDEX(X_Table_Dairy_Stage1MMS_2_AnaerobicLagoon,2,1)</f>
        <v>Anaerobic lagoon</v>
      </c>
      <c r="Q295" s="15" cm="1">
        <f t="array" aca="1" ref="Q295" ca="1">MMS_Dairy_Methane_Equations.VEERG_4_3_1_1__1_TotalAnnualMethaneFromManureManagementVariation(D$270,Q242,O$275,0,0,0,0,0)</f>
        <v>2.046474766224212</v>
      </c>
      <c r="R295" s="15" cm="1">
        <f t="array" aca="1" ref="R295" ca="1">MMS_Dairy_Methane_Equations.VEERG_4_3_1_1__1_TotalAnnualMethaneFromManureManagementVariation(E$270,R242,P$275,0,0,0,0,0)</f>
        <v>0.80610975722974443</v>
      </c>
      <c r="S295" s="15" cm="1">
        <f t="array" aca="1" ref="S295" ca="1">MMS_Dairy_Methane_Equations.VEERG_4_3_1_1__1_TotalAnnualMethaneFromManureManagementVariation(0,0,0,F$270,S242,Q$275,F$280,Q$285)</f>
        <v>0.48438156988404663</v>
      </c>
      <c r="T295" s="15" cm="1">
        <f t="array" aca="1" ref="T295" ca="1">MMS_Dairy_Methane_Equations.VEERG_4_3_1_1__1_TotalAnnualMethaneFromManureManagementVariation(G$270,T242,R$275,0,0,0,0,0)</f>
        <v>0.98084621197365474</v>
      </c>
      <c r="U295" s="15" cm="1">
        <f t="array" aca="1" ref="U295" ca="1">MMS_Dairy_Methane_Equations.VEERG_4_3_1_1__1_TotalAnnualMethaneFromManureManagementVariation(0,0,0,H$270,U242,S$275,H$280,S$285)</f>
        <v>0.62427433341565175</v>
      </c>
    </row>
    <row r="296" spans="4:21" x14ac:dyDescent="0.25">
      <c r="D296" s="15" t="str">
        <f>INDEX(X_Table_Dairy_ProductionSystems_Method1,4,1)</f>
        <v>Feed pad</v>
      </c>
      <c r="E296" s="15" t="str">
        <f>INDEX(X_Table_Dairy_Stage1MMS_2_SumpAndDispersal,2,1)</f>
        <v>Sump and dispersal system</v>
      </c>
      <c r="F296" s="15" cm="1">
        <f t="array" aca="1" ref="F296" ca="1">MMS_Dairy_Methane_Equations.VEERG_4_3_1_1__1_TotalAnnualMethaneFromManureManagementVariation(D$270,F243,D$275,0,0,0,0,0)</f>
        <v>1.0631037746619285E-2</v>
      </c>
      <c r="G296" s="15" cm="1">
        <f t="array" aca="1" ref="G296" ca="1">MMS_Dairy_Methane_Equations.VEERG_4_3_1_1__1_TotalAnnualMethaneFromManureManagementVariation(E$270,G243,E$275,0,0,0,0,0)</f>
        <v>4.1875831544402296E-3</v>
      </c>
      <c r="H296" s="15" cm="1">
        <f t="array" aca="1" ref="H296" ca="1">MMS_Dairy_Methane_Equations.VEERG_4_3_1_1__1_TotalAnnualMethaneFromManureManagementVariation(0,0,0,F$270,H243,F$275,F$280,F$285)</f>
        <v>0.14958826789550153</v>
      </c>
      <c r="I296" s="15" cm="1">
        <f t="array" aca="1" ref="I296" ca="1">MMS_Dairy_Methane_Equations.VEERG_4_3_1_1__1_TotalAnnualMethaneFromManureManagementVariation(G$270,I243,G$275,0,0,0,0,0)</f>
        <v>5.095304997265738E-3</v>
      </c>
      <c r="J296" s="15" cm="1">
        <f t="array" aca="1" ref="J296" ca="1">MMS_Dairy_Methane_Equations.VEERG_4_3_1_1__1_TotalAnnualMethaneFromManureManagementVariation(0,0,0,H$270,J243,H$275,H$280,H$285)</f>
        <v>0.17371280173202935</v>
      </c>
      <c r="O296" s="15" t="str">
        <f>INDEX(X_Table_Dairy_ProductionSystems_Method1,4,1)</f>
        <v>Feed pad</v>
      </c>
      <c r="P296" s="15" t="str">
        <f>INDEX(X_Table_Dairy_Stage1MMS_2_SumpAndDispersal,2,1)</f>
        <v>Sump and dispersal system</v>
      </c>
      <c r="Q296" s="15" cm="1">
        <f t="array" aca="1" ref="Q296" ca="1">MMS_Dairy_Methane_Equations.VEERG_4_3_1_1__1_TotalAnnualMethaneFromManureManagementVariation(D$270,Q243,O$275,0,0,0,0,0)</f>
        <v>1.0631037746619285E-2</v>
      </c>
      <c r="R296" s="15" cm="1">
        <f t="array" aca="1" ref="R296" ca="1">MMS_Dairy_Methane_Equations.VEERG_4_3_1_1__1_TotalAnnualMethaneFromManureManagementVariation(E$270,R243,P$275,0,0,0,0,0)</f>
        <v>4.1875831544402296E-3</v>
      </c>
      <c r="S296" s="15" cm="1">
        <f t="array" aca="1" ref="S296" ca="1">MMS_Dairy_Methane_Equations.VEERG_4_3_1_1__1_TotalAnnualMethaneFromManureManagementVariation(0,0,0,F$270,S243,Q$275,F$280,Q$285)</f>
        <v>0.14958826789550153</v>
      </c>
      <c r="T296" s="15" cm="1">
        <f t="array" aca="1" ref="T296" ca="1">MMS_Dairy_Methane_Equations.VEERG_4_3_1_1__1_TotalAnnualMethaneFromManureManagementVariation(G$270,T243,R$275,0,0,0,0,0)</f>
        <v>5.095304997265738E-3</v>
      </c>
      <c r="U296" s="15" cm="1">
        <f t="array" aca="1" ref="U296" ca="1">MMS_Dairy_Methane_Equations.VEERG_4_3_1_1__1_TotalAnnualMethaneFromManureManagementVariation(0,0,0,H$270,U243,S$275,H$280,S$285)</f>
        <v>0.17371280173202935</v>
      </c>
    </row>
    <row r="297" spans="4:21" x14ac:dyDescent="0.25">
      <c r="D297" s="15" t="str">
        <f>INDEX(X_Table_Dairy_ProductionSystems_Method1,4,1)</f>
        <v>Feed pad</v>
      </c>
      <c r="E297" s="15" t="str">
        <f>INDEX(X_Table_Dairy_Stage1MMS_2_DrainsToPaddock,2,1)</f>
        <v>Drains to paddock</v>
      </c>
      <c r="F297" s="15" cm="1">
        <f t="array" aca="1" ref="F297" ca="1">MMS_Dairy_Methane_Equations.VEERG_4_3_1_1__1_TotalAnnualMethaneFromManureManagementVariation(D$270,F244,D$275,0,0,0,0,0)</f>
        <v>0.38271735887829422</v>
      </c>
      <c r="G297" s="15" cm="1">
        <f t="array" aca="1" ref="G297" ca="1">MMS_Dairy_Methane_Equations.VEERG_4_3_1_1__1_TotalAnnualMethaneFromManureManagementVariation(E$270,G244,E$275,0,0,0,0,0)</f>
        <v>0.15075299355984828</v>
      </c>
      <c r="H297" s="15" cm="1">
        <f t="array" aca="1" ref="H297" ca="1">MMS_Dairy_Methane_Equations.VEERG_4_3_1_1__1_TotalAnnualMethaneFromManureManagementVariation(0,0,0,F$270,H244,F$275,F$280,F$285)</f>
        <v>0.21077764423805545</v>
      </c>
      <c r="I297" s="15" cm="1">
        <f t="array" aca="1" ref="I297" ca="1">MMS_Dairy_Methane_Equations.VEERG_4_3_1_1__1_TotalAnnualMethaneFromManureManagementVariation(G$270,I244,G$275,0,0,0,0,0)</f>
        <v>0.18343097990156659</v>
      </c>
      <c r="J297" s="15" cm="1">
        <f t="array" aca="1" ref="J297" ca="1">MMS_Dairy_Methane_Equations.VEERG_4_3_1_1__1_TotalAnnualMethaneFromManureManagementVariation(0,0,0,H$270,J244,H$275,H$280,H$285)</f>
        <v>0.25606086235305697</v>
      </c>
      <c r="O297" s="15" t="str">
        <f>INDEX(X_Table_Dairy_ProductionSystems_Method1,4,1)</f>
        <v>Feed pad</v>
      </c>
      <c r="P297" s="15" t="str">
        <f>INDEX(X_Table_Dairy_Stage1MMS_2_DrainsToPaddock,2,1)</f>
        <v>Drains to paddock</v>
      </c>
      <c r="Q297" s="15" cm="1">
        <f t="array" aca="1" ref="Q297" ca="1">MMS_Dairy_Methane_Equations.VEERG_4_3_1_1__1_TotalAnnualMethaneFromManureManagementVariation(D$270,Q244,O$275,0,0,0,0,0)</f>
        <v>0.46776566085124849</v>
      </c>
      <c r="R297" s="15" cm="1">
        <f t="array" aca="1" ref="R297" ca="1">MMS_Dairy_Methane_Equations.VEERG_4_3_1_1__1_TotalAnnualMethaneFromManureManagementVariation(E$270,R244,P$275,0,0,0,0,0)</f>
        <v>0.18425365879537009</v>
      </c>
      <c r="S297" s="15" cm="1">
        <f t="array" aca="1" ref="S297" ca="1">MMS_Dairy_Methane_Equations.VEERG_4_3_1_1__1_TotalAnnualMethaneFromManureManagementVariation(0,0,0,F$270,S244,Q$275,F$280,Q$285)</f>
        <v>0.22476378740206779</v>
      </c>
      <c r="T297" s="15" cm="1">
        <f t="array" aca="1" ref="T297" ca="1">MMS_Dairy_Methane_Equations.VEERG_4_3_1_1__1_TotalAnnualMethaneFromManureManagementVariation(G$270,T244,R$275,0,0,0,0,0)</f>
        <v>0.22419341987969252</v>
      </c>
      <c r="U297" s="15" cm="1">
        <f t="array" aca="1" ref="U297" ca="1">MMS_Dairy_Methane_Equations.VEERG_4_3_1_1__1_TotalAnnualMethaneFromManureManagementVariation(0,0,0,H$270,U244,S$275,H$280,S$285)</f>
        <v>0.27488327620929182</v>
      </c>
    </row>
    <row r="298" spans="4:21" x14ac:dyDescent="0.25">
      <c r="D298" s="15" t="str">
        <f>INDEX(X_Table_Dairy_ProductionSystems_Method1,4,1)</f>
        <v>Feed pad</v>
      </c>
      <c r="E298" s="15" t="s">
        <v>75</v>
      </c>
      <c r="F298" s="15" cm="1">
        <f t="array" aca="1" ref="F298" ca="1">MMS_Dairy_Methane_Equations.VEERG_4_3_1_1__1_TotalAnnualMethaneFromManureManagementVariation(D$270,F245,D$275,0,0,0,0,0)</f>
        <v>7.4417264226334975E-2</v>
      </c>
      <c r="G298" s="15" cm="1">
        <f t="array" aca="1" ref="G298" ca="1">MMS_Dairy_Methane_Equations.VEERG_4_3_1_1__1_TotalAnnualMethaneFromManureManagementVariation(E$270,G245,E$275,0,0,0,0,0)</f>
        <v>2.9313082081081607E-2</v>
      </c>
      <c r="H298" s="15" cm="1">
        <f t="array" aca="1" ref="H298" ca="1">MMS_Dairy_Methane_Equations.VEERG_4_3_1_1__1_TotalAnnualMethaneFromManureManagementVariation(0,0,0,F$270,H245,F$275,F$280,F$285)</f>
        <v>0.16007787526851078</v>
      </c>
      <c r="I298" s="15" cm="1">
        <f t="array" aca="1" ref="I298" ca="1">MMS_Dairy_Methane_Equations.VEERG_4_3_1_1__1_TotalAnnualMethaneFromManureManagementVariation(G$270,I245,G$275,0,0,0,0,0)</f>
        <v>3.5667134980860167E-2</v>
      </c>
      <c r="J298" s="15" cm="1">
        <f t="array" aca="1" ref="J298" ca="1">MMS_Dairy_Methane_Equations.VEERG_4_3_1_1__1_TotalAnnualMethaneFromManureManagementVariation(0,0,0,H$270,J245,H$275,H$280,H$285)</f>
        <v>0.18782961212420554</v>
      </c>
      <c r="O298" s="15" t="str">
        <f>INDEX(X_Table_Dairy_ProductionSystems_Method1,4,1)</f>
        <v>Feed pad</v>
      </c>
      <c r="P298" s="15" t="s">
        <v>75</v>
      </c>
      <c r="Q298" s="15" cm="1">
        <f t="array" aca="1" ref="Q298" ca="1">MMS_Dairy_Methane_Equations.VEERG_4_3_1_1__1_TotalAnnualMethaneFromManureManagementVariation(D$270,Q245,O$275,0,0,0,0,0)</f>
        <v>7.4417264226334975E-2</v>
      </c>
      <c r="R298" s="15" cm="1">
        <f t="array" aca="1" ref="R298" ca="1">MMS_Dairy_Methane_Equations.VEERG_4_3_1_1__1_TotalAnnualMethaneFromManureManagementVariation(E$270,R245,P$275,0,0,0,0,0)</f>
        <v>2.9313082081081607E-2</v>
      </c>
      <c r="S298" s="15" cm="1">
        <f t="array" aca="1" ref="S298" ca="1">MMS_Dairy_Methane_Equations.VEERG_4_3_1_1__1_TotalAnnualMethaneFromManureManagementVariation(0,0,0,F$270,S245,Q$275,F$280,Q$285)</f>
        <v>0.16007787526851078</v>
      </c>
      <c r="T298" s="15" cm="1">
        <f t="array" aca="1" ref="T298" ca="1">MMS_Dairy_Methane_Equations.VEERG_4_3_1_1__1_TotalAnnualMethaneFromManureManagementVariation(G$270,T245,R$275,0,0,0,0,0)</f>
        <v>3.5667134980860167E-2</v>
      </c>
      <c r="U298" s="15" cm="1">
        <f t="array" aca="1" ref="U298" ca="1">MMS_Dairy_Methane_Equations.VEERG_4_3_1_1__1_TotalAnnualMethaneFromManureManagementVariation(0,0,0,H$270,U245,S$275,H$280,S$285)</f>
        <v>0.18782961212420554</v>
      </c>
    </row>
    <row r="300" spans="4:21" ht="20.25" x14ac:dyDescent="0.25">
      <c r="D300" s="87" t="s">
        <v>471</v>
      </c>
      <c r="E300" s="90">
        <f ca="1">SUM(F290:J298)</f>
        <v>10.314345551795777</v>
      </c>
      <c r="F300" s="89" t="str">
        <f>$E$256</f>
        <v>t CH4</v>
      </c>
      <c r="O300" s="87" t="s">
        <v>472</v>
      </c>
      <c r="P300" s="90">
        <f ca="1">SUM(Q290:U298)</f>
        <v>10.64070664267806</v>
      </c>
      <c r="Q300" s="89" t="str">
        <f>$E$256</f>
        <v>t CH4</v>
      </c>
    </row>
    <row r="302" spans="4:21" x14ac:dyDescent="0.25">
      <c r="D302" s="131" t="str" cm="1">
        <f t="array" ref="D302:E303">Common_Equations.Common_ConvertCH4ToCO2e_Arguments()</f>
        <v>ECH4</v>
      </c>
      <c r="E302" s="134" t="str">
        <v>Methane emissions (t CH4)</v>
      </c>
      <c r="F302" s="135"/>
      <c r="G302" s="15">
        <f ca="1">VEERG_4_3_1_1__1_TotalAnnualMethaneFromManureManagement_Result_Method1</f>
        <v>10.314345551795777</v>
      </c>
      <c r="H302" s="16"/>
      <c r="O302" s="131" t="str" cm="1">
        <f t="array" ref="O302:P303">Common_Equations.Common_ConvertCH4ToCO2e_Arguments()</f>
        <v>ECH4</v>
      </c>
      <c r="P302" s="134" t="str">
        <v>Methane emissions (t CH4)</v>
      </c>
      <c r="Q302" s="135"/>
      <c r="R302" s="15">
        <f ca="1">VEERG_4_3_1_1__1_TotalAnnualMethaneFromManureManagement_Result_Method2</f>
        <v>10.64070664267806</v>
      </c>
      <c r="S302" s="16" t="s">
        <v>5</v>
      </c>
    </row>
    <row r="303" spans="4:21" x14ac:dyDescent="0.25">
      <c r="D303" s="131" t="str">
        <v>GWPCH4</v>
      </c>
      <c r="E303" s="134" t="str">
        <v>Global warming potential for methane (t CO2-e / t CH4)</v>
      </c>
      <c r="F303" s="135"/>
      <c r="G303" s="15">
        <f>Common_InputFunctions.Utility_LookupValueInTableNumber("CH4",Table_GWPData[Gas],Table_GWPData[CO2-e factor])</f>
        <v>28</v>
      </c>
      <c r="O303" s="131" t="str">
        <v>GWPCH4</v>
      </c>
      <c r="P303" s="134" t="str">
        <v>Global warming potential for methane (t CO2-e / t CH4)</v>
      </c>
      <c r="Q303" s="135"/>
      <c r="R303" s="15">
        <f>Common_InputFunctions.Utility_LookupValueInTableNumber("CH4",Table_GWPData[Gas],Table_GWPData[CO2-e factor])</f>
        <v>28</v>
      </c>
    </row>
    <row r="305" spans="4:17" ht="18.75" x14ac:dyDescent="0.25">
      <c r="D305" s="88" t="s">
        <v>473</v>
      </c>
      <c r="E305" s="88" cm="1">
        <f t="array" aca="1" ref="E305" ca="1">Common_Equations.Common_ConvertCH4ToCO2e(G302,G303)</f>
        <v>288.80167545028172</v>
      </c>
      <c r="F305" s="93" t="str" cm="1">
        <f t="array" ref="F305">Common_Equations.Common_ConvertN2OToCO2e_Unit()</f>
        <v>t CO2e</v>
      </c>
      <c r="O305" s="88" t="s">
        <v>474</v>
      </c>
      <c r="P305" s="88" cm="1">
        <f t="array" aca="1" ref="P305" ca="1">Common_Equations.Common_ConvertCH4ToCO2e(R302,R303)</f>
        <v>297.9397859949857</v>
      </c>
      <c r="Q305" s="93" t="str" cm="1">
        <f t="array" ref="Q305">Common_Equations.Common_ConvertN2OToCO2e_Unit()</f>
        <v>t CO2e</v>
      </c>
    </row>
  </sheetData>
  <dataValidations count="1">
    <dataValidation operator="equal" allowBlank="1" showInputMessage="1" showErrorMessage="1" sqref="F164:F168 P152 D187:F187 P90:R90 P294 E152 E163:F163 Q164:Q168 P163:Q163 P245 P241 F175:J179 P174:U174 Q175:U179 Q173:U173 E199 P205:U206 E174:J174 P199 P298 E241 E238 E294 E291 E245 P238 E298 P291 I146 E146:F146 F173:J173 Q162 E205:J206" xr:uid="{77255648-7898-4A33-A97F-2B2314D8E2F8}"/>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64E22-3BD4-4840-B439-A9741AF91410}">
  <sheetPr>
    <tabColor rgb="FF008000"/>
  </sheetPr>
  <dimension ref="A1:U292"/>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475</v>
      </c>
    </row>
    <row r="2" spans="1:21" s="3" customFormat="1" ht="20.100000000000001" customHeight="1" x14ac:dyDescent="0.25">
      <c r="A2"/>
    </row>
    <row r="3" spans="1:21" ht="20.100000000000001" customHeight="1" x14ac:dyDescent="0.25">
      <c r="A3" s="5" t="str">
        <f>HYPERLINK("#'Home'!A1", "Home")</f>
        <v>Home</v>
      </c>
      <c r="C3" s="22"/>
      <c r="D3" s="22" t="s">
        <v>129</v>
      </c>
      <c r="E3" s="22"/>
      <c r="F3" s="22"/>
      <c r="G3" s="22"/>
      <c r="H3" s="22"/>
      <c r="I3" s="22"/>
      <c r="J3" s="22"/>
      <c r="K3" s="22"/>
      <c r="M3" s="22"/>
      <c r="N3" s="22" t="s">
        <v>130</v>
      </c>
      <c r="O3" s="22"/>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MMS_Dairy_N2ODirect_Equations.VEERG_4_3_1_3__8_RelativeSize_Title()</f>
        <v>Relative size</v>
      </c>
    </row>
    <row r="6" spans="1:21" ht="20.100000000000001" customHeight="1" x14ac:dyDescent="0.25">
      <c r="A6" s="5" t="str">
        <f>HYPERLINK("#'Results'!A1", "Results")</f>
        <v>Results</v>
      </c>
      <c r="D6" s="17" t="str" cm="1">
        <f t="array" ref="D6">MMS_Dairy_N2ODirect_Equations.VEERG_4_3_1_3__8_RelativeSize_Source()</f>
        <v>VEERG 2026: 4.3.1.3, Equation (8)</v>
      </c>
    </row>
    <row r="7" spans="1:21" ht="20.100000000000001" customHeight="1" x14ac:dyDescent="0.25">
      <c r="D7" s="117" t="s">
        <v>382</v>
      </c>
      <c r="E7" s="117" t="str" cm="1">
        <f t="array" aca="1" ref="E7" ca="1">Common_InputFunctions.Utility_DisplayFunctionName(D29)</f>
        <v>=MMS_Dairy_N2ODirect_Equations.VEERG_4_3_1_3__8_RelativeSize</v>
      </c>
    </row>
    <row r="8" spans="1:21" ht="20.100000000000001" customHeight="1" x14ac:dyDescent="0.25"/>
    <row r="9" spans="1:21" ht="20.100000000000001" customHeight="1" x14ac:dyDescent="0.25">
      <c r="A9" s="7" t="s">
        <v>0</v>
      </c>
    </row>
    <row r="10" spans="1:21" ht="20.100000000000001" customHeight="1" x14ac:dyDescent="0.25">
      <c r="A10" s="5" t="str">
        <f>HYPERLINK("#'Input - Enterprise'!A1", "Enterprise")</f>
        <v>Enterprise</v>
      </c>
      <c r="D10" s="76" t="s">
        <v>383</v>
      </c>
      <c r="E10" s="1" t="str" cm="1">
        <f t="array" ref="E10">MMS_Dairy_N2ODirect_Equations.VEERG_4_3_1_3__8_RelativeSize_Variable()</f>
        <v>Z_j</v>
      </c>
    </row>
    <row r="11" spans="1:21" ht="20.100000000000001" customHeight="1" x14ac:dyDescent="0.25">
      <c r="A11" s="5" t="str">
        <f>HYPERLINK("#'Input - Site'!A1", "Site")</f>
        <v>Site</v>
      </c>
      <c r="D11" s="76" t="s">
        <v>118</v>
      </c>
      <c r="E11" s="9" t="str" cm="1">
        <f t="array" ref="E11">MMS_Dairy_N2ODirect_Equations.VEERG_4_3_1_3__8_RelativeSize_Unit()</f>
        <v>ratio</v>
      </c>
    </row>
    <row r="12" spans="1:21" ht="20.100000000000001" customHeight="1" x14ac:dyDescent="0.25">
      <c r="A12" s="5" t="str">
        <f>HYPERLINK("#'Input - Dairy'!A1", "Dairy")</f>
        <v>Dairy</v>
      </c>
    </row>
    <row r="13" spans="1:21" ht="20.100000000000001" customHeight="1" x14ac:dyDescent="0.25">
      <c r="A13" s="5" t="str">
        <f>HYPERLINK("#'Input - Livestock sales'!A1", "Livestock sales")</f>
        <v>Livestock sales</v>
      </c>
      <c r="D13" s="119" t="str" cm="1">
        <f t="array" ref="D13:E14">_xlfn.CHOOSECOLS(MMS_Dairy_N2ODirect_Equations.VEERG_4_3_1_3__8_RelativeSize_Arguments(),1,2)</f>
        <v>W_j</v>
      </c>
      <c r="E13" s="119" t="str">
        <v>liveweight</v>
      </c>
      <c r="F13" s="119" t="str" cm="1">
        <f t="array" ref="F13:G14">_xlfn.CHOOSECOLS(MMS_Dairy_N2ODirect_Equations.VEERG_4_3_1_3__8_RelativeSize_Arguments(),3,4)</f>
        <v>kg/head</v>
      </c>
      <c r="G13" s="120" t="str">
        <v>Input</v>
      </c>
      <c r="H13" s="126" t="str" cm="1">
        <f t="array" aca="1" ref="H13" ca="1">HYPERLINK(Common_InputFunctions.Utility_SourceHyperlink($D$16),$D$16)</f>
        <v>M1_Table_W_j</v>
      </c>
    </row>
    <row r="14" spans="1:21" ht="20.100000000000001" customHeight="1" x14ac:dyDescent="0.25">
      <c r="A14" s="5" t="str">
        <f>HYPERLINK("#'Input - Dairy cattle purchases'!A1", "Dairy cattle purchases")</f>
        <v>Dairy cattle purchases</v>
      </c>
      <c r="D14" s="119" t="str">
        <v>WR_j</v>
      </c>
      <c r="E14" s="119" t="str">
        <v>reference weight</v>
      </c>
      <c r="F14" s="119" t="str">
        <v>kg/head</v>
      </c>
      <c r="G14" s="127" t="str">
        <v>Constant</v>
      </c>
      <c r="H14" s="126" t="str" cm="1">
        <f t="array" aca="1" ref="H14" ca="1">HYPERLINK(Common_InputFunctions.Utility_SourceHyperlink($D$21),$D$21)</f>
        <v>Table_WR_j</v>
      </c>
    </row>
    <row r="15" spans="1:21" ht="20.100000000000001" customHeight="1" x14ac:dyDescent="0.25">
      <c r="A15" s="5" t="str">
        <f>HYPERLINK("#'Input - Pasture'!A1", "Pasture")</f>
        <v>Pasture</v>
      </c>
    </row>
    <row r="16" spans="1:21" ht="20.100000000000001" customHeight="1" x14ac:dyDescent="0.25">
      <c r="A16" s="5" t="str">
        <f>HYPERLINK("#'Input - Fert Prod System'!A1", "Fert Prod System")</f>
        <v>Fert Prod System</v>
      </c>
      <c r="D16" s="121" t="s">
        <v>405</v>
      </c>
      <c r="N16" s="121" t="s">
        <v>406</v>
      </c>
    </row>
    <row r="17" spans="1:21" ht="20.100000000000001" customHeight="1" x14ac:dyDescent="0.25">
      <c r="A17" s="5" t="str">
        <f>HYPERLINK("#'Input - Fertiliser'!A1", "Fertiliser")</f>
        <v>Fertiliser</v>
      </c>
      <c r="D17" s="122" t="s">
        <v>407</v>
      </c>
      <c r="N17" s="122" t="s">
        <v>408</v>
      </c>
    </row>
    <row r="18" spans="1:21" ht="20.100000000000001" customHeight="1" x14ac:dyDescent="0.25">
      <c r="A18" s="5" t="str">
        <f>HYPERLINK("#'Input - Fuel'!A1", "Fuel")</f>
        <v>Fuel</v>
      </c>
      <c r="D18" s="81" t="s">
        <v>334</v>
      </c>
      <c r="E18" s="81" t="s">
        <v>335</v>
      </c>
      <c r="F18" s="81" t="s">
        <v>336</v>
      </c>
      <c r="G18" s="81" t="s">
        <v>337</v>
      </c>
      <c r="H18" s="81" t="s">
        <v>338</v>
      </c>
      <c r="N18" s="81" t="s">
        <v>334</v>
      </c>
      <c r="O18" s="81" t="s">
        <v>335</v>
      </c>
      <c r="P18" s="81" t="s">
        <v>336</v>
      </c>
      <c r="Q18" s="81" t="s">
        <v>337</v>
      </c>
      <c r="R18" s="81" t="s">
        <v>338</v>
      </c>
    </row>
    <row r="19" spans="1:21" ht="20.100000000000001" customHeight="1" x14ac:dyDescent="0.25">
      <c r="A19" s="5" t="str">
        <f>HYPERLINK("#'Input - Electricity'!A1", "Electricity")</f>
        <v>Electricity</v>
      </c>
      <c r="D19" s="15">
        <f>INDEX(X_Table_Dairy_Liveweight_Method1,2,2)</f>
        <v>550</v>
      </c>
      <c r="E19" s="15">
        <f>INDEX(X_Table_Dairy_Liveweight_Method1,2,3)</f>
        <v>380</v>
      </c>
      <c r="F19" s="15">
        <f>INDEX(X_Table_Dairy_Liveweight_Method1,2,4)</f>
        <v>155</v>
      </c>
      <c r="G19" s="15">
        <f>INDEX(X_Table_Dairy_Liveweight_Method1,2,5)</f>
        <v>600</v>
      </c>
      <c r="H19" s="15">
        <f>INDEX(X_Table_Dairy_Liveweight_Method1,2,6)</f>
        <v>225</v>
      </c>
      <c r="I19" s="16" t="s">
        <v>343</v>
      </c>
      <c r="N19" s="15">
        <f>INDEX(X_Table_Dairy_Liveweight_Method2,2,2)</f>
        <v>550</v>
      </c>
      <c r="O19" s="15">
        <f>INDEX(X_Table_Dairy_Liveweight_Method2,2,3)</f>
        <v>380</v>
      </c>
      <c r="P19" s="15">
        <f>INDEX(X_Table_Dairy_Liveweight_Method2,2,4)</f>
        <v>155</v>
      </c>
      <c r="Q19" s="15">
        <f>INDEX(X_Table_Dairy_Liveweight_Method2,2,5)</f>
        <v>600</v>
      </c>
      <c r="R19" s="15">
        <f>INDEX(X_Table_Dairy_Liveweight_Method2,2,6)</f>
        <v>225</v>
      </c>
      <c r="S19" s="16" t="s">
        <v>343</v>
      </c>
    </row>
    <row r="20" spans="1:21" ht="20.100000000000001" customHeight="1" x14ac:dyDescent="0.25">
      <c r="A20" s="5" t="str">
        <f>HYPERLINK("#'Input - Common farm inputs'!A1", "Common farm inputs")</f>
        <v>Common farm inputs</v>
      </c>
    </row>
    <row r="21" spans="1:21" ht="20.100000000000001" customHeight="1" x14ac:dyDescent="0.25">
      <c r="A21" s="5" t="str">
        <f>HYPERLINK("#'Input - Crop pasture farm input'!A1", "Crop pasture farm input")</f>
        <v>Crop pasture farm input</v>
      </c>
      <c r="D21" s="121" t="s">
        <v>476</v>
      </c>
    </row>
    <row r="22" spans="1:21" ht="20.100000000000001" customHeight="1" x14ac:dyDescent="0.25">
      <c r="A22" s="5" t="str">
        <f>HYPERLINK("#'Input - Livestock farm Inputs'!A1", "Livestock farm Inputs")</f>
        <v>Livestock farm Inputs</v>
      </c>
      <c r="D22" s="122" t="s">
        <v>477</v>
      </c>
    </row>
    <row r="23" spans="1:21" ht="20.100000000000001" customHeight="1" x14ac:dyDescent="0.25">
      <c r="A23" s="5" t="str">
        <f>HYPERLINK("#'Input - Freight'!A1", "Freight")</f>
        <v>Freight</v>
      </c>
      <c r="D23" s="123" t="s">
        <v>334</v>
      </c>
      <c r="E23" s="123" t="s">
        <v>335</v>
      </c>
      <c r="F23" s="123" t="s">
        <v>336</v>
      </c>
      <c r="G23" s="123" t="s">
        <v>337</v>
      </c>
      <c r="H23" s="123" t="s">
        <v>338</v>
      </c>
    </row>
    <row r="24" spans="1:21" ht="20.100000000000001" customHeight="1" x14ac:dyDescent="0.25">
      <c r="A24" s="5" t="str">
        <f>HYPERLINK("#'Input - Solid waste'!A1", "Solid waste")</f>
        <v>Solid waste</v>
      </c>
      <c r="D24" s="15" cm="1">
        <f t="array" ref="D24">Table_SourceData_Dairy_WRj[Milking cows]</f>
        <v>590</v>
      </c>
      <c r="E24" s="15" cm="1">
        <f t="array" ref="E24">Table_SourceData_Dairy_WRj[Heifers &gt; 1]</f>
        <v>590</v>
      </c>
      <c r="F24" s="15" cm="1">
        <f t="array" ref="F24">Table_SourceData_Dairy_WRj[Heifers &lt; 1 (weaned)]</f>
        <v>590</v>
      </c>
      <c r="G24" s="15" cm="1">
        <f t="array" ref="G24">Table_SourceData_Dairy_WRj[Bulls &gt; 1]</f>
        <v>770</v>
      </c>
      <c r="H24" s="15" cm="1">
        <f t="array" ref="H24">Table_SourceData_Dairy_WRj[Bulls &lt; 1 (weaned)]</f>
        <v>770</v>
      </c>
      <c r="I24" s="16" t="s">
        <v>343</v>
      </c>
    </row>
    <row r="25" spans="1:21" ht="20.100000000000001" customHeight="1" x14ac:dyDescent="0.25">
      <c r="A25" s="5" t="str">
        <f>HYPERLINK("#'Input - Manure sent off-site'!A1", "Manure sent off-site")</f>
        <v>Manure sent off-site</v>
      </c>
    </row>
    <row r="26" spans="1:21" ht="20.100000000000001" customHeight="1" x14ac:dyDescent="0.25">
      <c r="A26" s="5" t="str">
        <f>HYPERLINK("#'Input - Refrigerants'!A1", "Refrigerants")</f>
        <v>Refrigerants</v>
      </c>
      <c r="D26" s="121" t="s">
        <v>478</v>
      </c>
      <c r="N26" s="121" t="s">
        <v>478</v>
      </c>
    </row>
    <row r="27" spans="1:21" ht="20.100000000000001" customHeight="1" x14ac:dyDescent="0.25">
      <c r="A27" s="5" t="str">
        <f>HYPERLINK("#'Input - Data quality'!A1", "Data quality")</f>
        <v>Data quality</v>
      </c>
      <c r="D27" s="122" t="s">
        <v>479</v>
      </c>
      <c r="N27" s="122" t="s">
        <v>480</v>
      </c>
    </row>
    <row r="28" spans="1:21" ht="20.100000000000001" customHeight="1" x14ac:dyDescent="0.25">
      <c r="D28" s="123" t="s">
        <v>334</v>
      </c>
      <c r="E28" s="123" t="s">
        <v>335</v>
      </c>
      <c r="F28" s="123" t="s">
        <v>336</v>
      </c>
      <c r="G28" s="123" t="s">
        <v>337</v>
      </c>
      <c r="H28" s="123" t="s">
        <v>338</v>
      </c>
      <c r="N28" s="123" t="s">
        <v>334</v>
      </c>
      <c r="O28" s="123" t="s">
        <v>335</v>
      </c>
      <c r="P28" s="123" t="s">
        <v>336</v>
      </c>
      <c r="Q28" s="123" t="s">
        <v>337</v>
      </c>
      <c r="R28" s="123" t="s">
        <v>338</v>
      </c>
    </row>
    <row r="29" spans="1:21" ht="20.100000000000001" customHeight="1" x14ac:dyDescent="0.25">
      <c r="D29" s="15" cm="1">
        <f t="array" ref="D29">MMS_Dairy_N2ODirect_Equations.VEERG_4_3_1_3__8_RelativeSize(D19,D24)</f>
        <v>0.93220338983050843</v>
      </c>
      <c r="E29" s="15" cm="1">
        <f t="array" ref="E29">MMS_Dairy_N2ODirect_Equations.VEERG_4_3_1_3__8_RelativeSize(E19,E24)</f>
        <v>0.64406779661016944</v>
      </c>
      <c r="F29" s="15" cm="1">
        <f t="array" ref="F29">MMS_Dairy_N2ODirect_Equations.VEERG_4_3_1_3__8_RelativeSize(F19,F24)</f>
        <v>0.26271186440677968</v>
      </c>
      <c r="G29" s="15" cm="1">
        <f t="array" ref="G29">MMS_Dairy_N2ODirect_Equations.VEERG_4_3_1_3__8_RelativeSize(G19,G24)</f>
        <v>0.77922077922077926</v>
      </c>
      <c r="H29" s="15" cm="1">
        <f t="array" ref="H29">MMS_Dairy_N2ODirect_Equations.VEERG_4_3_1_3__8_RelativeSize(H19,H24)</f>
        <v>0.29220779220779219</v>
      </c>
      <c r="I29" s="16" t="str">
        <f>$E$11</f>
        <v>ratio</v>
      </c>
      <c r="N29" s="15" cm="1">
        <f t="array" ref="N29">MMS_Dairy_N2ODirect_Equations.VEERG_4_3_1_3__8_RelativeSize(N19,D24)</f>
        <v>0.93220338983050843</v>
      </c>
      <c r="O29" s="15" cm="1">
        <f t="array" ref="O29">MMS_Dairy_N2ODirect_Equations.VEERG_4_3_1_3__8_RelativeSize(O19,E24)</f>
        <v>0.64406779661016944</v>
      </c>
      <c r="P29" s="15" cm="1">
        <f t="array" ref="P29">MMS_Dairy_N2ODirect_Equations.VEERG_4_3_1_3__8_RelativeSize(P19,F24)</f>
        <v>0.26271186440677968</v>
      </c>
      <c r="Q29" s="15" cm="1">
        <f t="array" ref="Q29">MMS_Dairy_N2ODirect_Equations.VEERG_4_3_1_3__8_RelativeSize(Q19,G24)</f>
        <v>0.77922077922077926</v>
      </c>
      <c r="R29" s="15" cm="1">
        <f t="array" ref="R29">MMS_Dairy_N2ODirect_Equations.VEERG_4_3_1_3__8_RelativeSize(R19,H24)</f>
        <v>0.29220779220779219</v>
      </c>
      <c r="S29" s="16" t="str">
        <f>$E$11</f>
        <v>ratio</v>
      </c>
    </row>
    <row r="30" spans="1:21" ht="20.100000000000001" customHeight="1" x14ac:dyDescent="0.25">
      <c r="A30" s="6" t="s">
        <v>2</v>
      </c>
    </row>
    <row r="31" spans="1:21" ht="20.100000000000001" customHeight="1" x14ac:dyDescent="0.25">
      <c r="A31" s="5" t="str">
        <f>HYPERLINK("#'3.3.1.1-2 Enteric Methane'!A1", "3.3.1.1-2 Enteric methane")</f>
        <v>3.3.1.1-2 Enteric methane</v>
      </c>
    </row>
    <row r="32" spans="1:21" ht="20.100000000000001" customHeight="1" x14ac:dyDescent="0.25">
      <c r="A32" s="5" t="str">
        <f>HYPERLINK("#'4.3.1.1-2 Methane'!A1", "4.3.1.1-2 Manure methane")</f>
        <v>4.3.1.1-2 Manure methane</v>
      </c>
      <c r="C32" s="88"/>
      <c r="D32" s="88"/>
      <c r="E32" s="88"/>
      <c r="F32" s="88"/>
      <c r="G32" s="88"/>
      <c r="H32" s="88"/>
      <c r="I32" s="88"/>
      <c r="J32" s="88"/>
      <c r="K32" s="88"/>
      <c r="M32" s="88"/>
      <c r="N32" s="88"/>
      <c r="O32" s="88"/>
      <c r="P32" s="88"/>
      <c r="Q32" s="88"/>
      <c r="R32" s="88"/>
      <c r="S32" s="88"/>
      <c r="T32" s="88"/>
      <c r="U32" s="88"/>
    </row>
    <row r="33" spans="1:14" ht="20.100000000000001" customHeight="1" x14ac:dyDescent="0.25">
      <c r="A33" s="118" t="str">
        <f>HYPERLINK("#'4.3.1.3-4 Direct N20'!A1", "4.3.1.3-4 Direct N20")</f>
        <v>4.3.1.3-4 Direct N20</v>
      </c>
      <c r="D33" s="2" t="str" cm="1">
        <f t="array" ref="D33">MMS_Dairy_N2ODirect_Equations.VEERG_4_3_1_3__7_IntakeRelativeToMaintenance_Title()</f>
        <v>Intake relative to maintenance</v>
      </c>
    </row>
    <row r="34" spans="1:14" ht="20.100000000000001" customHeight="1" x14ac:dyDescent="0.25">
      <c r="A34" s="5" t="str">
        <f>HYPERLINK("#'4.3.1.5 Atmos deposition'!A1", "4.3.1.5 Atmos deposition")</f>
        <v>4.3.1.5 Atmos deposition</v>
      </c>
      <c r="D34" s="17" t="str" cm="1">
        <f t="array" ref="D34">MMS_Dairy_N2ODirect_Equations.VEERG_4_3_1_3__7_IntakeRelativeToMaintenance_Source()</f>
        <v>VEERG 2026: 4.3.1.3, Equation (7)</v>
      </c>
    </row>
    <row r="35" spans="1:14" ht="20.100000000000001" customHeight="1" x14ac:dyDescent="0.25">
      <c r="A35" s="5" t="str">
        <f>HYPERLINK("#'4.3.1.6-7 Leaching and runoff'!A1", "4.3.1.6-7 Leaching &amp; runoff")</f>
        <v>4.3.1.6-7 Leaching &amp; runoff</v>
      </c>
      <c r="D35" s="117" t="s">
        <v>382</v>
      </c>
      <c r="E35" s="117" t="str" cm="1">
        <f t="array" aca="1" ref="E35" ca="1">Common_InputFunctions.Utility_DisplayFunctionName(D65)</f>
        <v>=MMS_Dairy_N2ODirect_Equations.VEERG_4_3_1_3__7_IntakeRelativeToMaintenance</v>
      </c>
    </row>
    <row r="36" spans="1:14" ht="20.100000000000001" customHeight="1" x14ac:dyDescent="0.25">
      <c r="A36" s="5" t="str">
        <f>HYPERLINK("#'4.3.1.8 Manure applied to soils'!A1", "4.3.1.8 Manure applied to soils")</f>
        <v>4.3.1.8 Manure applied to soils</v>
      </c>
    </row>
    <row r="37" spans="1:14" ht="20.100000000000001" customHeight="1" x14ac:dyDescent="0.25">
      <c r="A37" s="5" t="str">
        <f>HYPERLINK("#'4.3.1.9 Soil direct N2O'!A1", "4.3.1.9 Soil direct N2O")</f>
        <v>4.3.1.9 Soil direct N2O</v>
      </c>
      <c r="D37" s="2"/>
      <c r="F37" s="2"/>
    </row>
    <row r="38" spans="1:14" ht="20.100000000000001" customHeight="1" x14ac:dyDescent="0.25">
      <c r="A38" s="5" t="str">
        <f>HYPERLINK("#'4.3.1.10-11 Soil Atmos Dep'!A1", "4.3.1.10-11 Soil Atmos Deposition")</f>
        <v>4.3.1.10-11 Soil Atmos Deposition</v>
      </c>
    </row>
    <row r="39" spans="1:14" ht="20.100000000000001" customHeight="1" x14ac:dyDescent="0.25">
      <c r="A39" s="5" t="str">
        <f>HYPERLINK("#'4.3.1.12-13 Soil leach runoff'!A1", "4.3.1.12-13 Soil leach &amp; runoff")</f>
        <v>4.3.1.12-13 Soil leach &amp; runoff</v>
      </c>
      <c r="D39" s="76" t="s">
        <v>383</v>
      </c>
      <c r="E39" s="1" t="str" cm="1">
        <f t="array" ref="E39">MMS_Dairy_N2ODirect_Equations.VEERG_4_3_1_3__7_IntakeRelativeToMaintenance_Variable()</f>
        <v>L_j</v>
      </c>
    </row>
    <row r="40" spans="1:14" ht="20.100000000000001" customHeight="1" x14ac:dyDescent="0.25">
      <c r="A40" s="5" t="str">
        <f>HYPERLINK("#'5.1.1.1-2 Inorganic fert N2O'!A1", "5.1.1.1-2 Inorganic fert N2O")</f>
        <v>5.1.1.1-2 Inorganic fert N2O</v>
      </c>
      <c r="D40" s="76" t="s">
        <v>118</v>
      </c>
      <c r="E40" s="9" t="str" cm="1">
        <f t="array" ref="E40">MMS_Dairy_N2ODirect_Equations.VEERG_4_3_1_3__7_IntakeRelativeToMaintenance_Unit()</f>
        <v>ratio</v>
      </c>
    </row>
    <row r="41" spans="1:14" ht="20.100000000000001" customHeight="1" x14ac:dyDescent="0.25">
      <c r="A41" s="5" t="str">
        <f>HYPERLINK("#'5.1.1.3-4 Inorganic fert CO2'!A1", "5.1.1.3-4 Inorganic fert CO2")</f>
        <v>5.1.1.3-4 Inorganic fert CO2</v>
      </c>
    </row>
    <row r="42" spans="1:14" ht="20.100000000000001" customHeight="1" x14ac:dyDescent="0.25">
      <c r="A42" s="5" t="str">
        <f>HYPERLINK("#'5.2.1.1-2 Organic Fert N2O'!A1", "5.2.1.1-2 Organic fert N2O")</f>
        <v>5.2.1.1-2 Organic fert N2O</v>
      </c>
      <c r="D42" s="119" t="str" cm="1">
        <f t="array" ref="D42:E45">_xlfn.CHOOSECOLS(MMS_Dairy_N2ODirect_Equations.VEERG_4_3_1_3__7_IntakeRelativeToMaintenance_Arguments(),1,2)</f>
        <v>I_j</v>
      </c>
      <c r="E42" s="124" t="str">
        <v>dry matter intake</v>
      </c>
      <c r="F42" s="125"/>
      <c r="G42" s="119" t="str" cm="1">
        <f t="array" ref="G42:H45">_xlfn.CHOOSECOLS(MMS_Dairy_N2ODirect_Equations.VEERG_4_3_1_3__7_IntakeRelativeToMaintenance_Arguments(),3,4)</f>
        <v>kgDM/head/day</v>
      </c>
      <c r="H42" s="127" t="str">
        <v>Calculated from 3.3.1.1 (3)</v>
      </c>
      <c r="I42" s="126" t="str" cm="1">
        <f t="array" aca="1" ref="I42" ca="1">HYPERLINK(Common_InputFunctions.Utility_SourceHyperlink($D$47),$D$47)</f>
        <v>M1_Table_I_j</v>
      </c>
    </row>
    <row r="43" spans="1:14" ht="20.100000000000001" customHeight="1" x14ac:dyDescent="0.25">
      <c r="A43" s="5" t="str">
        <f>HYPERLINK("#'5.3.1.1-2 Lime CO2'!A1", "5.3.1.1-2 Lime CO2")</f>
        <v>5.3.1.1-2 Lime CO2</v>
      </c>
      <c r="D43" s="119" t="str">
        <v>W_j</v>
      </c>
      <c r="E43" s="124" t="str">
        <v>liveweight</v>
      </c>
      <c r="F43" s="125"/>
      <c r="G43" s="119" t="str">
        <v>kg/head</v>
      </c>
      <c r="H43" s="120" t="str">
        <v>Input</v>
      </c>
      <c r="I43" s="126" t="str" cm="1">
        <f t="array" aca="1" ref="I43" ca="1">HYPERLINK(Common_InputFunctions.Utility_SourceHyperlink($D$16),$D$16)</f>
        <v>M1_Table_W_j</v>
      </c>
    </row>
    <row r="44" spans="1:14" ht="20.100000000000001" customHeight="1" x14ac:dyDescent="0.25">
      <c r="A44" s="5" t="str">
        <f>HYPERLINK("#'5.4.1.1-4 Atmos deposition'!A1", "5.4.1.1-4 Atmos. deposition")</f>
        <v>5.4.1.1-4 Atmos. deposition</v>
      </c>
      <c r="D44" s="119" t="str">
        <v>MR_j</v>
      </c>
      <c r="E44" s="124" t="str">
        <v>increase in metabolic rate when producing milk</v>
      </c>
      <c r="F44" s="125"/>
      <c r="G44" s="119" t="str">
        <v/>
      </c>
      <c r="H44" s="127" t="str">
        <v>Constant</v>
      </c>
      <c r="I44" s="126" t="str" cm="1">
        <f t="array" aca="1" ref="I44" ca="1">HYPERLINK(Common_InputFunctions.Utility_SourceHyperlink($D$52),$D$52)</f>
        <v>Table_MR_j</v>
      </c>
    </row>
    <row r="45" spans="1:14" ht="20.100000000000001" customHeight="1" x14ac:dyDescent="0.25">
      <c r="A45" s="5" t="str">
        <f>HYPERLINK("#'5.5.1.1-2 Leaching and runoff'!A1", "5.5.1.1-2 Leaching &amp; runoff")</f>
        <v>5.5.1.1-2 Leaching &amp; runoff</v>
      </c>
      <c r="D45" s="119" t="str">
        <v>MI_j</v>
      </c>
      <c r="E45" s="124" t="str">
        <v>additional intake required for milk production</v>
      </c>
      <c r="F45" s="125"/>
      <c r="G45" s="119" t="str">
        <v>kgDM/head/day</v>
      </c>
      <c r="H45" s="127" t="str">
        <v>Calculated from 3.3.1.1 (4)</v>
      </c>
      <c r="I45" s="126" t="str" cm="1">
        <f t="array" aca="1" ref="I45" ca="1">HYPERLINK(Common_InputFunctions.Utility_SourceHyperlink($D$57),$D$57)</f>
        <v>M1_Table_MI_j</v>
      </c>
    </row>
    <row r="46" spans="1:14" ht="20.100000000000001" customHeight="1" x14ac:dyDescent="0.25">
      <c r="A46" s="5" t="str">
        <f>HYPERLINK("#'6.2.1.1-2 Pasture residue N2O'!A1", "6.2.1.1-2 Pasture residue N2O")</f>
        <v>6.2.1.1-2 Pasture residue N2O</v>
      </c>
    </row>
    <row r="47" spans="1:14" ht="20.100000000000001" customHeight="1" x14ac:dyDescent="0.25">
      <c r="A47" s="5" t="str">
        <f>HYPERLINK("#'6.3.1.1-2 Leach runoff pasture'!A1", "6.3.1.1-2 Leach &amp; runoff (pasture)")</f>
        <v>6.3.1.1-2 Leach &amp; runoff (pasture)</v>
      </c>
      <c r="D47" s="121" t="s">
        <v>415</v>
      </c>
      <c r="N47" s="121" t="s">
        <v>416</v>
      </c>
    </row>
    <row r="48" spans="1:14" ht="20.100000000000001" customHeight="1" x14ac:dyDescent="0.25">
      <c r="A48" s="5" t="str">
        <f>HYPERLINK("#'8.1.1.1-2 Transport fuel'!A1", "8.1.1.1-2 Transport fuel")</f>
        <v>8.1.1.1-2 Transport fuel</v>
      </c>
      <c r="D48" s="122" t="s">
        <v>417</v>
      </c>
      <c r="N48" s="122" t="s">
        <v>418</v>
      </c>
    </row>
    <row r="49" spans="1:19" ht="20.100000000000001" customHeight="1" x14ac:dyDescent="0.25">
      <c r="A49" s="5" t="str">
        <f>HYPERLINK("#'8.2.1.1-2 Stationary fuel'!A1", "8.2.1.1-2 Stationary fuel")</f>
        <v>8.2.1.1-2 Stationary fuel</v>
      </c>
      <c r="D49" s="123" t="s">
        <v>334</v>
      </c>
      <c r="E49" s="123" t="s">
        <v>335</v>
      </c>
      <c r="F49" s="123" t="s">
        <v>336</v>
      </c>
      <c r="G49" s="123" t="s">
        <v>337</v>
      </c>
      <c r="H49" s="123" t="s">
        <v>338</v>
      </c>
      <c r="N49" s="123" t="s">
        <v>334</v>
      </c>
      <c r="O49" s="123" t="s">
        <v>335</v>
      </c>
      <c r="P49" s="123" t="s">
        <v>336</v>
      </c>
      <c r="Q49" s="123" t="s">
        <v>337</v>
      </c>
      <c r="R49" s="123" t="s">
        <v>338</v>
      </c>
    </row>
    <row r="50" spans="1:19" ht="20.100000000000001" customHeight="1" x14ac:dyDescent="0.25">
      <c r="A50" s="5" t="str">
        <f>HYPERLINK("#'9.1.1.1-2 Refrigerant use'!A1", "9.1.1.1-2 Refrigerant use")</f>
        <v>9.1.1.1-2 Refrigerant use</v>
      </c>
      <c r="D50" s="15">
        <f>INDEX(M1_Table_I_j,2,1)</f>
        <v>18.834317684367193</v>
      </c>
      <c r="E50" s="15">
        <f>INDEX(M1_Table_I_j,2,2)</f>
        <v>7.4188685375999972</v>
      </c>
      <c r="F50" s="15">
        <f>INDEX(M1_Table_I_j,2,3)</f>
        <v>4.0231734662249998</v>
      </c>
      <c r="G50" s="15">
        <f>INDEX(M1_Table_I_j,2,4)</f>
        <v>9.0270202499999979</v>
      </c>
      <c r="H50" s="15">
        <f>INDEX(M1_Table_I_j,2,5)</f>
        <v>5.4143472656250013</v>
      </c>
      <c r="I50" s="16" t="str">
        <f>G42</f>
        <v>kgDM/head/day</v>
      </c>
      <c r="N50" s="15">
        <f>INDEX(M2_Table_I_j,2,1)</f>
        <v>18.834317684367193</v>
      </c>
      <c r="O50" s="15">
        <f>INDEX(M2_Table_I_j,2,2)</f>
        <v>7.4188685375999972</v>
      </c>
      <c r="P50" s="15">
        <f>INDEX(M2_Table_I_j,2,3)</f>
        <v>4.0231734662249998</v>
      </c>
      <c r="Q50" s="15">
        <f>INDEX(M2_Table_I_j,2,4)</f>
        <v>9.0270202499999979</v>
      </c>
      <c r="R50" s="15">
        <f>INDEX(M2_Table_I_j,2,5)</f>
        <v>5.4143472656250013</v>
      </c>
      <c r="S50" s="16" t="str">
        <f>'4.3.1.1-2 Methane'!T114</f>
        <v>kg DM/head/day</v>
      </c>
    </row>
    <row r="51" spans="1:19" ht="20.100000000000001" customHeight="1" x14ac:dyDescent="0.25">
      <c r="A51" s="5" t="str">
        <f>HYPERLINK("#'10.1.1-2 Solid waste treatment'!A1", "10.1.1.1-2 Solid waste")</f>
        <v>10.1.1.1-2 Solid waste</v>
      </c>
    </row>
    <row r="52" spans="1:19" ht="20.100000000000001" customHeight="1" x14ac:dyDescent="0.25">
      <c r="A52" s="5" t="str">
        <f>HYPERLINK("#'14.1.1-2 Purchased electricity'!A1", "14.1.1-2 Purchased electricity")</f>
        <v>14.1.1-2 Purchased electricity</v>
      </c>
      <c r="D52" s="121" t="s">
        <v>413</v>
      </c>
    </row>
    <row r="53" spans="1:19" ht="20.100000000000001" customHeight="1" x14ac:dyDescent="0.25">
      <c r="A53" s="5" t="str">
        <f>HYPERLINK("#'15 Scope 3'!A1", "15 Scope 3")</f>
        <v>15 Scope 3</v>
      </c>
      <c r="D53" s="122" t="s">
        <v>414</v>
      </c>
    </row>
    <row r="54" spans="1:19" ht="20.100000000000001" customHeight="1" x14ac:dyDescent="0.25">
      <c r="A54" s="5" t="str">
        <f>HYPERLINK("#'Calcs - Manure sent off-site'!A1", "Calcs - Manure sent off-site")</f>
        <v>Calcs - Manure sent off-site</v>
      </c>
      <c r="D54" s="123" t="s">
        <v>334</v>
      </c>
      <c r="E54" s="123" t="s">
        <v>335</v>
      </c>
      <c r="F54" s="123" t="s">
        <v>336</v>
      </c>
      <c r="G54" s="123" t="s">
        <v>337</v>
      </c>
      <c r="H54" s="123" t="s">
        <v>338</v>
      </c>
    </row>
    <row r="55" spans="1:19" ht="20.100000000000001" customHeight="1" x14ac:dyDescent="0.25">
      <c r="D55" s="15">
        <f>'Constants - Dairy'!$E$108</f>
        <v>1.1000000000000001</v>
      </c>
      <c r="E55" s="15">
        <f>'Constants - Dairy'!$E$109</f>
        <v>1</v>
      </c>
      <c r="F55" s="15">
        <f>'Constants - Dairy'!$E$109</f>
        <v>1</v>
      </c>
      <c r="G55" s="15">
        <f>'Constants - Dairy'!$E$109</f>
        <v>1</v>
      </c>
      <c r="H55" s="15">
        <f>'Constants - Dairy'!$E$109</f>
        <v>1</v>
      </c>
      <c r="I55" s="16" t="str">
        <f>G44</f>
        <v/>
      </c>
    </row>
    <row r="56" spans="1:19" ht="20.100000000000001" customHeight="1" x14ac:dyDescent="0.25"/>
    <row r="57" spans="1:19" ht="20.100000000000001" customHeight="1" x14ac:dyDescent="0.25">
      <c r="A57" s="82" t="s">
        <v>1</v>
      </c>
      <c r="D57" s="121" t="s">
        <v>401</v>
      </c>
    </row>
    <row r="58" spans="1:19" ht="20.100000000000001" customHeight="1" x14ac:dyDescent="0.25">
      <c r="A58" s="5" t="str">
        <f>HYPERLINK("#'Constants - Dairy'!A1", "Constants - Dairy")</f>
        <v>Constants - Dairy</v>
      </c>
      <c r="D58" s="122" t="s">
        <v>403</v>
      </c>
    </row>
    <row r="59" spans="1:19" ht="20.100000000000001" customHeight="1" x14ac:dyDescent="0.25">
      <c r="A59" s="5" t="str">
        <f>HYPERLINK("#'Constants - Ag Residue'!A1", "Constants - Ag residue")</f>
        <v>Constants - Ag residue</v>
      </c>
      <c r="D59" s="123" t="s">
        <v>334</v>
      </c>
      <c r="E59" s="123" t="s">
        <v>335</v>
      </c>
      <c r="F59" s="123" t="s">
        <v>336</v>
      </c>
      <c r="G59" s="123" t="s">
        <v>337</v>
      </c>
      <c r="H59" s="123" t="s">
        <v>338</v>
      </c>
    </row>
    <row r="60" spans="1:19" ht="20.100000000000001" customHeight="1" x14ac:dyDescent="0.25">
      <c r="A60" s="5" t="str">
        <f>HYPERLINK("#'Constants - Common Livestock'!A1", "Constants - Common Livestock")</f>
        <v>Constants - Common Livestock</v>
      </c>
      <c r="D60" s="15">
        <f>INDEX(M1_Table_MI_j,2,1)</f>
        <v>9.5798721636071917</v>
      </c>
      <c r="E60" s="15">
        <f>INDEX(M1_Table_MI_j,2,2)</f>
        <v>0</v>
      </c>
      <c r="F60" s="15">
        <f>INDEX(M1_Table_MI_j,2,3)</f>
        <v>0</v>
      </c>
      <c r="G60" s="15">
        <f>INDEX(M1_Table_MI_j,2,4)</f>
        <v>0</v>
      </c>
      <c r="H60" s="15">
        <f>INDEX(M1_Table_MI_j,2,5)</f>
        <v>0</v>
      </c>
      <c r="I60" s="16" t="str">
        <f>'4.3.1.1-2 Methane'!I79</f>
        <v>kg DM/head/day</v>
      </c>
    </row>
    <row r="61" spans="1:19" ht="20.100000000000001" customHeight="1" x14ac:dyDescent="0.25">
      <c r="A61" s="5" t="str">
        <f>HYPERLINK("#'Constants - Electricity'!A1", "Constants - Electricity")</f>
        <v>Constants - Electricity</v>
      </c>
    </row>
    <row r="62" spans="1:19" ht="20.100000000000001" customHeight="1" x14ac:dyDescent="0.25">
      <c r="A62" s="5" t="str">
        <f>HYPERLINK("#'Constants - Fertiliser'!A1", "Constants - Fertiliser")</f>
        <v>Constants - Fertiliser</v>
      </c>
      <c r="D62" s="121" t="s">
        <v>481</v>
      </c>
      <c r="N62" s="121" t="s">
        <v>482</v>
      </c>
    </row>
    <row r="63" spans="1:19" ht="20.100000000000001" customHeight="1" x14ac:dyDescent="0.25">
      <c r="A63" s="5" t="str">
        <f>HYPERLINK("#'Constants - Fuel'!A1", "Constants - Fuel")</f>
        <v>Constants - Fuel</v>
      </c>
      <c r="D63" s="122" t="s">
        <v>483</v>
      </c>
      <c r="N63" s="122" t="s">
        <v>484</v>
      </c>
    </row>
    <row r="64" spans="1:19" ht="20.100000000000001" customHeight="1" x14ac:dyDescent="0.25">
      <c r="A64" s="5" t="str">
        <f>HYPERLINK("#'Constants - Scope 3'!A1", "Constants - Scope 3")</f>
        <v>Constants - Scope 3</v>
      </c>
      <c r="D64" s="123" t="s">
        <v>334</v>
      </c>
      <c r="E64" s="123" t="s">
        <v>335</v>
      </c>
      <c r="F64" s="123" t="s">
        <v>336</v>
      </c>
      <c r="G64" s="123" t="s">
        <v>337</v>
      </c>
      <c r="H64" s="123" t="s">
        <v>338</v>
      </c>
      <c r="N64" s="123" t="s">
        <v>334</v>
      </c>
      <c r="O64" s="123" t="s">
        <v>335</v>
      </c>
      <c r="P64" s="123" t="s">
        <v>336</v>
      </c>
      <c r="Q64" s="123" t="s">
        <v>337</v>
      </c>
      <c r="R64" s="123" t="s">
        <v>338</v>
      </c>
    </row>
    <row r="65" spans="1:21" ht="20.100000000000001" customHeight="1" x14ac:dyDescent="0.25">
      <c r="A65" s="5" t="str">
        <f>HYPERLINK("#'Constants - Common'!A1", "Constants - Common")</f>
        <v>Constants - Common</v>
      </c>
      <c r="D65" s="15" cm="1">
        <f t="array" ref="D65">MMS_Dairy_N2ODirect_Equations.VEERG_4_3_1_3__7_IntakeRelativeToMaintenance(D50,D19,D55,D60)</f>
        <v>1.0017090166233036</v>
      </c>
      <c r="E65" s="15" cm="1">
        <f t="array" ref="E65">MMS_Dairy_N2ODirect_Equations.VEERG_4_3_1_3__7_IntakeRelativeToMaintenance(E50,E19,E55,E60)</f>
        <v>1.1546862260954116</v>
      </c>
      <c r="F65" s="15" cm="1">
        <f t="array" ref="F65">MMS_Dairy_N2ODirect_Equations.VEERG_4_3_1_3__7_IntakeRelativeToMaintenance(F50,F19,F55,F60)</f>
        <v>1.206300296845944</v>
      </c>
      <c r="G65" s="15" cm="1">
        <f t="array" ref="G65">MMS_Dairy_N2ODirect_Equations.VEERG_4_3_1_3__7_IntakeRelativeToMaintenance(G50,G19,G55,G60)</f>
        <v>1.0213029780639273</v>
      </c>
      <c r="H65" s="15" cm="1">
        <f t="array" ref="H65">MMS_Dairy_N2ODirect_Equations.VEERG_4_3_1_3__7_IntakeRelativeToMaintenance(H50,H19,H55,H60)</f>
        <v>1.2576570545672616</v>
      </c>
      <c r="I65" s="16" t="str">
        <f>$E$40</f>
        <v>ratio</v>
      </c>
      <c r="N65" s="15" cm="1">
        <f t="array" ref="N65">MMS_Dairy_N2ODirect_Equations.VEERG_4_3_1_3__7_IntakeRelativeToMaintenance(N50,N19,D55,D60)</f>
        <v>1.0017090166233036</v>
      </c>
      <c r="O65" s="15" cm="1">
        <f t="array" ref="O65">MMS_Dairy_N2ODirect_Equations.VEERG_4_3_1_3__7_IntakeRelativeToMaintenance(O50,O19,E55,E60)</f>
        <v>1.1546862260954116</v>
      </c>
      <c r="P65" s="15" cm="1">
        <f t="array" ref="P65">MMS_Dairy_N2ODirect_Equations.VEERG_4_3_1_3__7_IntakeRelativeToMaintenance(P50,P19,F55,F60)</f>
        <v>1.206300296845944</v>
      </c>
      <c r="Q65" s="15" cm="1">
        <f t="array" ref="Q65">MMS_Dairy_N2ODirect_Equations.VEERG_4_3_1_3__7_IntakeRelativeToMaintenance(Q50,Q19,G55,G60)</f>
        <v>1.0213029780639273</v>
      </c>
      <c r="R65" s="15" cm="1">
        <f t="array" ref="R65">MMS_Dairy_N2ODirect_Equations.VEERG_4_3_1_3__7_IntakeRelativeToMaintenance(R50,R19,H55,H60)</f>
        <v>1.2576570545672616</v>
      </c>
      <c r="S65" s="16" t="str">
        <f>$E$40</f>
        <v>ratio</v>
      </c>
    </row>
    <row r="66" spans="1:21" ht="20.100000000000001" customHeight="1" x14ac:dyDescent="0.25">
      <c r="A66" s="5" t="str">
        <f>HYPERLINK("#'Constants - Refrigerants'!A1", "Constants - Refrigerants")</f>
        <v>Constants - Refrigerants</v>
      </c>
    </row>
    <row r="67" spans="1:21" ht="20.100000000000001" customHeight="1" x14ac:dyDescent="0.25">
      <c r="A67" s="5" t="str">
        <f>HYPERLINK("#'Constants - Solid Waste'!A1", "Constants - Solid Waste")</f>
        <v>Constants - Solid Waste</v>
      </c>
    </row>
    <row r="68" spans="1:21" ht="20.100000000000001" customHeight="1" x14ac:dyDescent="0.25">
      <c r="A68" s="5" t="str">
        <f>HYPERLINK("#'Acknowledgements'!A1", "Acknowledgements")</f>
        <v>Acknowledgements</v>
      </c>
      <c r="C68" s="88"/>
      <c r="D68" s="88"/>
      <c r="E68" s="88"/>
      <c r="F68" s="88"/>
      <c r="G68" s="88"/>
      <c r="H68" s="88"/>
      <c r="I68" s="88"/>
      <c r="J68" s="88"/>
      <c r="K68" s="88"/>
      <c r="M68" s="88"/>
      <c r="N68" s="88"/>
      <c r="O68" s="88"/>
      <c r="P68" s="88"/>
      <c r="Q68" s="88"/>
      <c r="R68" s="88"/>
      <c r="S68" s="88"/>
      <c r="T68" s="88"/>
      <c r="U68" s="88"/>
    </row>
    <row r="69" spans="1:21" ht="20.100000000000001" customHeight="1" x14ac:dyDescent="0.25">
      <c r="D69" s="2" t="str" cm="1">
        <f t="array" ref="D69">MMS_Dairy_N2ODirect_Equations.VEERG_4_3_1_3__6_NitrogenRetainedByBody_Title()</f>
        <v>Amount of nitrogen retained by the body</v>
      </c>
    </row>
    <row r="70" spans="1:21" ht="20.100000000000001" customHeight="1" x14ac:dyDescent="0.25">
      <c r="D70" s="17" t="str" cm="1">
        <f t="array" ref="D70">MMS_Dairy_N2ODirect_Equations.VEERG_4_3_1_3__6_NitrogenRetainedByBody_Source()</f>
        <v>VEERG 2026: 4.3.1.3, Equation (6)</v>
      </c>
    </row>
    <row r="71" spans="1:21" ht="20.100000000000001" customHeight="1" x14ac:dyDescent="0.25">
      <c r="D71" s="25" t="str" cm="1">
        <f t="array" ref="D71">MMS_Dairy_N2ODirect_Equations.VEERG_4_3_1_3__6_NitrogenRetainedByBody_Variation()</f>
        <v>VARIATION ON SOURCE: Added check for milk production input unit and choose corresponding MP_j value accordingly.</v>
      </c>
    </row>
    <row r="72" spans="1:21" ht="20.100000000000001" customHeight="1" x14ac:dyDescent="0.25">
      <c r="D72" s="117" t="s">
        <v>382</v>
      </c>
      <c r="E72" s="117" t="str" cm="1">
        <f t="array" aca="1" ref="E72" ca="1">Common_InputFunctions.Utility_DisplayFunctionName(D103)</f>
        <v>=MMS_Dairy_N2ODirect_Equations.VEERG_4_3_1_3__6_NitrogenRetainedByBody</v>
      </c>
    </row>
    <row r="73" spans="1:21" ht="20.100000000000001" customHeight="1" x14ac:dyDescent="0.25"/>
    <row r="74" spans="1:21" ht="20.100000000000001" customHeight="1" x14ac:dyDescent="0.25"/>
    <row r="75" spans="1:21" ht="20.100000000000001" customHeight="1" x14ac:dyDescent="0.25">
      <c r="D75" s="76" t="s">
        <v>383</v>
      </c>
      <c r="E75" s="1" t="str" cm="1">
        <f t="array" ref="E75">MMS_Dairy_N2ODirect_Equations.VEERG_4_3_1_3__6_NitrogenRetainedByBody_Variable()</f>
        <v>NR_j</v>
      </c>
    </row>
    <row r="76" spans="1:21" ht="20.100000000000001" customHeight="1" x14ac:dyDescent="0.25">
      <c r="D76" s="76" t="s">
        <v>118</v>
      </c>
      <c r="E76" s="9" t="str" cm="1">
        <f t="array" ref="E76">MMS_Dairy_N2ODirect_Equations.VEERG_4_3_1_3__6_NitrogenRetainedByBody_Unit()</f>
        <v>kg N/head/day</v>
      </c>
    </row>
    <row r="77" spans="1:21" ht="20.100000000000001" customHeight="1" x14ac:dyDescent="0.25"/>
    <row r="78" spans="1:21" ht="20.100000000000001" customHeight="1" x14ac:dyDescent="0.25">
      <c r="D78" s="119" t="str" cm="1">
        <f t="array" ref="D78:E83">_xlfn.CHOOSECOLS(MMS_Dairy_N2ODirect_Equations.VEERG_4_3_1_3__6_NitrogenRetainedByBody_Arguments(),1,2)</f>
        <v>MPU</v>
      </c>
      <c r="E78" s="124" t="str">
        <v>input milk production unit</v>
      </c>
      <c r="F78" s="125"/>
      <c r="G78" s="119" t="str" cm="1">
        <f t="array" ref="G78:H83">_xlfn.CHOOSECOLS(MMS_Dairy_N2ODirect_Equations.VEERG_4_3_1_3__6_NitrogenRetainedByBody_Arguments(),3,4)</f>
        <v/>
      </c>
      <c r="H78" s="120" t="str">
        <v>Input</v>
      </c>
      <c r="I78" s="119" t="str">
        <f>X_Cell_Dairy_MilkProductionUnit</f>
        <v>Litres of milk</v>
      </c>
    </row>
    <row r="79" spans="1:21" ht="20.100000000000001" customHeight="1" x14ac:dyDescent="0.25">
      <c r="D79" s="119" t="str">
        <v>MP_j</v>
      </c>
      <c r="E79" s="124" t="str">
        <v>milk production (if input as litres of milk)</v>
      </c>
      <c r="F79" s="125"/>
      <c r="G79" s="119" t="str">
        <v>L/head/day</v>
      </c>
      <c r="H79" s="120" t="str">
        <v>Input</v>
      </c>
      <c r="I79" s="126" t="str" cm="1">
        <f t="array" aca="1" ref="I79" ca="1">HYPERLINK(Common_InputFunctions.Utility_SourceHyperlink($D$90),$D$90)</f>
        <v>Table_MP_j</v>
      </c>
    </row>
    <row r="80" spans="1:21" ht="20.100000000000001" customHeight="1" x14ac:dyDescent="0.25">
      <c r="D80" s="119" t="str">
        <v>MP_j</v>
      </c>
      <c r="E80" s="124" t="str">
        <v>milk production (if input as milk solids)</v>
      </c>
      <c r="F80" s="125"/>
      <c r="G80" s="119" t="str">
        <v>L/head/day</v>
      </c>
      <c r="H80" s="127" t="str">
        <v>Calculated from 3.3.1.1 (5)</v>
      </c>
      <c r="I80" s="126" t="str" cm="1">
        <f t="array" aca="1" ref="I80" ca="1">HYPERLINK(Common_InputFunctions.Utility_SourceHyperlink($D$85),$D$85)</f>
        <v>M1_Table_MP_j_from_solids</v>
      </c>
    </row>
    <row r="81" spans="4:19" ht="20.100000000000001" customHeight="1" x14ac:dyDescent="0.25">
      <c r="D81" s="119" t="str">
        <v>L_j</v>
      </c>
      <c r="E81" s="124" t="str">
        <v>intake relative to maintenance</v>
      </c>
      <c r="F81" s="125"/>
      <c r="G81" s="119" t="str">
        <v/>
      </c>
      <c r="H81" s="127" t="str">
        <v>Calculated from 4.3.1.3 (7)</v>
      </c>
      <c r="I81" s="126" t="str" cm="1">
        <f t="array" aca="1" ref="I81" ca="1">HYPERLINK(Common_InputFunctions.Utility_SourceHyperlink($D$62),$D$62)</f>
        <v>M1_Table_L_j</v>
      </c>
    </row>
    <row r="82" spans="4:19" ht="20.100000000000001" customHeight="1" x14ac:dyDescent="0.25">
      <c r="D82" s="119" t="str">
        <v>Z_j</v>
      </c>
      <c r="E82" s="124" t="str">
        <v>relative size</v>
      </c>
      <c r="F82" s="125"/>
      <c r="G82" s="119" t="str">
        <v/>
      </c>
      <c r="H82" s="127" t="str">
        <v>Calculated from 4.3.1.3 (8)</v>
      </c>
      <c r="I82" s="126" t="str" cm="1">
        <f t="array" aca="1" ref="I82" ca="1">HYPERLINK(Common_InputFunctions.Utility_SourceHyperlink($D$26),$D$26)</f>
        <v>M1_Table_Z_j</v>
      </c>
    </row>
    <row r="83" spans="4:19" ht="20.100000000000001" customHeight="1" x14ac:dyDescent="0.25">
      <c r="D83" s="119" t="str">
        <v>LWG_j</v>
      </c>
      <c r="E83" s="124" t="str">
        <v>liveweight gain</v>
      </c>
      <c r="F83" s="125"/>
      <c r="G83" s="119" t="str">
        <v>kg/head/day</v>
      </c>
      <c r="H83" s="120" t="str">
        <v>Input</v>
      </c>
      <c r="I83" s="126" t="str" cm="1">
        <f t="array" aca="1" ref="I83" ca="1">HYPERLINK(Common_InputFunctions.Utility_SourceHyperlink($D$95),$D$95)</f>
        <v>M1_Table_LWG_j</v>
      </c>
    </row>
    <row r="84" spans="4:19" ht="20.100000000000001" customHeight="1" x14ac:dyDescent="0.25"/>
    <row r="85" spans="4:19" ht="20.100000000000001" customHeight="1" x14ac:dyDescent="0.25">
      <c r="D85" s="121" t="s">
        <v>395</v>
      </c>
      <c r="N85" s="121" t="s">
        <v>396</v>
      </c>
    </row>
    <row r="86" spans="4:19" ht="20.100000000000001" customHeight="1" x14ac:dyDescent="0.25">
      <c r="D86" s="122" t="s">
        <v>397</v>
      </c>
      <c r="N86" s="122" t="s">
        <v>398</v>
      </c>
    </row>
    <row r="87" spans="4:19" ht="20.100000000000001" customHeight="1" x14ac:dyDescent="0.25">
      <c r="D87" s="123" t="s">
        <v>334</v>
      </c>
      <c r="E87" s="123" t="s">
        <v>335</v>
      </c>
      <c r="F87" s="123" t="s">
        <v>336</v>
      </c>
      <c r="G87" s="123" t="s">
        <v>337</v>
      </c>
      <c r="H87" s="123" t="s">
        <v>338</v>
      </c>
      <c r="N87" s="123" t="s">
        <v>334</v>
      </c>
      <c r="O87" s="123" t="s">
        <v>335</v>
      </c>
      <c r="P87" s="123" t="s">
        <v>336</v>
      </c>
      <c r="Q87" s="123" t="s">
        <v>337</v>
      </c>
      <c r="R87" s="123" t="s">
        <v>338</v>
      </c>
    </row>
    <row r="88" spans="4:19" ht="20.100000000000001" customHeight="1" x14ac:dyDescent="0.25">
      <c r="D88" s="15">
        <f>INDEX(M1_Table_MP_j_from_solids,2,1)</f>
        <v>0</v>
      </c>
      <c r="E88" s="15">
        <v>0</v>
      </c>
      <c r="F88" s="15">
        <v>0</v>
      </c>
      <c r="G88" s="15">
        <v>0</v>
      </c>
      <c r="H88" s="15">
        <v>0</v>
      </c>
      <c r="I88" s="16" t="str">
        <f>$G$80</f>
        <v>L/head/day</v>
      </c>
      <c r="N88" s="15">
        <f>INDEX(M2_Table_MP_j_from_solids,2,1)</f>
        <v>0</v>
      </c>
      <c r="O88" s="15">
        <v>0</v>
      </c>
      <c r="P88" s="15">
        <v>0</v>
      </c>
      <c r="Q88" s="15">
        <v>0</v>
      </c>
      <c r="R88" s="15">
        <v>0</v>
      </c>
      <c r="S88" s="16" t="str">
        <f>$G$80</f>
        <v>L/head/day</v>
      </c>
    </row>
    <row r="89" spans="4:19" ht="20.100000000000001" customHeight="1" x14ac:dyDescent="0.25"/>
    <row r="90" spans="4:19" ht="20.100000000000001" customHeight="1" x14ac:dyDescent="0.25">
      <c r="D90" s="121" t="s">
        <v>400</v>
      </c>
    </row>
    <row r="91" spans="4:19" ht="20.100000000000001" customHeight="1" x14ac:dyDescent="0.25">
      <c r="D91" s="122" t="s">
        <v>352</v>
      </c>
    </row>
    <row r="92" spans="4:19" ht="20.100000000000001" customHeight="1" x14ac:dyDescent="0.25">
      <c r="D92" s="81" t="s">
        <v>334</v>
      </c>
      <c r="E92" s="81" t="s">
        <v>335</v>
      </c>
      <c r="F92" s="81" t="s">
        <v>336</v>
      </c>
      <c r="G92" s="81" t="s">
        <v>337</v>
      </c>
      <c r="H92" s="81" t="s">
        <v>338</v>
      </c>
    </row>
    <row r="93" spans="4:19" ht="20.100000000000001" customHeight="1" x14ac:dyDescent="0.25">
      <c r="D93" s="15">
        <f>INDEX(Table_MP_j_Consumer_1,2,1)</f>
        <v>20</v>
      </c>
      <c r="E93" s="15">
        <v>0</v>
      </c>
      <c r="F93" s="15">
        <v>0</v>
      </c>
      <c r="G93" s="15">
        <v>0</v>
      </c>
      <c r="H93" s="15">
        <v>0</v>
      </c>
      <c r="I93" s="16" t="str">
        <f>$G$79</f>
        <v>L/head/day</v>
      </c>
    </row>
    <row r="94" spans="4:19" ht="20.100000000000001" customHeight="1" x14ac:dyDescent="0.25"/>
    <row r="95" spans="4:19" ht="20.100000000000001" customHeight="1" x14ac:dyDescent="0.25">
      <c r="D95" s="121" t="s">
        <v>409</v>
      </c>
      <c r="N95" s="121" t="s">
        <v>410</v>
      </c>
    </row>
    <row r="96" spans="4:19" ht="20.100000000000001" customHeight="1" x14ac:dyDescent="0.25">
      <c r="D96" s="122" t="s">
        <v>411</v>
      </c>
      <c r="N96" s="122" t="s">
        <v>412</v>
      </c>
    </row>
    <row r="97" spans="3:21" ht="20.100000000000001" customHeight="1" x14ac:dyDescent="0.25">
      <c r="D97" s="81" t="s">
        <v>334</v>
      </c>
      <c r="E97" s="81" t="s">
        <v>335</v>
      </c>
      <c r="F97" s="81" t="s">
        <v>336</v>
      </c>
      <c r="G97" s="81" t="s">
        <v>337</v>
      </c>
      <c r="H97" s="81" t="s">
        <v>338</v>
      </c>
      <c r="N97" s="81" t="s">
        <v>334</v>
      </c>
      <c r="O97" s="81" t="s">
        <v>335</v>
      </c>
      <c r="P97" s="81" t="s">
        <v>336</v>
      </c>
      <c r="Q97" s="81" t="s">
        <v>337</v>
      </c>
      <c r="R97" s="81" t="s">
        <v>338</v>
      </c>
    </row>
    <row r="98" spans="3:21" ht="20.100000000000001" customHeight="1" x14ac:dyDescent="0.25">
      <c r="D98" s="15">
        <f>INDEX(X_Table_Dairy_Liveweight_Method1,3,2)</f>
        <v>1.6E-2</v>
      </c>
      <c r="E98" s="15">
        <f>INDEX(X_Table_Dairy_Liveweight_Method1,3,3)</f>
        <v>0.6</v>
      </c>
      <c r="F98" s="15">
        <f>INDEX(X_Table_Dairy_Liveweight_Method1,3,4)</f>
        <v>0.56999999999999995</v>
      </c>
      <c r="G98" s="15">
        <f>INDEX(X_Table_Dairy_Liveweight_Method1,3,5)</f>
        <v>0.1</v>
      </c>
      <c r="H98" s="15">
        <f>INDEX(X_Table_Dairy_Liveweight_Method1,3,6)</f>
        <v>0.8</v>
      </c>
      <c r="I98" s="16" t="str">
        <f>$G$83</f>
        <v>kg/head/day</v>
      </c>
      <c r="N98" s="15">
        <f>INDEX(X_Table_Dairy_Liveweight_Method2,3,2)</f>
        <v>1.6E-2</v>
      </c>
      <c r="O98" s="15">
        <f>INDEX(X_Table_Dairy_Liveweight_Method2,3,3)</f>
        <v>0.6</v>
      </c>
      <c r="P98" s="15">
        <f>INDEX(X_Table_Dairy_Liveweight_Method2,3,4)</f>
        <v>0.56999999999999995</v>
      </c>
      <c r="Q98" s="15">
        <f>INDEX(X_Table_Dairy_Liveweight_Method2,3,5)</f>
        <v>0.1</v>
      </c>
      <c r="R98" s="15">
        <f>INDEX(X_Table_Dairy_Liveweight_Method2,3,6)</f>
        <v>0.8</v>
      </c>
      <c r="S98" s="16" t="str">
        <f>$G$83</f>
        <v>kg/head/day</v>
      </c>
    </row>
    <row r="99" spans="3:21" ht="20.100000000000001" customHeight="1" x14ac:dyDescent="0.25"/>
    <row r="100" spans="3:21" ht="20.100000000000001" customHeight="1" x14ac:dyDescent="0.25">
      <c r="D100" s="121" t="s">
        <v>485</v>
      </c>
      <c r="N100" s="121" t="s">
        <v>486</v>
      </c>
    </row>
    <row r="101" spans="3:21" ht="20.100000000000001" customHeight="1" x14ac:dyDescent="0.25">
      <c r="D101" s="122" t="s">
        <v>487</v>
      </c>
      <c r="N101" s="122" t="s">
        <v>488</v>
      </c>
    </row>
    <row r="102" spans="3:21" ht="20.100000000000001" customHeight="1" x14ac:dyDescent="0.25">
      <c r="D102" s="123" t="s">
        <v>334</v>
      </c>
      <c r="E102" s="123" t="s">
        <v>335</v>
      </c>
      <c r="F102" s="123" t="s">
        <v>336</v>
      </c>
      <c r="G102" s="123" t="s">
        <v>337</v>
      </c>
      <c r="H102" s="123" t="s">
        <v>338</v>
      </c>
      <c r="N102" s="123" t="s">
        <v>334</v>
      </c>
      <c r="O102" s="123" t="s">
        <v>335</v>
      </c>
      <c r="P102" s="123" t="s">
        <v>336</v>
      </c>
      <c r="Q102" s="123" t="s">
        <v>337</v>
      </c>
      <c r="R102" s="123" t="s">
        <v>338</v>
      </c>
    </row>
    <row r="103" spans="3:21" ht="20.100000000000001" customHeight="1" x14ac:dyDescent="0.25">
      <c r="D103" s="15" cm="1">
        <f t="array" ref="D103">MMS_Dairy_N2ODirect_Equations.VEERG_4_3_1_3__6_NitrogenRetainedByBody(IF($I$78="Milk solids", D88, D93),D65,D29,D98)</f>
        <v>0.10350619833262559</v>
      </c>
      <c r="E103" s="15" cm="1">
        <f t="array" ref="E103">MMS_Dairy_N2ODirect_Equations.VEERG_4_3_1_3__6_NitrogenRetainedByBody(IF($I$78="Milk solids", E88, E93),E65,E29,E98)</f>
        <v>8.7932411900846184E-3</v>
      </c>
      <c r="F103" s="15" cm="1">
        <f t="array" ref="F103">MMS_Dairy_N2ODirect_Equations.VEERG_4_3_1_3__6_NitrogenRetainedByBody(IF($I$78="Milk solids", F88, F93),F65,F29,F98)</f>
        <v>1.4575548166167214E-2</v>
      </c>
      <c r="G103" s="15" cm="1">
        <f t="array" ref="G103">MMS_Dairy_N2ODirect_Equations.VEERG_4_3_1_3__6_NitrogenRetainedByBody(IF($I$78="Milk solids", G88, G93),G65,G29,G98)</f>
        <v>1.2626203146474683E-3</v>
      </c>
      <c r="H103" s="15" cm="1">
        <f t="array" ref="H103">MMS_Dairy_N2ODirect_Equations.VEERG_4_3_1_3__6_NitrogenRetainedByBody(IF($I$78="Milk solids", H88, H93),H65,H29,H98)</f>
        <v>1.9757354894894087E-2</v>
      </c>
      <c r="I103" s="16" t="str">
        <f>$E$76</f>
        <v>kg N/head/day</v>
      </c>
      <c r="N103" s="15" cm="1">
        <f t="array" ref="N103">MMS_Dairy_N2ODirect_Equations.VEERG_4_3_1_3__6_NitrogenRetainedByBody(IF($I$78="Milk solids",N88,D93),N65,N29,N98)</f>
        <v>0.10350619833262559</v>
      </c>
      <c r="O103" s="15" cm="1">
        <f t="array" ref="O103">MMS_Dairy_N2ODirect_Equations.VEERG_4_3_1_3__6_NitrogenRetainedByBody(IF($I$78="Milk solids",O88,E93),O65,O29,O98)</f>
        <v>8.7932411900846184E-3</v>
      </c>
      <c r="P103" s="15" cm="1">
        <f t="array" ref="P103">MMS_Dairy_N2ODirect_Equations.VEERG_4_3_1_3__6_NitrogenRetainedByBody(IF($I$78="Milk solids",P88,F93),P65,P29,P98)</f>
        <v>1.4575548166167214E-2</v>
      </c>
      <c r="Q103" s="15" cm="1">
        <f t="array" ref="Q103">MMS_Dairy_N2ODirect_Equations.VEERG_4_3_1_3__6_NitrogenRetainedByBody(IF($I$78="Milk solids",Q88,G93),Q65,Q29,Q98)</f>
        <v>1.2626203146474683E-3</v>
      </c>
      <c r="R103" s="15" cm="1">
        <f t="array" ref="R103">MMS_Dairy_N2ODirect_Equations.VEERG_4_3_1_3__6_NitrogenRetainedByBody(IF($I$78="Milk solids",R88,H93),R65,R29,R98)</f>
        <v>1.9757354894894087E-2</v>
      </c>
      <c r="S103" s="16" t="str">
        <f>$E$76</f>
        <v>kg N/head/day</v>
      </c>
    </row>
    <row r="104" spans="3:21" ht="20.100000000000001" customHeight="1" x14ac:dyDescent="0.25"/>
    <row r="105" spans="3:21" ht="20.100000000000001" customHeight="1" x14ac:dyDescent="0.25"/>
    <row r="106" spans="3:21" ht="20.100000000000001" customHeight="1" x14ac:dyDescent="0.25">
      <c r="C106" s="88"/>
      <c r="D106" s="88"/>
      <c r="E106" s="88"/>
      <c r="F106" s="88"/>
      <c r="G106" s="88"/>
      <c r="H106" s="88"/>
      <c r="I106" s="88"/>
      <c r="J106" s="88"/>
      <c r="K106" s="88"/>
      <c r="M106" s="88"/>
      <c r="N106" s="88"/>
      <c r="O106" s="88"/>
      <c r="P106" s="88"/>
      <c r="Q106" s="88"/>
      <c r="R106" s="88"/>
      <c r="S106" s="88"/>
      <c r="T106" s="88"/>
      <c r="U106" s="88"/>
    </row>
    <row r="107" spans="3:21" ht="20.100000000000001" customHeight="1" x14ac:dyDescent="0.25">
      <c r="D107" s="2" t="str" cm="1">
        <f t="array" ref="D107">MMS_Dairy_N2ODirect_Equations.VEERG_4_3_1_3__5_CrudeProteinIntakeOfDairyCattle_Title()</f>
        <v>Crude protein intake of dairy cattle</v>
      </c>
    </row>
    <row r="108" spans="3:21" ht="20.100000000000001" customHeight="1" x14ac:dyDescent="0.25">
      <c r="D108" s="17" t="str" cm="1">
        <f t="array" ref="D108">MMS_Dairy_N2ODirect_Equations.VEERG_4_3_1_3__5_CrudeProteinIntakeOfDairyCattle_Source()</f>
        <v>VEERG 2026: 4.3.1.3, Equation (5)</v>
      </c>
    </row>
    <row r="109" spans="3:21" ht="20.100000000000001" customHeight="1" x14ac:dyDescent="0.25">
      <c r="D109" s="117" t="s">
        <v>382</v>
      </c>
      <c r="E109" s="117" t="str" cm="1">
        <f t="array" aca="1" ref="E109" ca="1">Common_InputFunctions.Utility_DisplayFunctionName(D126)</f>
        <v>=MMS_Dairy_N2ODirect_Equations.VEERG_4_3_1_3__5_CrudeProteinIntakeOfDairyCattle</v>
      </c>
    </row>
    <row r="110" spans="3:21" ht="20.100000000000001" customHeight="1" x14ac:dyDescent="0.25"/>
    <row r="111" spans="3:21" ht="20.100000000000001" customHeight="1" x14ac:dyDescent="0.25">
      <c r="D111" s="2"/>
    </row>
    <row r="112" spans="3:21" ht="20.100000000000001" customHeight="1" x14ac:dyDescent="0.25">
      <c r="D112" s="76" t="s">
        <v>383</v>
      </c>
      <c r="E112" s="1" t="str" cm="1">
        <f t="array" ref="E112">MMS_Dairy_N2ODirect_Equations.VEERG_4_3_1_3__5_CrudeProteinIntakeOfDairyCattle_Variable()</f>
        <v>CPI_j</v>
      </c>
    </row>
    <row r="113" spans="4:19" ht="20.100000000000001" customHeight="1" x14ac:dyDescent="0.25">
      <c r="D113" s="76" t="s">
        <v>118</v>
      </c>
      <c r="E113" s="9" t="str" cm="1">
        <f t="array" ref="E113">MMS_Dairy_N2ODirect_Equations.VEERG_4_3_1_3__5_CrudeProteinIntakeOfDairyCattle_Unit()</f>
        <v>kg/head/day</v>
      </c>
    </row>
    <row r="114" spans="4:19" ht="20.100000000000001" customHeight="1" x14ac:dyDescent="0.25"/>
    <row r="115" spans="4:19" ht="20.100000000000001" customHeight="1" x14ac:dyDescent="0.25">
      <c r="D115" s="119" t="str" cm="1">
        <f t="array" ref="D115:G116">MMS_Dairy_N2ODirect_Equations.VEERG_4_3_1_3__5_CrudeProteinIntakeOfDairyCattle_Arguments()</f>
        <v>I_j</v>
      </c>
      <c r="E115" s="119" t="str">
        <v>dry matter intake</v>
      </c>
      <c r="F115" s="119" t="str">
        <v>kgDM/head/day</v>
      </c>
      <c r="G115" s="127" t="str">
        <v>Calculated from 3.3.1.1 (3)</v>
      </c>
      <c r="H115" s="126" t="str" cm="1">
        <f t="array" aca="1" ref="H115" ca="1">HYPERLINK(Common_InputFunctions.Utility_SourceHyperlink($D$47),$D$47)</f>
        <v>M1_Table_I_j</v>
      </c>
    </row>
    <row r="116" spans="4:19" ht="20.100000000000001" customHeight="1" x14ac:dyDescent="0.25">
      <c r="D116" s="119" t="str">
        <v>CP_j</v>
      </c>
      <c r="E116" s="119" t="str">
        <v>crude protein content of feed intake</v>
      </c>
      <c r="F116" s="119" t="str">
        <v>fraction</v>
      </c>
      <c r="G116" s="120" t="str">
        <v>Input</v>
      </c>
      <c r="H116" s="126" t="str" cm="1">
        <f t="array" aca="1" ref="H116" ca="1">HYPERLINK(Common_InputFunctions.Utility_SourceHyperlink($D$118),$D$118)</f>
        <v>M1_Table_CP_j</v>
      </c>
    </row>
    <row r="117" spans="4:19" ht="20.100000000000001" customHeight="1" x14ac:dyDescent="0.25"/>
    <row r="118" spans="4:19" ht="20.100000000000001" customHeight="1" x14ac:dyDescent="0.25">
      <c r="D118" s="121" t="s">
        <v>489</v>
      </c>
      <c r="N118" s="121" t="s">
        <v>490</v>
      </c>
    </row>
    <row r="119" spans="4:19" ht="20.100000000000001" customHeight="1" x14ac:dyDescent="0.25">
      <c r="D119" s="122" t="s">
        <v>491</v>
      </c>
      <c r="N119" s="122" t="s">
        <v>492</v>
      </c>
    </row>
    <row r="120" spans="4:19" ht="20.100000000000001" customHeight="1" x14ac:dyDescent="0.25">
      <c r="D120" s="81" t="s">
        <v>334</v>
      </c>
      <c r="E120" s="81" t="s">
        <v>335</v>
      </c>
      <c r="F120" s="81" t="s">
        <v>336</v>
      </c>
      <c r="G120" s="81" t="s">
        <v>337</v>
      </c>
      <c r="H120" s="81" t="s">
        <v>338</v>
      </c>
      <c r="N120" s="81" t="s">
        <v>334</v>
      </c>
      <c r="O120" s="81" t="s">
        <v>335</v>
      </c>
      <c r="P120" s="81" t="s">
        <v>336</v>
      </c>
      <c r="Q120" s="81" t="s">
        <v>337</v>
      </c>
      <c r="R120" s="81" t="s">
        <v>338</v>
      </c>
    </row>
    <row r="121" spans="4:19" ht="20.100000000000001" customHeight="1" x14ac:dyDescent="0.25">
      <c r="D121" s="15">
        <f>INDEX(X_Table_Dairy_Diet_Method1,3,2)</f>
        <v>0.2</v>
      </c>
      <c r="E121" s="15">
        <f>INDEX(X_Table_Dairy_Diet_Method1,3,3)</f>
        <v>0.2</v>
      </c>
      <c r="F121" s="15">
        <f>INDEX(X_Table_Dairy_Diet_Method1,3,4)</f>
        <v>0.2</v>
      </c>
      <c r="G121" s="15">
        <f>INDEX(X_Table_Dairy_Diet_Method1,3,5)</f>
        <v>0.2</v>
      </c>
      <c r="H121" s="15">
        <f>INDEX(X_Table_Dairy_Diet_Method1,3,6)</f>
        <v>0.2</v>
      </c>
      <c r="I121" s="16" t="str">
        <f>$F$116</f>
        <v>fraction</v>
      </c>
      <c r="N121" s="15">
        <f>INDEX(X_Table_Dairy_Diet_Method2,3,2)</f>
        <v>0.2</v>
      </c>
      <c r="O121" s="15">
        <f>INDEX(X_Table_Dairy_Diet_Method2,3,3)</f>
        <v>0.2</v>
      </c>
      <c r="P121" s="15">
        <f>INDEX(X_Table_Dairy_Diet_Method2,3,4)</f>
        <v>0.2</v>
      </c>
      <c r="Q121" s="15">
        <f>INDEX(X_Table_Dairy_Diet_Method2,3,5)</f>
        <v>0.2</v>
      </c>
      <c r="R121" s="15">
        <f>INDEX(X_Table_Dairy_Diet_Method2,3,6)</f>
        <v>0.2</v>
      </c>
      <c r="S121" s="16" t="str">
        <f>$F$116</f>
        <v>fraction</v>
      </c>
    </row>
    <row r="122" spans="4:19" ht="20.100000000000001" customHeight="1" x14ac:dyDescent="0.25"/>
    <row r="123" spans="4:19" ht="20.100000000000001" customHeight="1" x14ac:dyDescent="0.25">
      <c r="D123" s="121" t="s">
        <v>493</v>
      </c>
      <c r="N123" s="121" t="s">
        <v>494</v>
      </c>
    </row>
    <row r="124" spans="4:19" ht="20.100000000000001" customHeight="1" x14ac:dyDescent="0.25">
      <c r="D124" s="122" t="s">
        <v>495</v>
      </c>
      <c r="N124" s="122" t="s">
        <v>496</v>
      </c>
    </row>
    <row r="125" spans="4:19" ht="20.100000000000001" customHeight="1" x14ac:dyDescent="0.25">
      <c r="D125" s="123" t="s">
        <v>334</v>
      </c>
      <c r="E125" s="123" t="s">
        <v>335</v>
      </c>
      <c r="F125" s="123" t="s">
        <v>336</v>
      </c>
      <c r="G125" s="123" t="s">
        <v>337</v>
      </c>
      <c r="H125" s="123" t="s">
        <v>338</v>
      </c>
      <c r="N125" s="123" t="s">
        <v>334</v>
      </c>
      <c r="O125" s="123" t="s">
        <v>335</v>
      </c>
      <c r="P125" s="123" t="s">
        <v>336</v>
      </c>
      <c r="Q125" s="123" t="s">
        <v>337</v>
      </c>
      <c r="R125" s="123" t="s">
        <v>338</v>
      </c>
    </row>
    <row r="126" spans="4:19" ht="20.100000000000001" customHeight="1" x14ac:dyDescent="0.25">
      <c r="D126" s="15" cm="1">
        <f t="array" ref="D126">MMS_Dairy_N2ODirect_Equations.VEERG_4_3_1_3__5_CrudeProteinIntakeOfDairyCattle(D50,D121)</f>
        <v>3.7668635368734389</v>
      </c>
      <c r="E126" s="15" cm="1">
        <f t="array" ref="E126">MMS_Dairy_N2ODirect_Equations.VEERG_4_3_1_3__5_CrudeProteinIntakeOfDairyCattle(E50,E121)</f>
        <v>1.4837737075199995</v>
      </c>
      <c r="F126" s="15" cm="1">
        <f t="array" ref="F126">MMS_Dairy_N2ODirect_Equations.VEERG_4_3_1_3__5_CrudeProteinIntakeOfDairyCattle(F50,F121)</f>
        <v>0.80463469324500003</v>
      </c>
      <c r="G126" s="15" cm="1">
        <f t="array" ref="G126">MMS_Dairy_N2ODirect_Equations.VEERG_4_3_1_3__5_CrudeProteinIntakeOfDairyCattle(G50,G121)</f>
        <v>1.8054040499999997</v>
      </c>
      <c r="H126" s="15" cm="1">
        <f t="array" ref="H126">MMS_Dairy_N2ODirect_Equations.VEERG_4_3_1_3__5_CrudeProteinIntakeOfDairyCattle(H50,H121)</f>
        <v>1.0828694531250003</v>
      </c>
      <c r="I126" s="16" t="str">
        <f>$E$113</f>
        <v>kg/head/day</v>
      </c>
      <c r="N126" s="15" cm="1">
        <f t="array" ref="N126">MMS_Dairy_N2ODirect_Equations.VEERG_4_3_1_3__5_CrudeProteinIntakeOfDairyCattle(N50,N121)</f>
        <v>3.7668635368734389</v>
      </c>
      <c r="O126" s="15" cm="1">
        <f t="array" ref="O126">MMS_Dairy_N2ODirect_Equations.VEERG_4_3_1_3__5_CrudeProteinIntakeOfDairyCattle(O50,O121)</f>
        <v>1.4837737075199995</v>
      </c>
      <c r="P126" s="15" cm="1">
        <f t="array" ref="P126">MMS_Dairy_N2ODirect_Equations.VEERG_4_3_1_3__5_CrudeProteinIntakeOfDairyCattle(P50,P121)</f>
        <v>0.80463469324500003</v>
      </c>
      <c r="Q126" s="15" cm="1">
        <f t="array" ref="Q126">MMS_Dairy_N2ODirect_Equations.VEERG_4_3_1_3__5_CrudeProteinIntakeOfDairyCattle(Q50,Q121)</f>
        <v>1.8054040499999997</v>
      </c>
      <c r="R126" s="15" cm="1">
        <f t="array" ref="R126">MMS_Dairy_N2ODirect_Equations.VEERG_4_3_1_3__5_CrudeProteinIntakeOfDairyCattle(R50,R121)</f>
        <v>1.0828694531250003</v>
      </c>
      <c r="S126" s="16" t="str">
        <f>$E$113</f>
        <v>kg/head/day</v>
      </c>
    </row>
    <row r="127" spans="4:19" ht="20.100000000000001" customHeight="1" x14ac:dyDescent="0.25"/>
    <row r="128" spans="4:19" ht="20.100000000000001" customHeight="1" x14ac:dyDescent="0.25"/>
    <row r="129" spans="3:21" ht="20.100000000000001" customHeight="1" x14ac:dyDescent="0.25">
      <c r="C129" s="88"/>
      <c r="D129" s="88"/>
      <c r="E129" s="88"/>
      <c r="F129" s="88"/>
      <c r="G129" s="88"/>
      <c r="H129" s="88"/>
      <c r="I129" s="88"/>
      <c r="J129" s="88"/>
      <c r="K129" s="88"/>
      <c r="M129" s="88"/>
      <c r="N129" s="88"/>
      <c r="O129" s="88"/>
      <c r="P129" s="88"/>
      <c r="Q129" s="88"/>
      <c r="R129" s="88"/>
      <c r="S129" s="88"/>
      <c r="T129" s="88"/>
      <c r="U129" s="88"/>
    </row>
    <row r="130" spans="3:21" ht="20.100000000000001" customHeight="1" x14ac:dyDescent="0.25">
      <c r="D130" s="2" t="str" cm="1">
        <f t="array" ref="D130">MMS_Dairy_N2ODirect_Equations.VEERG_4_3_1_3__4_NitrogenExcretedByDairyCattleGreaterThanOneYear_Title()</f>
        <v>Nitrogen excreted by dairy cattle greater than one year old</v>
      </c>
    </row>
    <row r="131" spans="3:21" ht="20.100000000000001" customHeight="1" x14ac:dyDescent="0.25">
      <c r="D131" s="17" t="str" cm="1">
        <f t="array" ref="D131">MMS_Dairy_N2ODirect_Equations.VEERG_4_3_1_3__4_NitrogenExcretedByDairyCattleGreaterThanOneYear_Source()</f>
        <v>VEERG 2026: 4.3.1.3, Equation (4)</v>
      </c>
    </row>
    <row r="132" spans="3:21" ht="20.100000000000001" customHeight="1" x14ac:dyDescent="0.25">
      <c r="D132" s="117" t="s">
        <v>382</v>
      </c>
      <c r="E132" s="117" t="str" cm="1">
        <f t="array" aca="1" ref="E132" ca="1">Common_InputFunctions.Utility_DisplayFunctionName(D146)</f>
        <v>=MMS_Dairy_N2ODirect_Equations.VEERG_4_3_1_3__4_NitrogenExcretedByDairyCattleGreaterThanOneYear</v>
      </c>
    </row>
    <row r="133" spans="3:21" ht="20.100000000000001" customHeight="1" x14ac:dyDescent="0.25"/>
    <row r="134" spans="3:21" ht="20.100000000000001" customHeight="1" x14ac:dyDescent="0.25">
      <c r="D134" s="2"/>
    </row>
    <row r="135" spans="3:21" ht="20.100000000000001" customHeight="1" x14ac:dyDescent="0.25"/>
    <row r="136" spans="3:21" ht="20.100000000000001" customHeight="1" x14ac:dyDescent="0.25">
      <c r="D136" s="76" t="s">
        <v>383</v>
      </c>
      <c r="E136" s="1" t="str" cm="1">
        <f t="array" ref="E136">MMS_Dairy_N2ODirect_Equations.VEERG_4_3_1_3__4_NitrogenExcretedByDairyCattleGreaterThanOneYear_Variable()</f>
        <v>NE_j</v>
      </c>
    </row>
    <row r="137" spans="3:21" ht="20.100000000000001" customHeight="1" x14ac:dyDescent="0.25">
      <c r="D137" s="76" t="s">
        <v>118</v>
      </c>
      <c r="E137" s="9" t="str" cm="1">
        <f t="array" ref="E137">MMS_Dairy_N2ODirect_Equations.VEERG_4_3_1_3__4_NitrogenExcretedByDairyCattleGreaterThanOneYear_Unit()</f>
        <v>kg N/head/day</v>
      </c>
    </row>
    <row r="138" spans="3:21" ht="20.100000000000001" customHeight="1" x14ac:dyDescent="0.25"/>
    <row r="139" spans="3:21" ht="20.100000000000001" customHeight="1" x14ac:dyDescent="0.25">
      <c r="D139" s="119" t="str" cm="1">
        <f t="array" ref="D139:E141">_xlfn.CHOOSECOLS(MMS_Dairy_N2ODirect_Equations.VEERG_4_3_1_3__4_NitrogenExcretedByDairyCattleGreaterThanOneYear_Arguments(),1,2)</f>
        <v>CPI_j</v>
      </c>
      <c r="E139" s="124" t="str">
        <v>crude protein intake (kg/head/day)</v>
      </c>
      <c r="F139" s="125"/>
      <c r="G139" s="119" t="str" cm="1">
        <f t="array" ref="G139:H141">_xlfn.CHOOSECOLS(MMS_Dairy_N2ODirect_Equations.VEERG_4_3_1_3__4_NitrogenExcretedByDairyCattleGreaterThanOneYear_Arguments(),3,4)</f>
        <v>kg/head/day</v>
      </c>
      <c r="H139" s="127" t="str">
        <v>Calculated from 4.3.1.3 (5)</v>
      </c>
      <c r="I139" s="126" t="str" cm="1">
        <f t="array" aca="1" ref="I139" ca="1">HYPERLINK(Common_InputFunctions.Utility_SourceHyperlink($D$123),$D$123)</f>
        <v>M1_Table_CPI_j</v>
      </c>
    </row>
    <row r="140" spans="3:21" ht="20.100000000000001" customHeight="1" x14ac:dyDescent="0.25">
      <c r="D140" s="119" t="str">
        <v>NR_j</v>
      </c>
      <c r="E140" s="124" t="str">
        <v>amount of nitrogen retained by the body</v>
      </c>
      <c r="F140" s="125"/>
      <c r="G140" s="119" t="str">
        <v>kg N/head/day</v>
      </c>
      <c r="H140" s="127" t="str">
        <v>Calculated from 4.3.1.3 (6)</v>
      </c>
      <c r="I140" s="126" t="str" cm="1">
        <f t="array" aca="1" ref="I140" ca="1">HYPERLINK(Common_InputFunctions.Utility_SourceHyperlink($D$100),$D$100)</f>
        <v>M1_Table_NR_j</v>
      </c>
    </row>
    <row r="141" spans="3:21" ht="20.100000000000001" customHeight="1" x14ac:dyDescent="0.25">
      <c r="D141" s="119" t="str">
        <v>W_j</v>
      </c>
      <c r="E141" s="124" t="str">
        <v>liveweight (kg)</v>
      </c>
      <c r="F141" s="125"/>
      <c r="G141" s="119" t="str">
        <v>kg</v>
      </c>
      <c r="H141" s="120" t="str">
        <v>Input</v>
      </c>
      <c r="I141" s="126" t="str" cm="1">
        <f t="array" aca="1" ref="I141" ca="1">HYPERLINK(Common_InputFunctions.Utility_SourceHyperlink($D$16),$D$16)</f>
        <v>M1_Table_W_j</v>
      </c>
    </row>
    <row r="142" spans="3:21" ht="20.100000000000001" customHeight="1" x14ac:dyDescent="0.25"/>
    <row r="143" spans="3:21" ht="20.100000000000001" customHeight="1" x14ac:dyDescent="0.25">
      <c r="D143" s="121" t="s">
        <v>497</v>
      </c>
      <c r="N143" s="121" t="s">
        <v>498</v>
      </c>
    </row>
    <row r="144" spans="3:21" ht="20.100000000000001" customHeight="1" x14ac:dyDescent="0.25">
      <c r="D144" s="122" t="s">
        <v>499</v>
      </c>
      <c r="N144" s="122" t="s">
        <v>500</v>
      </c>
    </row>
    <row r="145" spans="3:21" ht="20.100000000000001" customHeight="1" x14ac:dyDescent="0.25">
      <c r="D145" s="123" t="s">
        <v>334</v>
      </c>
      <c r="E145" s="123" t="s">
        <v>335</v>
      </c>
      <c r="F145" s="123" t="s">
        <v>336</v>
      </c>
      <c r="G145" s="123" t="s">
        <v>337</v>
      </c>
      <c r="H145" s="123" t="s">
        <v>338</v>
      </c>
      <c r="N145" s="123" t="s">
        <v>334</v>
      </c>
      <c r="O145" s="123" t="s">
        <v>335</v>
      </c>
      <c r="P145" s="123" t="s">
        <v>336</v>
      </c>
      <c r="Q145" s="123" t="s">
        <v>337</v>
      </c>
      <c r="R145" s="123" t="s">
        <v>338</v>
      </c>
    </row>
    <row r="146" spans="3:21" ht="20.100000000000001" customHeight="1" x14ac:dyDescent="0.25">
      <c r="D146" s="15" cm="1">
        <f t="array" ref="D146">MMS_Dairy_N2ODirect_Equations.VEERG_4_3_1_3__4_NitrogenExcretedByDairyCattleGreaterThanOneYear(D126,D103,D19)</f>
        <v>0.49719309694578667</v>
      </c>
      <c r="E146" s="15" cm="1">
        <f t="array" ref="E146">MMS_Dairy_N2ODirect_Equations.VEERG_4_3_1_3__4_NitrogenExcretedByDairyCattleGreaterThanOneYear(E126,E103,E19)</f>
        <v>0.22709576921272823</v>
      </c>
      <c r="F146" s="15" cm="1">
        <f t="array" ref="F146">MMS_Dairy_N2ODirect_Equations.VEERG_4_3_1_3__4_NitrogenExcretedByDairyCattleGreaterThanOneYear(F126,F103,F19)</f>
        <v>0.1133928568810149</v>
      </c>
      <c r="G146" s="15" cm="1">
        <f t="array" ref="G146">MMS_Dairy_N2ODirect_Equations.VEERG_4_3_1_3__4_NitrogenExcretedByDairyCattleGreaterThanOneYear(G126,G103,G19)</f>
        <v>0.28546836331241399</v>
      </c>
      <c r="H146" s="15" cm="1">
        <f t="array" ref="H146">MMS_Dairy_N2ODirect_Equations.VEERG_4_3_1_3__4_NitrogenExcretedByDairyCattleGreaterThanOneYear(H126,H103,H19)</f>
        <v>0.15247929000170721</v>
      </c>
      <c r="I146" s="16" t="str">
        <f>$E$137</f>
        <v>kg N/head/day</v>
      </c>
      <c r="N146" s="15" cm="1">
        <f t="array" ref="N146">MMS_Dairy_N2ODirect_Equations.VEERG_4_3_1_3__4_NitrogenExcretedByDairyCattleGreaterThanOneYear(N126,N103,N19)</f>
        <v>0.49719309694578667</v>
      </c>
      <c r="O146" s="15" cm="1">
        <f t="array" ref="O146">MMS_Dairy_N2ODirect_Equations.VEERG_4_3_1_3__4_NitrogenExcretedByDairyCattleGreaterThanOneYear(O126,O103,O19)</f>
        <v>0.22709576921272823</v>
      </c>
      <c r="P146" s="15" cm="1">
        <f t="array" ref="P146">MMS_Dairy_N2ODirect_Equations.VEERG_4_3_1_3__4_NitrogenExcretedByDairyCattleGreaterThanOneYear(P126,P103,P19)</f>
        <v>0.1133928568810149</v>
      </c>
      <c r="Q146" s="15" cm="1">
        <f t="array" ref="Q146">MMS_Dairy_N2ODirect_Equations.VEERG_4_3_1_3__4_NitrogenExcretedByDairyCattleGreaterThanOneYear(Q126,Q103,Q19)</f>
        <v>0.28546836331241399</v>
      </c>
      <c r="R146" s="15" cm="1">
        <f t="array" ref="R146">MMS_Dairy_N2ODirect_Equations.VEERG_4_3_1_3__4_NitrogenExcretedByDairyCattleGreaterThanOneYear(R126,R103,R19)</f>
        <v>0.15247929000170721</v>
      </c>
      <c r="S146" s="16" t="str">
        <f>$E$137</f>
        <v>kg N/head/day</v>
      </c>
    </row>
    <row r="147" spans="3:21" ht="20.100000000000001" customHeight="1" x14ac:dyDescent="0.25"/>
    <row r="148" spans="3:21" ht="20.100000000000001" customHeight="1" x14ac:dyDescent="0.25"/>
    <row r="149" spans="3:21" ht="20.100000000000001" customHeight="1" x14ac:dyDescent="0.25">
      <c r="C149" s="88"/>
      <c r="D149" s="88"/>
      <c r="E149" s="88"/>
      <c r="F149" s="88"/>
      <c r="G149" s="88"/>
      <c r="H149" s="88"/>
      <c r="I149" s="88"/>
      <c r="J149" s="88"/>
      <c r="K149" s="88"/>
      <c r="M149" s="88"/>
      <c r="N149" s="88"/>
      <c r="O149" s="88"/>
      <c r="P149" s="88"/>
      <c r="Q149" s="88"/>
      <c r="R149" s="88"/>
      <c r="S149" s="88"/>
      <c r="T149" s="88"/>
      <c r="U149" s="88"/>
    </row>
    <row r="150" spans="3:21" ht="20.100000000000001" customHeight="1" x14ac:dyDescent="0.25">
      <c r="D150" s="2"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17" t="str" cm="1">
        <f t="array" ref="D151">MMS_Dairy_N2ODirect_Equations.VEERG_4_3_1_3__3a_TotalAnnualNitrogenExcretedGreaterThanOneYear_Source()</f>
        <v>VEERG 2026: 4.3.1.3, Equation (3a)</v>
      </c>
    </row>
    <row r="152" spans="3:21" ht="20.100000000000001" customHeight="1" x14ac:dyDescent="0.25">
      <c r="D152" s="25"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17" t="s">
        <v>382</v>
      </c>
      <c r="E153" s="117"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2"/>
    </row>
    <row r="156" spans="3:21" ht="20.100000000000001" customHeight="1" x14ac:dyDescent="0.25">
      <c r="D156" s="76" t="s">
        <v>383</v>
      </c>
      <c r="E156" s="1" t="str" cm="1">
        <f t="array" ref="E156">MMS_Dairy_N2ODirect_Equations.VEERG_4_3_1_3__3a_TotalAnnualNitrogenExcretedGreaterThanOneYear_Variable()</f>
        <v>AE_j124</v>
      </c>
    </row>
    <row r="157" spans="3:21" ht="20.100000000000001" customHeight="1" x14ac:dyDescent="0.25">
      <c r="D157" s="76" t="s">
        <v>118</v>
      </c>
      <c r="E157" s="9"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19" t="str" cm="1">
        <f t="array" ref="D159:E161">_xlfn.CHOOSECOLS(MMS_Dairy_N2ODirect_Equations.VEERG_4_3_1_3__3a_TotalAnnualNitrogenExcretedGreaterThanOneYear_Arguments(),1,2)</f>
        <v>N_j124</v>
      </c>
      <c r="E159" s="124" t="str">
        <v>number of dairy cattle in classes j=1,2,4</v>
      </c>
      <c r="F159" s="125"/>
      <c r="G159" s="119" t="str" cm="1">
        <f t="array" ref="G159:H161">_xlfn.CHOOSECOLS(MMS_Dairy_N2ODirect_Equations.VEERG_4_3_1_3__3a_TotalAnnualNitrogenExcretedGreaterThanOneYear_Arguments(),3,4)</f>
        <v>head</v>
      </c>
      <c r="H159" s="120" t="str">
        <v>Input</v>
      </c>
      <c r="I159" s="126" t="str" cm="1">
        <f t="array" aca="1" ref="I159" ca="1">HYPERLINK(Common_InputFunctions.Utility_SourceHyperlink($D$163),$D$163)</f>
        <v>Table_N_j</v>
      </c>
    </row>
    <row r="160" spans="3:21" ht="20.100000000000001" customHeight="1" x14ac:dyDescent="0.25">
      <c r="D160" s="119" t="str">
        <v>NE_j124</v>
      </c>
      <c r="E160" s="124" t="str">
        <v>nitrogen excreted by dairy cattle greater than one year old (kg N/head/day)</v>
      </c>
      <c r="F160" s="125"/>
      <c r="G160" s="119" t="str">
        <v>kg N/head/day</v>
      </c>
      <c r="H160" s="127" t="str">
        <v>Calculated from 4.3.1.3 (4)</v>
      </c>
      <c r="I160" s="126" t="str" cm="1">
        <f t="array" aca="1" ref="I160" ca="1">HYPERLINK(Common_InputFunctions.Utility_SourceHyperlink($D$143),$D$143)</f>
        <v>M1_Table_NE_j</v>
      </c>
    </row>
    <row r="161" spans="1:19" ht="20.100000000000001" customHeight="1" x14ac:dyDescent="0.25">
      <c r="D161" s="119" t="str">
        <v>D_j124</v>
      </c>
      <c r="E161" s="124" t="str">
        <v>duration of stay on farm for classes j=1,2,4 (days)</v>
      </c>
      <c r="F161" s="125"/>
      <c r="G161" s="119" t="str">
        <v>days</v>
      </c>
      <c r="H161" s="120" t="str">
        <v>Input</v>
      </c>
      <c r="I161" s="126" t="str" cm="1">
        <f t="array" aca="1" ref="I161" ca="1">HYPERLINK(Common_InputFunctions.Utility_SourceHyperlink($D$168),$D$168)</f>
        <v>M1_Table_D_j-1-2-4</v>
      </c>
    </row>
    <row r="162" spans="1:19" ht="20.100000000000001" customHeight="1" x14ac:dyDescent="0.25"/>
    <row r="163" spans="1:19" ht="20.100000000000001" customHeight="1" x14ac:dyDescent="0.25">
      <c r="D163" s="121" t="s">
        <v>456</v>
      </c>
    </row>
    <row r="164" spans="1:19" ht="20.100000000000001" customHeight="1" x14ac:dyDescent="0.25">
      <c r="D164" s="122" t="s">
        <v>457</v>
      </c>
    </row>
    <row r="165" spans="1:19" ht="20.100000000000001" customHeight="1" x14ac:dyDescent="0.25">
      <c r="D165" s="81" t="s">
        <v>334</v>
      </c>
      <c r="E165" s="81" t="s">
        <v>335</v>
      </c>
      <c r="F165" s="81" t="s">
        <v>336</v>
      </c>
      <c r="G165" s="81" t="s">
        <v>337</v>
      </c>
      <c r="H165" s="81" t="s">
        <v>338</v>
      </c>
    </row>
    <row r="166" spans="1:19" ht="20.100000000000001" customHeight="1" x14ac:dyDescent="0.25">
      <c r="D166" s="133">
        <f>INDEX(X_Table_Dairy_HerdMovement,2,2)</f>
        <v>100</v>
      </c>
      <c r="E166" s="133">
        <f>INDEX(X_Table_Dairy_HerdMovement,2,3)</f>
        <v>100</v>
      </c>
      <c r="F166" s="133">
        <f>INDEX(X_Table_Dairy_HerdMovement,2,4)</f>
        <v>100</v>
      </c>
      <c r="G166" s="133">
        <f>INDEX(X_Table_Dairy_HerdMovement,2,5)</f>
        <v>100</v>
      </c>
      <c r="H166" s="133">
        <f>INDEX(X_Table_Dairy_HerdMovement,2,6)</f>
        <v>100</v>
      </c>
      <c r="I166" s="16" t="str">
        <f>G159</f>
        <v>head</v>
      </c>
    </row>
    <row r="167" spans="1:19" ht="20.100000000000001" customHeight="1" x14ac:dyDescent="0.25"/>
    <row r="168" spans="1:19" ht="20.100000000000001" customHeight="1" x14ac:dyDescent="0.25">
      <c r="D168" s="121" t="s">
        <v>501</v>
      </c>
      <c r="N168" s="121" t="s">
        <v>502</v>
      </c>
    </row>
    <row r="169" spans="1:19" ht="20.100000000000001" customHeight="1" x14ac:dyDescent="0.25">
      <c r="D169" s="122" t="s">
        <v>503</v>
      </c>
      <c r="N169" s="122" t="s">
        <v>504</v>
      </c>
    </row>
    <row r="170" spans="1:19" ht="20.100000000000001" customHeight="1" x14ac:dyDescent="0.25">
      <c r="D170" s="81" t="s">
        <v>334</v>
      </c>
      <c r="E170" s="81" t="s">
        <v>335</v>
      </c>
      <c r="F170" s="81" t="s">
        <v>336</v>
      </c>
      <c r="G170" s="81" t="s">
        <v>337</v>
      </c>
      <c r="H170" s="81" t="s">
        <v>338</v>
      </c>
      <c r="N170" s="81" t="s">
        <v>334</v>
      </c>
      <c r="O170" s="81" t="s">
        <v>335</v>
      </c>
      <c r="P170" s="81" t="s">
        <v>336</v>
      </c>
      <c r="Q170" s="81" t="s">
        <v>337</v>
      </c>
      <c r="R170" s="81" t="s">
        <v>338</v>
      </c>
    </row>
    <row r="171" spans="1:19" ht="20.100000000000001" customHeight="1" x14ac:dyDescent="0.25">
      <c r="A171" s="128" t="str">
        <f>HYPERLINK("#A1", "▲ Back to top")</f>
        <v>▲ Back to top</v>
      </c>
      <c r="D171" s="15">
        <f>INDEX(X_Table_Dairy_DurationOfStay_Method1,2,2)</f>
        <v>365</v>
      </c>
      <c r="E171" s="15">
        <f>INDEX(X_Table_Dairy_DurationOfStay_Method1,2,3)</f>
        <v>365</v>
      </c>
      <c r="F171" s="15">
        <v>0</v>
      </c>
      <c r="G171" s="15">
        <f>INDEX(X_Table_Dairy_DurationOfStay_Method1,2,5)</f>
        <v>365</v>
      </c>
      <c r="H171" s="15">
        <v>0</v>
      </c>
      <c r="I171" s="16" t="str">
        <f>G161</f>
        <v>days</v>
      </c>
      <c r="N171" s="15">
        <f>INDEX(X_Table_Dairy_DurationOfStay_Method2,2,2)</f>
        <v>365</v>
      </c>
      <c r="O171" s="15">
        <f>INDEX(X_Table_Dairy_DurationOfStay_Method2,2,3)</f>
        <v>365</v>
      </c>
      <c r="P171" s="15">
        <v>0</v>
      </c>
      <c r="Q171" s="15">
        <f>INDEX(X_Table_Dairy_DurationOfStay_Method2,2,5)</f>
        <v>365</v>
      </c>
      <c r="R171" s="15">
        <v>0</v>
      </c>
      <c r="S171" s="16" t="s">
        <v>112</v>
      </c>
    </row>
    <row r="172" spans="1:19" ht="20.100000000000001" customHeight="1" x14ac:dyDescent="0.25"/>
    <row r="173" spans="1:19" ht="20.100000000000001" customHeight="1" x14ac:dyDescent="0.25">
      <c r="D173" s="121" t="s">
        <v>505</v>
      </c>
      <c r="N173" s="121" t="s">
        <v>506</v>
      </c>
    </row>
    <row r="174" spans="1:19" ht="20.100000000000001" customHeight="1" x14ac:dyDescent="0.25">
      <c r="D174" s="122" t="s">
        <v>507</v>
      </c>
      <c r="N174" s="122" t="s">
        <v>508</v>
      </c>
    </row>
    <row r="175" spans="1:19" ht="20.100000000000001" customHeight="1" x14ac:dyDescent="0.25">
      <c r="D175" s="123" t="s">
        <v>334</v>
      </c>
      <c r="E175" s="123" t="s">
        <v>335</v>
      </c>
      <c r="F175" s="123" t="s">
        <v>336</v>
      </c>
      <c r="G175" s="123" t="s">
        <v>337</v>
      </c>
      <c r="H175" s="123" t="s">
        <v>338</v>
      </c>
      <c r="N175" s="123" t="s">
        <v>334</v>
      </c>
      <c r="O175" s="123" t="s">
        <v>335</v>
      </c>
      <c r="P175" s="123" t="s">
        <v>336</v>
      </c>
      <c r="Q175" s="123" t="s">
        <v>337</v>
      </c>
      <c r="R175" s="123" t="s">
        <v>338</v>
      </c>
    </row>
    <row r="176" spans="1:19" ht="20.100000000000001" customHeight="1" x14ac:dyDescent="0.25">
      <c r="D176" s="15" cm="1">
        <f t="array" ref="D176">MMS_Dairy_N2ODirect_Equations.VEERG_4_3_1_3__3a_TotalAnnualNitrogenExcretedGreaterThanOneYearVariation(D166,D146,D171)</f>
        <v>18147.548038521214</v>
      </c>
      <c r="E176" s="15" cm="1">
        <f t="array" ref="E176">MMS_Dairy_N2ODirect_Equations.VEERG_4_3_1_3__3a_TotalAnnualNitrogenExcretedGreaterThanOneYearVariation(E166,E146,E171)</f>
        <v>8288.9955762645804</v>
      </c>
      <c r="F176" s="15" cm="1">
        <f t="array" ref="F176">MMS_Dairy_N2ODirect_Equations.VEERG_4_3_1_3__3a_TotalAnnualNitrogenExcretedGreaterThanOneYearVariation(F166,F146,F171)</f>
        <v>0</v>
      </c>
      <c r="G176" s="15" cm="1">
        <f t="array" ref="G176">MMS_Dairy_N2ODirect_Equations.VEERG_4_3_1_3__3a_TotalAnnualNitrogenExcretedGreaterThanOneYearVariation(G166,G146,G171)</f>
        <v>10419.59526090311</v>
      </c>
      <c r="H176" s="15" cm="1">
        <f t="array" ref="H176">MMS_Dairy_N2ODirect_Equations.VEERG_4_3_1_3__3a_TotalAnnualNitrogenExcretedGreaterThanOneYearVariation(H166,H146,H171)</f>
        <v>0</v>
      </c>
      <c r="I176" s="16" t="str">
        <f>$E$157</f>
        <v>kg N</v>
      </c>
      <c r="N176" s="15" cm="1">
        <f t="array" ref="N176">MMS_Dairy_N2ODirect_Equations.VEERG_4_3_1_3__3a_TotalAnnualNitrogenExcretedGreaterThanOneYearVariation(D166,N146,N171)</f>
        <v>18147.548038521214</v>
      </c>
      <c r="O176" s="15" cm="1">
        <f t="array" ref="O176">MMS_Dairy_N2ODirect_Equations.VEERG_4_3_1_3__3a_TotalAnnualNitrogenExcretedGreaterThanOneYearVariation(E166,O146,O171)</f>
        <v>8288.9955762645804</v>
      </c>
      <c r="P176" s="15" cm="1">
        <f t="array" ref="P176">MMS_Dairy_N2ODirect_Equations.VEERG_4_3_1_3__3a_TotalAnnualNitrogenExcretedGreaterThanOneYearVariation(F166,P146,P171)</f>
        <v>0</v>
      </c>
      <c r="Q176" s="15" cm="1">
        <f t="array" ref="Q176">MMS_Dairy_N2ODirect_Equations.VEERG_4_3_1_3__3a_TotalAnnualNitrogenExcretedGreaterThanOneYearVariation(G166,Q146,Q171)</f>
        <v>10419.59526090311</v>
      </c>
      <c r="R176" s="15" cm="1">
        <f t="array" ref="R176">MMS_Dairy_N2ODirect_Equations.VEERG_4_3_1_3__3a_TotalAnnualNitrogenExcretedGreaterThanOneYearVariation(H166,R146,R171)</f>
        <v>0</v>
      </c>
      <c r="S176" s="16" t="str">
        <f>$E$157</f>
        <v>kg N</v>
      </c>
    </row>
    <row r="177" spans="3:21" ht="20.100000000000001" customHeight="1" x14ac:dyDescent="0.25"/>
    <row r="178" spans="3:21" ht="20.100000000000001" customHeight="1" x14ac:dyDescent="0.25"/>
    <row r="179" spans="3:21" ht="20.100000000000001" customHeight="1" x14ac:dyDescent="0.25">
      <c r="C179" s="88"/>
      <c r="D179" s="88"/>
      <c r="E179" s="88"/>
      <c r="F179" s="88"/>
      <c r="G179" s="88"/>
      <c r="H179" s="88"/>
      <c r="I179" s="88"/>
      <c r="J179" s="88"/>
      <c r="K179" s="88"/>
      <c r="M179" s="88"/>
      <c r="N179" s="88"/>
      <c r="O179" s="88"/>
      <c r="P179" s="88"/>
      <c r="Q179" s="88"/>
      <c r="R179" s="88"/>
      <c r="S179" s="88"/>
      <c r="T179" s="88"/>
      <c r="U179" s="88"/>
    </row>
    <row r="180" spans="3:21" ht="20.100000000000001" customHeight="1" x14ac:dyDescent="0.25">
      <c r="D180" s="2"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17" t="str" cm="1">
        <f t="array" ref="D181">MMS_Dairy_N2ODirect_Equations.VEERG_4_3_1_3__3b_TotalAnnualNitrogenExcretedLessThanOneYear_Source()</f>
        <v>VEERG 2026: 4.3.1.3, Equation (3b)</v>
      </c>
    </row>
    <row r="182" spans="3:21" ht="20.100000000000001" customHeight="1" x14ac:dyDescent="0.25">
      <c r="D182" s="25"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17" t="s">
        <v>382</v>
      </c>
      <c r="E183" s="117" t="str" cm="1">
        <f t="array" aca="1" ref="E183" ca="1">Common_InputFunctions.Utility_DisplayFunctionName(D213)</f>
        <v>=MMS_Dairy_N2ODirect_Equations.VEERG_4_3_1_3__3b_TotalAnnualNitrogenExcretedLessThanOneYearVariation</v>
      </c>
    </row>
    <row r="184" spans="3:21" ht="20.100000000000001" customHeight="1" x14ac:dyDescent="0.25">
      <c r="D184" s="2"/>
    </row>
    <row r="185" spans="3:21" ht="20.100000000000001" customHeight="1" x14ac:dyDescent="0.25">
      <c r="D185" s="2"/>
    </row>
    <row r="186" spans="3:21" ht="20.100000000000001" customHeight="1" x14ac:dyDescent="0.25">
      <c r="D186" s="76" t="s">
        <v>383</v>
      </c>
      <c r="E186" s="1" t="str" cm="1">
        <f t="array" ref="E186">MMS_Dairy_N2ODirect_Equations.VEERG_4_3_1_3__3b_TotalAnnualNitrogenExcretedLessThanOneYear_Variable()</f>
        <v>AE_j35</v>
      </c>
    </row>
    <row r="187" spans="3:21" ht="20.100000000000001" customHeight="1" x14ac:dyDescent="0.25">
      <c r="D187" s="76" t="s">
        <v>118</v>
      </c>
      <c r="E187" s="9"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19" t="str" cm="1">
        <f t="array" ref="D189:E193">_xlfn.CHOOSECOLS(MMS_Dairy_N2ODirect_Equations.VEERG_4_3_1_3__3b_TotalAnnualNitrogenExcretedLessThanOneYear_Arguments(),1,2)</f>
        <v>N_j35</v>
      </c>
      <c r="E189" s="124" t="str">
        <v>number of dairy cattle in classes j=3,5</v>
      </c>
      <c r="F189" s="125"/>
      <c r="G189" s="119" t="str" cm="1">
        <f t="array" ref="G189:H193">_xlfn.CHOOSECOLS(MMS_Dairy_N2ODirect_Equations.VEERG_4_3_1_3__3b_TotalAnnualNitrogenExcretedLessThanOneYear_Arguments(),3,4)</f>
        <v>head</v>
      </c>
      <c r="H189" s="120" t="str">
        <v>Input</v>
      </c>
      <c r="I189" s="126" t="str" cm="1">
        <f t="array" aca="1" ref="I189" ca="1">HYPERLINK(Common_InputFunctions.Utility_SourceHyperlink($D$163),$D$163)</f>
        <v>Table_N_j</v>
      </c>
    </row>
    <row r="190" spans="3:21" ht="20.100000000000001" customHeight="1" x14ac:dyDescent="0.25">
      <c r="D190" s="119" t="str">
        <v>NE_j35</v>
      </c>
      <c r="E190" s="124" t="str">
        <v>nitrogen excreted by weaned dairy cattle less than one year old (kg N/head/day)</v>
      </c>
      <c r="F190" s="125"/>
      <c r="G190" s="119" t="str">
        <v>kg N/head/day</v>
      </c>
      <c r="H190" s="127" t="str">
        <v>Calculated from 4.3.1.3 (4)</v>
      </c>
      <c r="I190" s="126" t="str" cm="1">
        <f t="array" aca="1" ref="I190" ca="1">HYPERLINK(Common_InputFunctions.Utility_SourceHyperlink($D$143),$D$143)</f>
        <v>M1_Table_NE_j</v>
      </c>
    </row>
    <row r="191" spans="3:21" ht="20.100000000000001" customHeight="1" x14ac:dyDescent="0.25">
      <c r="D191" s="119" t="str">
        <v>NPW_j35</v>
      </c>
      <c r="E191" s="124" t="str">
        <v>nitrogen excreted by pre-weaned calves (kg N/head/day)</v>
      </c>
      <c r="F191" s="125"/>
      <c r="G191" s="119" t="str">
        <v>kg N/head/day</v>
      </c>
      <c r="H191" s="127" t="str">
        <v>Constant</v>
      </c>
      <c r="I191" s="126" t="str" cm="1">
        <f t="array" aca="1" ref="I191" ca="1">HYPERLINK(Common_InputFunctions.Utility_SourceHyperlink($D$195),$D$195)</f>
        <v>Table_NPW_j-3-5</v>
      </c>
    </row>
    <row r="192" spans="3:21" ht="20.100000000000001" customHeight="1" x14ac:dyDescent="0.25">
      <c r="D192" s="119" t="str">
        <v>D_j35</v>
      </c>
      <c r="E192" s="124" t="str">
        <v>duration of stay on farm for weaned dairy cattle less than one year old (days)</v>
      </c>
      <c r="F192" s="125"/>
      <c r="G192" s="119" t="str">
        <v>days</v>
      </c>
      <c r="H192" s="120" t="str">
        <v>Input</v>
      </c>
      <c r="I192" s="126" t="str" cm="1">
        <f t="array" aca="1" ref="I192" ca="1">HYPERLINK(Common_InputFunctions.Utility_SourceHyperlink($D$200),$D$200)</f>
        <v>M1_Table_D_j-3-5</v>
      </c>
    </row>
    <row r="193" spans="1:19" ht="20.100000000000001" customHeight="1" x14ac:dyDescent="0.25">
      <c r="D193" s="119" t="str">
        <v>DPW_j35</v>
      </c>
      <c r="E193" s="124" t="str">
        <v>duration of stay on farm for pre-weaned calves (days)</v>
      </c>
      <c r="F193" s="125"/>
      <c r="G193" s="119" t="str">
        <v>days</v>
      </c>
      <c r="H193" s="120" t="str">
        <v>Input</v>
      </c>
      <c r="I193" s="126" t="str" cm="1">
        <f t="array" aca="1" ref="I193" ca="1">HYPERLINK(Common_InputFunctions.Utility_SourceHyperlink($D$205),$D$205)</f>
        <v>M1_Table_DPW_j</v>
      </c>
    </row>
    <row r="194" spans="1:19" ht="20.100000000000001" customHeight="1" x14ac:dyDescent="0.25"/>
    <row r="195" spans="1:19" ht="20.100000000000001" customHeight="1" x14ac:dyDescent="0.25">
      <c r="D195" s="121" t="s">
        <v>509</v>
      </c>
    </row>
    <row r="196" spans="1:19" ht="20.100000000000001" customHeight="1" x14ac:dyDescent="0.25">
      <c r="D196" s="122" t="s">
        <v>510</v>
      </c>
    </row>
    <row r="197" spans="1:19" ht="20.100000000000001" customHeight="1" x14ac:dyDescent="0.25">
      <c r="D197" s="123" t="s">
        <v>334</v>
      </c>
      <c r="E197" s="123" t="s">
        <v>335</v>
      </c>
      <c r="F197" s="123" t="s">
        <v>336</v>
      </c>
      <c r="G197" s="123" t="s">
        <v>337</v>
      </c>
      <c r="H197" s="123" t="s">
        <v>338</v>
      </c>
    </row>
    <row r="198" spans="1:19" ht="20.100000000000001" customHeight="1" x14ac:dyDescent="0.25">
      <c r="D198" s="15">
        <v>0</v>
      </c>
      <c r="E198" s="15">
        <v>0</v>
      </c>
      <c r="F198" s="15">
        <f>'Constants - Dairy'!$G$63</f>
        <v>1.37E-2</v>
      </c>
      <c r="G198" s="15">
        <v>0</v>
      </c>
      <c r="H198" s="15">
        <f>'Constants - Dairy'!$G$64</f>
        <v>9.1999999999999998E-3</v>
      </c>
      <c r="I198" s="16" t="str">
        <f>G191</f>
        <v>kg N/head/day</v>
      </c>
    </row>
    <row r="199" spans="1:19" ht="20.100000000000001" customHeight="1" x14ac:dyDescent="0.25"/>
    <row r="200" spans="1:19" ht="20.100000000000001" customHeight="1" x14ac:dyDescent="0.25">
      <c r="D200" s="121" t="s">
        <v>511</v>
      </c>
      <c r="N200" s="121" t="s">
        <v>511</v>
      </c>
    </row>
    <row r="201" spans="1:19" ht="20.100000000000001" customHeight="1" x14ac:dyDescent="0.25">
      <c r="D201" s="122" t="s">
        <v>512</v>
      </c>
      <c r="N201" s="122" t="s">
        <v>513</v>
      </c>
    </row>
    <row r="202" spans="1:19" ht="20.100000000000001" customHeight="1" x14ac:dyDescent="0.25">
      <c r="D202" s="81" t="s">
        <v>334</v>
      </c>
      <c r="E202" s="81" t="s">
        <v>335</v>
      </c>
      <c r="F202" s="81" t="s">
        <v>336</v>
      </c>
      <c r="G202" s="81" t="s">
        <v>337</v>
      </c>
      <c r="H202" s="81" t="s">
        <v>338</v>
      </c>
      <c r="N202" s="81" t="s">
        <v>334</v>
      </c>
      <c r="O202" s="81" t="s">
        <v>335</v>
      </c>
      <c r="P202" s="81" t="s">
        <v>336</v>
      </c>
      <c r="Q202" s="81" t="s">
        <v>337</v>
      </c>
      <c r="R202" s="81" t="s">
        <v>338</v>
      </c>
    </row>
    <row r="203" spans="1:19" ht="20.100000000000001" customHeight="1" x14ac:dyDescent="0.25">
      <c r="D203" s="15">
        <v>0</v>
      </c>
      <c r="E203" s="15">
        <v>0</v>
      </c>
      <c r="F203" s="15">
        <f>INDEX(X_Table_Dairy_DurationOfStay_Method1,2,4)</f>
        <v>281</v>
      </c>
      <c r="G203" s="15">
        <v>0</v>
      </c>
      <c r="H203" s="15">
        <f>INDEX(X_Table_Dairy_DurationOfStay_Method1,2,6)</f>
        <v>281</v>
      </c>
      <c r="I203" s="16" t="str">
        <f>$G$192</f>
        <v>days</v>
      </c>
      <c r="N203" s="15">
        <v>0</v>
      </c>
      <c r="O203" s="15">
        <v>0</v>
      </c>
      <c r="P203" s="15">
        <f>INDEX(X_Table_Dairy_DurationOfStay_Method2,2,4)</f>
        <v>281</v>
      </c>
      <c r="Q203" s="15">
        <v>0</v>
      </c>
      <c r="R203" s="15">
        <f>INDEX(X_Table_Dairy_DurationOfStay_Method2,2,6)</f>
        <v>281</v>
      </c>
      <c r="S203" s="16" t="str">
        <f>$G$192</f>
        <v>days</v>
      </c>
    </row>
    <row r="204" spans="1:19" ht="20.100000000000001" customHeight="1" x14ac:dyDescent="0.25"/>
    <row r="205" spans="1:19" ht="20.100000000000001" customHeight="1" x14ac:dyDescent="0.25">
      <c r="D205" s="121" t="s">
        <v>466</v>
      </c>
      <c r="N205" s="121" t="s">
        <v>466</v>
      </c>
    </row>
    <row r="206" spans="1:19" ht="20.100000000000001" customHeight="1" x14ac:dyDescent="0.25">
      <c r="D206" s="122" t="s">
        <v>467</v>
      </c>
      <c r="N206" s="122" t="s">
        <v>514</v>
      </c>
    </row>
    <row r="207" spans="1:19" ht="20.100000000000001" customHeight="1" x14ac:dyDescent="0.25">
      <c r="D207" s="81" t="s">
        <v>334</v>
      </c>
      <c r="E207" s="81" t="s">
        <v>335</v>
      </c>
      <c r="F207" s="81" t="s">
        <v>336</v>
      </c>
      <c r="G207" s="81" t="s">
        <v>337</v>
      </c>
      <c r="H207" s="81" t="s">
        <v>338</v>
      </c>
      <c r="N207" s="81" t="s">
        <v>334</v>
      </c>
      <c r="O207" s="81" t="s">
        <v>335</v>
      </c>
      <c r="P207" s="81" t="s">
        <v>336</v>
      </c>
      <c r="Q207" s="81" t="s">
        <v>337</v>
      </c>
      <c r="R207" s="81" t="s">
        <v>338</v>
      </c>
    </row>
    <row r="208" spans="1:19" ht="20.100000000000001" customHeight="1" x14ac:dyDescent="0.25">
      <c r="A208" s="128" t="str">
        <f>HYPERLINK("#A1", "▲ Back to top")</f>
        <v>▲ Back to top</v>
      </c>
      <c r="D208" s="15">
        <f>INDEX(X_Table_Dairy_DurationOfStay_Method1,3,2)</f>
        <v>0</v>
      </c>
      <c r="E208" s="15">
        <f>INDEX(X_Table_Dairy_DurationOfStay_Method1,3,3)</f>
        <v>0</v>
      </c>
      <c r="F208" s="15">
        <f>INDEX(X_Table_Dairy_DurationOfStay_Method1,3,4)</f>
        <v>84</v>
      </c>
      <c r="G208" s="15">
        <f>INDEX(X_Table_Dairy_DurationOfStay_Method1,3,5)</f>
        <v>0</v>
      </c>
      <c r="H208" s="15">
        <f>INDEX(X_Table_Dairy_DurationOfStay_Method1,3,6)</f>
        <v>84</v>
      </c>
      <c r="I208" s="16" t="str">
        <f>$G$193</f>
        <v>days</v>
      </c>
      <c r="N208" s="15">
        <f>INDEX(X_Table_Dairy_DurationOfStay_Method1,3,2)</f>
        <v>0</v>
      </c>
      <c r="O208" s="15">
        <f>INDEX(X_Table_Dairy_DurationOfStay_Method1,3,3)</f>
        <v>0</v>
      </c>
      <c r="P208" s="15">
        <f>INDEX(X_Table_Dairy_DurationOfStay_Method2,3,4)</f>
        <v>84</v>
      </c>
      <c r="Q208" s="15">
        <f>INDEX(X_Table_Dairy_DurationOfStay_Method1,3,5)</f>
        <v>0</v>
      </c>
      <c r="R208" s="15">
        <f>INDEX(X_Table_Dairy_DurationOfStay_Method2,3,6)</f>
        <v>84</v>
      </c>
      <c r="S208" s="16" t="str">
        <f>$G$193</f>
        <v>days</v>
      </c>
    </row>
    <row r="209" spans="3:21" ht="20.100000000000001" customHeight="1" x14ac:dyDescent="0.25"/>
    <row r="210" spans="3:21" ht="20.100000000000001" customHeight="1" x14ac:dyDescent="0.25">
      <c r="D210" s="121" t="s">
        <v>515</v>
      </c>
      <c r="N210" s="121" t="s">
        <v>515</v>
      </c>
    </row>
    <row r="211" spans="3:21" ht="20.100000000000001" customHeight="1" x14ac:dyDescent="0.25">
      <c r="D211" s="122" t="s">
        <v>516</v>
      </c>
      <c r="N211" s="122" t="s">
        <v>517</v>
      </c>
    </row>
    <row r="212" spans="3:21" ht="20.100000000000001" customHeight="1" x14ac:dyDescent="0.25">
      <c r="D212" s="123" t="s">
        <v>334</v>
      </c>
      <c r="E212" s="123" t="s">
        <v>335</v>
      </c>
      <c r="F212" s="123" t="s">
        <v>336</v>
      </c>
      <c r="G212" s="123" t="s">
        <v>337</v>
      </c>
      <c r="H212" s="123" t="s">
        <v>338</v>
      </c>
      <c r="N212" s="123" t="s">
        <v>334</v>
      </c>
      <c r="O212" s="123" t="s">
        <v>335</v>
      </c>
      <c r="P212" s="123" t="s">
        <v>336</v>
      </c>
      <c r="Q212" s="123" t="s">
        <v>337</v>
      </c>
      <c r="R212" s="123" t="s">
        <v>338</v>
      </c>
    </row>
    <row r="213" spans="3:21" ht="20.100000000000001" customHeight="1" x14ac:dyDescent="0.25">
      <c r="D213" s="15" cm="1">
        <f t="array" ref="D213">MMS_Dairy_N2ODirect_Equations.VEERG_4_3_1_3__3b_TotalAnnualNitrogenExcretedLessThanOneYearVariation(D166,D146,D198,D203,D208)</f>
        <v>0</v>
      </c>
      <c r="E213" s="15" cm="1">
        <f t="array" ref="E213">MMS_Dairy_N2ODirect_Equations.VEERG_4_3_1_3__3b_TotalAnnualNitrogenExcretedLessThanOneYearVariation(E166,E146,E198,E203,E208)</f>
        <v>0</v>
      </c>
      <c r="F213" s="15" cm="1">
        <f t="array" ref="F213">MMS_Dairy_N2ODirect_Equations.VEERG_4_3_1_3__3b_TotalAnnualNitrogenExcretedLessThanOneYearVariation(F166,F146,F198,F203,F208)</f>
        <v>3301.419278356519</v>
      </c>
      <c r="G213" s="15" cm="1">
        <f t="array" ref="G213">MMS_Dairy_N2ODirect_Equations.VEERG_4_3_1_3__3b_TotalAnnualNitrogenExcretedLessThanOneYearVariation(G166,G146,G198,G203,G208)</f>
        <v>0</v>
      </c>
      <c r="H213" s="15" cm="1">
        <f t="array" ref="H213">MMS_Dairy_N2ODirect_Equations.VEERG_4_3_1_3__3b_TotalAnnualNitrogenExcretedLessThanOneYearVariation(H166,H146,H198,H203,H208)</f>
        <v>4361.9480490479727</v>
      </c>
      <c r="I213" s="16" t="str">
        <f>$E$187</f>
        <v>kg N</v>
      </c>
      <c r="N213" s="15" cm="1">
        <f t="array" ref="N213">MMS_Dairy_N2ODirect_Equations.VEERG_4_3_1_3__3b_TotalAnnualNitrogenExcretedLessThanOneYearVariation(D166,N146,D198,N203,N208)</f>
        <v>0</v>
      </c>
      <c r="O213" s="15" cm="1">
        <f t="array" ref="O213">MMS_Dairy_N2ODirect_Equations.VEERG_4_3_1_3__3b_TotalAnnualNitrogenExcretedLessThanOneYearVariation(E166,O146,E198,O203,O208)</f>
        <v>0</v>
      </c>
      <c r="P213" s="15" cm="1">
        <f t="array" ref="P213">MMS_Dairy_N2ODirect_Equations.VEERG_4_3_1_3__3b_TotalAnnualNitrogenExcretedLessThanOneYearVariation(F166,P146,F198,P203,P208)</f>
        <v>3301.419278356519</v>
      </c>
      <c r="Q213" s="15" cm="1">
        <f t="array" ref="Q213">MMS_Dairy_N2ODirect_Equations.VEERG_4_3_1_3__3b_TotalAnnualNitrogenExcretedLessThanOneYearVariation(G166,Q146,G198,Q203,Q208)</f>
        <v>0</v>
      </c>
      <c r="R213" s="15" cm="1">
        <f t="array" ref="R213">MMS_Dairy_N2ODirect_Equations.VEERG_4_3_1_3__3b_TotalAnnualNitrogenExcretedLessThanOneYearVariation(H166,R146,H198,R203,R208)</f>
        <v>4361.9480490479727</v>
      </c>
      <c r="S213" s="16" t="str">
        <f>$E$187</f>
        <v>kg N</v>
      </c>
    </row>
    <row r="214" spans="3:21" ht="20.100000000000001" customHeight="1" x14ac:dyDescent="0.25"/>
    <row r="215" spans="3:21" ht="20.100000000000001" customHeight="1" x14ac:dyDescent="0.25"/>
    <row r="216" spans="3:21" ht="20.100000000000001" customHeight="1" x14ac:dyDescent="0.25">
      <c r="C216" s="88"/>
      <c r="D216" s="88"/>
      <c r="E216" s="88"/>
      <c r="F216" s="88"/>
      <c r="G216" s="88"/>
      <c r="H216" s="88"/>
      <c r="I216" s="88"/>
      <c r="J216" s="88"/>
      <c r="K216" s="88"/>
      <c r="M216" s="88"/>
      <c r="N216" s="88"/>
      <c r="O216" s="88"/>
      <c r="P216" s="88"/>
      <c r="Q216" s="88"/>
      <c r="R216" s="88"/>
      <c r="S216" s="88"/>
      <c r="T216" s="88"/>
      <c r="U216" s="88"/>
    </row>
    <row r="217" spans="3:21" ht="20.100000000000001" customHeight="1" x14ac:dyDescent="0.25">
      <c r="D217" s="2" t="str" cm="1">
        <f t="array" ref="D217">MMS_Dairy_N2ODirect_Equations.VEERG_4_3_1_3__2_TotalNitrogenInEachMMS_Title()</f>
        <v>Total nitrogen in each MMS</v>
      </c>
    </row>
    <row r="218" spans="3:21" ht="20.100000000000001" customHeight="1" x14ac:dyDescent="0.25">
      <c r="D218" s="17" t="str" cm="1">
        <f t="array" ref="D218">MMS_Dairy_N2ODirect_Equations.VEERG_4_3_1_3__2_TotalNitrogenInEachMMS_Source()</f>
        <v>VEERG 2026: 4.3.1.3, Equation (2)</v>
      </c>
    </row>
    <row r="219" spans="3:21" ht="20.100000000000001" customHeight="1" x14ac:dyDescent="0.25">
      <c r="D219" s="117" t="s">
        <v>382</v>
      </c>
      <c r="E219" s="117"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2"/>
    </row>
    <row r="222" spans="3:21" ht="20.100000000000001" customHeight="1" x14ac:dyDescent="0.25">
      <c r="D222" s="76" t="s">
        <v>383</v>
      </c>
      <c r="E222" s="1" t="str" cm="1">
        <f t="array" ref="E222">MMS_Dairy_N2ODirect_Equations.VEERG_4_3_1_3__2_TotalNitrogenInEachMMS_Variable()</f>
        <v>MN_jm</v>
      </c>
    </row>
    <row r="223" spans="3:21" ht="20.100000000000001" customHeight="1" x14ac:dyDescent="0.25">
      <c r="D223" s="76" t="s">
        <v>118</v>
      </c>
      <c r="E223" s="9" t="str" cm="1">
        <f t="array" ref="E223">MMS_Dairy_N2ODirect_Equations.VEERG_4_3_1_3__2_TotalNitrogenInEachMMS_Unit()</f>
        <v>kg N</v>
      </c>
    </row>
    <row r="224" spans="3:21" ht="20.100000000000001" customHeight="1" x14ac:dyDescent="0.25"/>
    <row r="225" spans="4:20" ht="20.100000000000001" customHeight="1" x14ac:dyDescent="0.25">
      <c r="D225" s="119" t="str" cm="1">
        <f t="array" ref="D225:E226">_xlfn.CHOOSECOLS(MMS_Dairy_N2ODirect_Equations.VEERG_4_3_1_3__2_TotalNitrogenInEachMMS_Arguments(),1,2)</f>
        <v>AE_j</v>
      </c>
      <c r="E225" s="119" t="str">
        <v>total nitrogen excreted by each dairy class</v>
      </c>
      <c r="F225" s="119"/>
      <c r="G225" s="119" t="str" cm="1">
        <f t="array" ref="G225:H226">_xlfn.CHOOSECOLS(MMS_Dairy_N2ODirect_Equations.VEERG_4_3_1_3__2_TotalNitrogenInEachMMS_Arguments(),3,4)</f>
        <v>kg N</v>
      </c>
      <c r="H225" s="127" t="str">
        <v>Calculated from 4.3.1.3 (3a) and (3b)</v>
      </c>
      <c r="I225" s="126" t="str" cm="1">
        <f t="array" aca="1" ref="I225" ca="1">HYPERLINK(Common_InputFunctions.Utility_SourceHyperlink($D$173),$D$173)</f>
        <v>M1_Table_AE_j-1-2-4</v>
      </c>
      <c r="J225" s="126" t="str" cm="1">
        <f t="array" aca="1" ref="J225" ca="1">HYPERLINK(Common_InputFunctions.Utility_SourceHyperlink($D$210),$D$210)</f>
        <v>M1_Table_AE_j</v>
      </c>
    </row>
    <row r="226" spans="4:20" ht="20.100000000000001" customHeight="1" x14ac:dyDescent="0.25">
      <c r="D226" s="119" t="str">
        <v>MMS_jm</v>
      </c>
      <c r="E226" s="119" t="str">
        <v>manure management system fraction for class j and system m</v>
      </c>
      <c r="F226" s="119"/>
      <c r="G226" s="119" t="str">
        <v>fraction</v>
      </c>
      <c r="H226" s="120" t="str">
        <v>Input</v>
      </c>
      <c r="I226" s="126" t="str" cm="1">
        <f t="array" aca="1" ref="I226" ca="1">HYPERLINK(Common_InputFunctions.Utility_SourceHyperlink($D$228),$D$228)</f>
        <v>M1_Table_MMS_j_m</v>
      </c>
      <c r="J226" s="126" t="str" cm="1">
        <f t="array" aca="1" ref="J226" ca="1">HYPERLINK(Common_InputFunctions.Utility_SourceHyperlink($D$228),$D$228)</f>
        <v>M1_Table_MMS_j_m</v>
      </c>
    </row>
    <row r="227" spans="4:20" ht="20.100000000000001" customHeight="1" x14ac:dyDescent="0.25"/>
    <row r="228" spans="4:20" ht="20.100000000000001" customHeight="1" x14ac:dyDescent="0.25">
      <c r="D228" s="121" t="s">
        <v>423</v>
      </c>
      <c r="N228" s="121" t="s">
        <v>424</v>
      </c>
    </row>
    <row r="229" spans="4:20" ht="20.100000000000001" customHeight="1" x14ac:dyDescent="0.25">
      <c r="D229" s="122" t="s">
        <v>518</v>
      </c>
      <c r="N229" s="122" t="s">
        <v>519</v>
      </c>
    </row>
    <row r="230" spans="4:20" ht="20.100000000000001" customHeight="1" x14ac:dyDescent="0.25">
      <c r="D230" s="81" t="s">
        <v>159</v>
      </c>
      <c r="E230" s="81" t="s">
        <v>427</v>
      </c>
      <c r="F230" s="81" t="s">
        <v>334</v>
      </c>
      <c r="G230" s="81" t="s">
        <v>335</v>
      </c>
      <c r="H230" s="81" t="s">
        <v>336</v>
      </c>
      <c r="I230" s="81" t="s">
        <v>337</v>
      </c>
      <c r="J230" s="81" t="s">
        <v>338</v>
      </c>
      <c r="N230" s="81" t="s">
        <v>159</v>
      </c>
      <c r="O230" s="81" t="s">
        <v>427</v>
      </c>
      <c r="P230" s="81" t="s">
        <v>334</v>
      </c>
      <c r="Q230" s="81" t="s">
        <v>335</v>
      </c>
      <c r="R230" s="81" t="s">
        <v>336</v>
      </c>
      <c r="S230" s="81" t="s">
        <v>337</v>
      </c>
      <c r="T230" s="81" t="s">
        <v>338</v>
      </c>
    </row>
    <row r="231" spans="4:20" ht="20.100000000000001" customHeight="1" x14ac:dyDescent="0.25">
      <c r="D231" s="15" t="str">
        <f>INDEX(X_Table_Dairy_ProductionSystems_Method1,3,1)</f>
        <v>Milking shed</v>
      </c>
      <c r="E231" s="15" t="str">
        <f>INDEX(X_Table_Dairy_Stage1MMS_1_AnaerobicLagoon,2,1)</f>
        <v>Anaerobic lagoon</v>
      </c>
      <c r="F231" s="15" cm="1">
        <f t="array" ref="F231">InputFunctions_Dairy.CalculateFractionInMMSAfterSolidSeparation(INDEX(X_Table_Dairy_ProductionSystems_Method1, 3, 2),INDEX(X_Table_Dairy_Stage1MMS_1_AnaerobicLagoon,2,2),X_Cell_Dairy_Stage1MMS_1_AnaerobicLagoon_AmountSeparated_Method1)</f>
        <v>2.2000000000000002E-2</v>
      </c>
      <c r="G231" s="15" cm="1">
        <f t="array" ref="G231">InputFunctions_Dairy.CalculateFractionInMMSAfterSolidSeparation(INDEX(X_Table_Dairy_ProductionSystems_Method1, 3, 3),INDEX(X_Table_Dairy_Stage1MMS_1_AnaerobicLagoon,2,3),X_Cell_Dairy_Stage1MMS_1_AnaerobicLagoon_AmountSeparated_Method1)</f>
        <v>2.2000000000000002E-2</v>
      </c>
      <c r="H231" s="15" cm="1">
        <f t="array" ref="H231">InputFunctions_Dairy.CalculateFractionInMMSAfterSolidSeparation(INDEX(X_Table_Dairy_ProductionSystems_Method1, 3, 4),INDEX(X_Table_Dairy_Stage1MMS_1_AnaerobicLagoon,2,4),X_Cell_Dairy_Stage1MMS_1_AnaerobicLagoon_AmountSeparated_Method1)</f>
        <v>2.2000000000000002E-2</v>
      </c>
      <c r="I231" s="15" cm="1">
        <f t="array" ref="I231">InputFunctions_Dairy.CalculateFractionInMMSAfterSolidSeparation(INDEX(X_Table_Dairy_ProductionSystems_Method1, 3, 5),INDEX(X_Table_Dairy_Stage1MMS_1_AnaerobicLagoon,2,5),X_Cell_Dairy_Stage1MMS_1_AnaerobicLagoon_AmountSeparated_Method1)</f>
        <v>2.2000000000000002E-2</v>
      </c>
      <c r="J231" s="15" cm="1">
        <f t="array" ref="J231">InputFunctions_Dairy.CalculateFractionInMMSAfterSolidSeparation(INDEX(X_Table_Dairy_ProductionSystems_Method1, 3, 6),INDEX(X_Table_Dairy_Stage1MMS_1_AnaerobicLagoon,2,6),X_Cell_Dairy_Stage1MMS_1_AnaerobicLagoon_AmountSeparated_Method1)</f>
        <v>2.2000000000000002E-2</v>
      </c>
      <c r="N231" s="15" t="str">
        <f>INDEX(X_Table_Dairy_ProductionSystems_Method1,3,1)</f>
        <v>Milking shed</v>
      </c>
      <c r="O231" s="15" t="str">
        <f>INDEX(X_Table_Dairy_Stage1MMS_1_AnaerobicLagoon,2,1)</f>
        <v>Anaerobic lagoon</v>
      </c>
      <c r="P231" s="15" cm="1">
        <f t="array" ref="P231">InputFunctions_Dairy.CalculateFractionInMMSAfterSolidSeparation(INDEX(X_Table_Dairy_ProductionSystems_Method2, 3, 2),INDEX(X_Table_Dairy_Stage1MMS_1_AnaerobicLagoon,2,2),X_Cell_Dairy_Stage1MMS_1_AnaerobicLagoon_AmountSeparated_Method2)</f>
        <v>2.2000000000000002E-2</v>
      </c>
      <c r="Q231" s="15" cm="1">
        <f t="array" ref="Q231">InputFunctions_Dairy.CalculateFractionInMMSAfterSolidSeparation(INDEX(X_Table_Dairy_ProductionSystems_Method2, 3, 3),INDEX(X_Table_Dairy_Stage1MMS_1_AnaerobicLagoon,2,3),X_Cell_Dairy_Stage1MMS_1_AnaerobicLagoon_AmountSeparated_Method2)</f>
        <v>2.2000000000000002E-2</v>
      </c>
      <c r="R231" s="15" cm="1">
        <f t="array" ref="R231">InputFunctions_Dairy.CalculateFractionInMMSAfterSolidSeparation(INDEX(X_Table_Dairy_ProductionSystems_Method2, 3, 4),INDEX(X_Table_Dairy_Stage1MMS_1_AnaerobicLagoon,2,4),X_Cell_Dairy_Stage1MMS_1_AnaerobicLagoon_AmountSeparated_Method2)</f>
        <v>2.2000000000000002E-2</v>
      </c>
      <c r="S231" s="15" cm="1">
        <f t="array" ref="S231">InputFunctions_Dairy.CalculateFractionInMMSAfterSolidSeparation(INDEX(X_Table_Dairy_ProductionSystems_Method2, 3, 5),INDEX(X_Table_Dairy_Stage1MMS_1_AnaerobicLagoon,2,5),X_Cell_Dairy_Stage1MMS_1_AnaerobicLagoon_AmountSeparated_Method2)</f>
        <v>2.2000000000000002E-2</v>
      </c>
      <c r="T231" s="15" cm="1">
        <f t="array" ref="T231">InputFunctions_Dairy.CalculateFractionInMMSAfterSolidSeparation(INDEX(X_Table_Dairy_ProductionSystems_Method2, 3, 6),INDEX(X_Table_Dairy_Stage1MMS_1_AnaerobicLagoon,2,6),X_Cell_Dairy_Stage1MMS_1_AnaerobicLagoon_AmountSeparated_Method2)</f>
        <v>2.2000000000000002E-2</v>
      </c>
    </row>
    <row r="232" spans="4:20" ht="20.100000000000001" customHeight="1" x14ac:dyDescent="0.25">
      <c r="D232" s="15" t="str">
        <f>INDEX(X_Table_Dairy_ProductionSystems_Method1,3,1)</f>
        <v>Milking shed</v>
      </c>
      <c r="E232" s="15" t="str">
        <f>INDEX(X_Table_Dairy_Stage1MMS_1_SumpAndDispersal,2,1)</f>
        <v>Sump and dispersal system</v>
      </c>
      <c r="F232" s="15" cm="1">
        <f t="array" ref="F232">InputFunctions_Dairy.CalculateFractionInMMSAfterSolidSeparation(INDEX(X_Table_Dairy_ProductionSystems_Method1, 3, 2),INDEX(X_Table_Dairy_Stage1MMS_1_SumpAndDispersal,2,2),X_Cell_Dairy_Stage1MMS_1_AnaerobicLagoon_AmountSeparated_Method1)</f>
        <v>2.2000000000000002E-2</v>
      </c>
      <c r="G232" s="15" cm="1">
        <f t="array" ref="G232">InputFunctions_Dairy.CalculateFractionInMMSAfterSolidSeparation(INDEX(X_Table_Dairy_ProductionSystems_Method1, 3, 3),INDEX(X_Table_Dairy_Stage1MMS_1_SumpAndDispersal,2,3),X_Cell_Dairy_Stage1MMS_1_AnaerobicLagoon_AmountSeparated_Method1)</f>
        <v>2.2000000000000002E-2</v>
      </c>
      <c r="H232" s="15" cm="1">
        <f t="array" ref="H232">InputFunctions_Dairy.CalculateFractionInMMSAfterSolidSeparation(INDEX(X_Table_Dairy_ProductionSystems_Method1, 3, 4),INDEX(X_Table_Dairy_Stage1MMS_1_SumpAndDispersal,2,4),X_Cell_Dairy_Stage1MMS_1_AnaerobicLagoon_AmountSeparated_Method1)</f>
        <v>2.2000000000000002E-2</v>
      </c>
      <c r="I232" s="15" cm="1">
        <f t="array" ref="I232">InputFunctions_Dairy.CalculateFractionInMMSAfterSolidSeparation(INDEX(X_Table_Dairy_ProductionSystems_Method1, 3, 5),INDEX(X_Table_Dairy_Stage1MMS_1_SumpAndDispersal,2,5),X_Cell_Dairy_Stage1MMS_1_AnaerobicLagoon_AmountSeparated_Method1)</f>
        <v>2.2000000000000002E-2</v>
      </c>
      <c r="J232" s="15" cm="1">
        <f t="array" ref="J232">InputFunctions_Dairy.CalculateFractionInMMSAfterSolidSeparation(INDEX(X_Table_Dairy_ProductionSystems_Method1, 3, 6),INDEX(X_Table_Dairy_Stage1MMS_1_SumpAndDispersal,2,6),X_Cell_Dairy_Stage1MMS_1_AnaerobicLagoon_AmountSeparated_Method1)</f>
        <v>2.2000000000000002E-2</v>
      </c>
      <c r="N232" s="15" t="str">
        <f>INDEX(X_Table_Dairy_ProductionSystems_Method1,3,1)</f>
        <v>Milking shed</v>
      </c>
      <c r="O232" s="15" t="str">
        <f>INDEX(X_Table_Dairy_Stage1MMS_1_SumpAndDispersal,2,1)</f>
        <v>Sump and dispersal system</v>
      </c>
      <c r="P232" s="15" cm="1">
        <f t="array" ref="P232">InputFunctions_Dairy.CalculateFractionInMMSAfterSolidSeparation(INDEX(X_Table_Dairy_ProductionSystems_Method2, 3, 2),INDEX(X_Table_Dairy_Stage1MMS_1_SumpAndDispersal,2,2),X_Cell_Dairy_Stage1MMS_1_AnaerobicLagoon_AmountSeparated_Method2)</f>
        <v>2.2000000000000002E-2</v>
      </c>
      <c r="Q232" s="15" cm="1">
        <f t="array" ref="Q232">InputFunctions_Dairy.CalculateFractionInMMSAfterSolidSeparation(INDEX(X_Table_Dairy_ProductionSystems_Method2, 3, 3),INDEX(X_Table_Dairy_Stage1MMS_1_SumpAndDispersal,2,3),X_Cell_Dairy_Stage1MMS_1_AnaerobicLagoon_AmountSeparated_Method2)</f>
        <v>2.2000000000000002E-2</v>
      </c>
      <c r="R232" s="15" cm="1">
        <f t="array" ref="R232">InputFunctions_Dairy.CalculateFractionInMMSAfterSolidSeparation(INDEX(X_Table_Dairy_ProductionSystems_Method2, 3, 4),INDEX(X_Table_Dairy_Stage1MMS_1_SumpAndDispersal,2,4),X_Cell_Dairy_Stage1MMS_1_AnaerobicLagoon_AmountSeparated_Method2)</f>
        <v>2.2000000000000002E-2</v>
      </c>
      <c r="S232" s="15" cm="1">
        <f t="array" ref="S232">InputFunctions_Dairy.CalculateFractionInMMSAfterSolidSeparation(INDEX(X_Table_Dairy_ProductionSystems_Method2, 3, 5),INDEX(X_Table_Dairy_Stage1MMS_1_SumpAndDispersal,2,5),X_Cell_Dairy_Stage1MMS_1_AnaerobicLagoon_AmountSeparated_Method2)</f>
        <v>2.2000000000000002E-2</v>
      </c>
      <c r="T232" s="15" cm="1">
        <f t="array" ref="T232">InputFunctions_Dairy.CalculateFractionInMMSAfterSolidSeparation(INDEX(X_Table_Dairy_ProductionSystems_Method2, 3, 6),INDEX(X_Table_Dairy_Stage1MMS_1_SumpAndDispersal,2,6),X_Cell_Dairy_Stage1MMS_1_AnaerobicLagoon_AmountSeparated_Method2)</f>
        <v>2.2000000000000002E-2</v>
      </c>
    </row>
    <row r="233" spans="4:20" ht="20.100000000000001" customHeight="1" x14ac:dyDescent="0.25">
      <c r="D233" s="15" t="str">
        <f>INDEX(X_Table_Dairy_ProductionSystems_Method1,3,1)</f>
        <v>Milking shed</v>
      </c>
      <c r="E233" s="15" t="str">
        <f>INDEX(X_Table_Dairy_Stage1MMS_1_DrainsToPaddock,2,1)</f>
        <v>Drains to paddock</v>
      </c>
      <c r="F233" s="15" cm="1">
        <f t="array" ref="F233">InputFunctions_Dairy.CalculateFractionInMMSAfterSolidSeparation(INDEX(X_Table_Dairy_ProductionSystems_Method1, 3, 2),INDEX(X_Table_Dairy_Stage1MMS_1_DrainsToPaddock,2,2),X_Cell_Dairy_Stage1MMS_1_AnaerobicLagoon_AmountSeparated_Method1)</f>
        <v>2.2000000000000002E-2</v>
      </c>
      <c r="G233" s="15" cm="1">
        <f t="array" ref="G233">InputFunctions_Dairy.CalculateFractionInMMSAfterSolidSeparation(INDEX(X_Table_Dairy_ProductionSystems_Method1, 3, 3),INDEX(X_Table_Dairy_Stage1MMS_1_DrainsToPaddock,2,3),X_Cell_Dairy_Stage1MMS_1_AnaerobicLagoon_AmountSeparated_Method1)</f>
        <v>2.2000000000000002E-2</v>
      </c>
      <c r="H233" s="15" cm="1">
        <f t="array" ref="H233">InputFunctions_Dairy.CalculateFractionInMMSAfterSolidSeparation(INDEX(X_Table_Dairy_ProductionSystems_Method1, 3, 4),INDEX(X_Table_Dairy_Stage1MMS_1_DrainsToPaddock,2,4),X_Cell_Dairy_Stage1MMS_1_AnaerobicLagoon_AmountSeparated_Method1)</f>
        <v>2.2000000000000002E-2</v>
      </c>
      <c r="I233" s="15" cm="1">
        <f t="array" ref="I233">InputFunctions_Dairy.CalculateFractionInMMSAfterSolidSeparation(INDEX(X_Table_Dairy_ProductionSystems_Method1, 3, 5),INDEX(X_Table_Dairy_Stage1MMS_1_DrainsToPaddock,2,5),X_Cell_Dairy_Stage1MMS_1_AnaerobicLagoon_AmountSeparated_Method1)</f>
        <v>2.2000000000000002E-2</v>
      </c>
      <c r="J233" s="15" cm="1">
        <f t="array" ref="J233">InputFunctions_Dairy.CalculateFractionInMMSAfterSolidSeparation(INDEX(X_Table_Dairy_ProductionSystems_Method1, 3, 6),INDEX(X_Table_Dairy_Stage1MMS_1_DrainsToPaddock,2,6),X_Cell_Dairy_Stage1MMS_1_AnaerobicLagoon_AmountSeparated_Method1)</f>
        <v>2.2000000000000002E-2</v>
      </c>
      <c r="N233" s="15" t="str">
        <f>INDEX(X_Table_Dairy_ProductionSystems_Method1,3,1)</f>
        <v>Milking shed</v>
      </c>
      <c r="O233" s="15" t="str">
        <f>INDEX(X_Table_Dairy_Stage1MMS_1_DrainsToPaddock,2,1)</f>
        <v>Drains to paddock</v>
      </c>
      <c r="P233" s="15" cm="1">
        <f t="array" ref="P233">InputFunctions_Dairy.CalculateFractionInMMSAfterSolidSeparation(INDEX(X_Table_Dairy_ProductionSystems_Method2, 3, 2),INDEX(X_Table_Dairy_Stage1MMS_1_DrainsToPaddock,2,2),X_Cell_Dairy_Stage1MMS_1_AnaerobicLagoon_AmountSeparated_Method2)</f>
        <v>2.2000000000000002E-2</v>
      </c>
      <c r="Q233" s="15" cm="1">
        <f t="array" ref="Q233">InputFunctions_Dairy.CalculateFractionInMMSAfterSolidSeparation(INDEX(X_Table_Dairy_ProductionSystems_Method2, 3, 3),INDEX(X_Table_Dairy_Stage1MMS_1_DrainsToPaddock,2,3),X_Cell_Dairy_Stage1MMS_1_AnaerobicLagoon_AmountSeparated_Method2)</f>
        <v>2.2000000000000002E-2</v>
      </c>
      <c r="R233" s="15" cm="1">
        <f t="array" ref="R233">InputFunctions_Dairy.CalculateFractionInMMSAfterSolidSeparation(INDEX(X_Table_Dairy_ProductionSystems_Method2, 3, 4),INDEX(X_Table_Dairy_Stage1MMS_1_DrainsToPaddock,2,4),X_Cell_Dairy_Stage1MMS_1_AnaerobicLagoon_AmountSeparated_Method2)</f>
        <v>2.2000000000000002E-2</v>
      </c>
      <c r="S233" s="15" cm="1">
        <f t="array" ref="S233">InputFunctions_Dairy.CalculateFractionInMMSAfterSolidSeparation(INDEX(X_Table_Dairy_ProductionSystems_Method2, 3, 5),INDEX(X_Table_Dairy_Stage1MMS_1_DrainsToPaddock,2,5),X_Cell_Dairy_Stage1MMS_1_AnaerobicLagoon_AmountSeparated_Method2)</f>
        <v>2.2000000000000002E-2</v>
      </c>
      <c r="T233" s="15" cm="1">
        <f t="array" ref="T233">InputFunctions_Dairy.CalculateFractionInMMSAfterSolidSeparation(INDEX(X_Table_Dairy_ProductionSystems_Method2, 3, 6),INDEX(X_Table_Dairy_Stage1MMS_1_DrainsToPaddock,2,6),X_Cell_Dairy_Stage1MMS_1_AnaerobicLagoon_AmountSeparated_Method2)</f>
        <v>2.2000000000000002E-2</v>
      </c>
    </row>
    <row r="234" spans="4:20" ht="20.100000000000001" customHeight="1" x14ac:dyDescent="0.25">
      <c r="D234" s="15" t="str">
        <f>INDEX(X_Table_Dairy_ProductionSystems_Method1,3,1)</f>
        <v>Milking shed</v>
      </c>
      <c r="E234" s="15" t="s">
        <v>75</v>
      </c>
      <c r="F234" s="15" cm="1">
        <f t="array" ref="F234">InputFunctions_Dairy.CalculateFractionInSolidStorage(
INDEX(X_Table_Dairy_ProductionSystems_Method1, 3, 2),
INDEX(X_Table_Dairy_Stage1MMS_1_SolidStorage,2,2),
INDEX(X_Table_Dairy_Stage1MMS_1_AnaerobicLagoon,2,2),
X_Cell_Dairy_Stage1MMS_1_AnaerobicLagoon_AmountSeparated_Method1,
INDEX(X_Table_Dairy_Stage1MMS_1_SumpAndDispersal,2,2),
X_Cell_Dairy_Stage1MMS_1_SumpAndDispersal_AmountSeparated_Method1,
INDEX(X_Table_Dairy_Stage1MMS_1_DrainsToPaddock,2,2),
X_Cell_Dairy_Stage1MMS_1_DrainsToPaddock_AmountSeparated_Method1)</f>
        <v>4.3999999999999997E-2</v>
      </c>
      <c r="G234" s="15" cm="1">
        <f t="array" ref="G234">InputFunctions_Dairy.CalculateFractionInSolidStorage(
INDEX(X_Table_Dairy_ProductionSystems_Method1, 3, 3),
INDEX(X_Table_Dairy_Stage1MMS_1_SolidStorage,2,3),
INDEX(X_Table_Dairy_Stage1MMS_1_AnaerobicLagoon,2,3),
X_Cell_Dairy_Stage1MMS_1_AnaerobicLagoon_AmountSeparated_Method1,
INDEX(X_Table_Dairy_Stage1MMS_1_SumpAndDispersal,2,3),
X_Cell_Dairy_Stage1MMS_1_SumpAndDispersal_AmountSeparated_Method1,
INDEX(X_Table_Dairy_Stage1MMS_1_DrainsToPaddock,2,3),
X_Cell_Dairy_Stage1MMS_1_DrainsToPaddock_AmountSeparated_Method1)</f>
        <v>4.3999999999999997E-2</v>
      </c>
      <c r="H234" s="15" cm="1">
        <f t="array" ref="H234">InputFunctions_Dairy.CalculateFractionInSolidStorage(
INDEX(X_Table_Dairy_ProductionSystems_Method1, 3, 4),
INDEX(X_Table_Dairy_Stage1MMS_1_SolidStorage,2,4),
INDEX(X_Table_Dairy_Stage1MMS_1_AnaerobicLagoon,2,4),
X_Cell_Dairy_Stage1MMS_1_AnaerobicLagoon_AmountSeparated_Method1,
INDEX(X_Table_Dairy_Stage1MMS_1_SumpAndDispersal,2,4),
X_Cell_Dairy_Stage1MMS_1_SumpAndDispersal_AmountSeparated_Method1,
INDEX(X_Table_Dairy_Stage1MMS_1_DrainsToPaddock,2,4),
X_Cell_Dairy_Stage1MMS_1_DrainsToPaddock_AmountSeparated_Method1)</f>
        <v>4.3999999999999997E-2</v>
      </c>
      <c r="I234" s="15" cm="1">
        <f t="array" ref="I234">InputFunctions_Dairy.CalculateFractionInSolidStorage(
INDEX(X_Table_Dairy_ProductionSystems_Method1, 3, 5),
INDEX(X_Table_Dairy_Stage1MMS_1_SolidStorage,2,5),
INDEX(X_Table_Dairy_Stage1MMS_1_AnaerobicLagoon,2,5),
X_Cell_Dairy_Stage1MMS_1_AnaerobicLagoon_AmountSeparated_Method1,
INDEX(X_Table_Dairy_Stage1MMS_1_SumpAndDispersal,2,5),
X_Cell_Dairy_Stage1MMS_1_SumpAndDispersal_AmountSeparated_Method1,
INDEX(X_Table_Dairy_Stage1MMS_1_DrainsToPaddock,2,5),
X_Cell_Dairy_Stage1MMS_1_DrainsToPaddock_AmountSeparated_Method1)</f>
        <v>4.3999999999999997E-2</v>
      </c>
      <c r="J234" s="15" cm="1">
        <f t="array" ref="J234">InputFunctions_Dairy.CalculateFractionInSolidStorage(
INDEX(X_Table_Dairy_ProductionSystems_Method1, 3, 6),
INDEX(X_Table_Dairy_Stage1MMS_1_SolidStorage,2,6),
INDEX(X_Table_Dairy_Stage1MMS_1_AnaerobicLagoon,2,6),
X_Cell_Dairy_Stage1MMS_1_AnaerobicLagoon_AmountSeparated_Method1,
INDEX(X_Table_Dairy_Stage1MMS_1_SumpAndDispersal,2,6),
X_Cell_Dairy_Stage1MMS_1_SumpAndDispersal_AmountSeparated_Method1,
INDEX(X_Table_Dairy_Stage1MMS_1_DrainsToPaddock,2,6),
X_Cell_Dairy_Stage1MMS_1_DrainsToPaddock_AmountSeparated_Method1)</f>
        <v>4.3999999999999997E-2</v>
      </c>
      <c r="N234" s="15" t="str">
        <f>INDEX(X_Table_Dairy_ProductionSystems_Method1,3,1)</f>
        <v>Milking shed</v>
      </c>
      <c r="O234" s="15" t="s">
        <v>75</v>
      </c>
      <c r="P234" s="15" cm="1">
        <f t="array" ref="P234">InputFunctions_Dairy.CalculateFractionInSolidStorage(
INDEX(X_Table_Dairy_ProductionSystems_Method2, 3, 2),
INDEX(X_Table_Dairy_Stage1MMS_1_SolidStorage,2,2),
INDEX(X_Table_Dairy_Stage1MMS_1_AnaerobicLagoon,2,2),
X_Cell_Dairy_Stage1MMS_1_AnaerobicLagoon_AmountSeparated_Method2,
INDEX(X_Table_Dairy_Stage1MMS_1_SumpAndDispersal,2,2),
X_Cell_Dairy_Stage1MMS_1_SumpAndDispersal_AmountSeparated_Method2,
INDEX(X_Table_Dairy_Stage1MMS_1_DrainsToPaddock,2,2),
X_Cell_Dairy_Stage1MMS_1_DrainsToPaddock_AmountSeparated_Method2)</f>
        <v>4.3999999999999997E-2</v>
      </c>
      <c r="Q234" s="15" cm="1">
        <f t="array" ref="Q234">InputFunctions_Dairy.CalculateFractionInSolidStorage(
INDEX(X_Table_Dairy_ProductionSystems_Method2, 3, 3),
INDEX(X_Table_Dairy_Stage1MMS_1_SolidStorage,2,3),
INDEX(X_Table_Dairy_Stage1MMS_1_AnaerobicLagoon,2,3),
X_Cell_Dairy_Stage1MMS_1_AnaerobicLagoon_AmountSeparated_Method2,
INDEX(X_Table_Dairy_Stage1MMS_1_SumpAndDispersal,2,3),
X_Cell_Dairy_Stage1MMS_1_SumpAndDispersal_AmountSeparated_Method2,
INDEX(X_Table_Dairy_Stage1MMS_1_DrainsToPaddock,2,3),
X_Cell_Dairy_Stage1MMS_1_DrainsToPaddock_AmountSeparated_Method2)</f>
        <v>4.3999999999999997E-2</v>
      </c>
      <c r="R234" s="15" cm="1">
        <f t="array" ref="R234">InputFunctions_Dairy.CalculateFractionInSolidStorage(
INDEX(X_Table_Dairy_ProductionSystems_Method2, 3, 4),
INDEX(X_Table_Dairy_Stage1MMS_1_SolidStorage,2,4),
INDEX(X_Table_Dairy_Stage1MMS_1_AnaerobicLagoon,2,4),
X_Cell_Dairy_Stage1MMS_1_AnaerobicLagoon_AmountSeparated_Method2,
INDEX(X_Table_Dairy_Stage1MMS_1_SumpAndDispersal,2,4),
X_Cell_Dairy_Stage1MMS_1_SumpAndDispersal_AmountSeparated_Method2,
INDEX(X_Table_Dairy_Stage1MMS_1_DrainsToPaddock,2,4),
X_Cell_Dairy_Stage1MMS_1_DrainsToPaddock_AmountSeparated_Method2)</f>
        <v>4.3999999999999997E-2</v>
      </c>
      <c r="S234" s="15" cm="1">
        <f t="array" ref="S234">InputFunctions_Dairy.CalculateFractionInSolidStorage(
INDEX(X_Table_Dairy_ProductionSystems_Method2, 3, 5),
INDEX(X_Table_Dairy_Stage1MMS_1_SolidStorage,2,5),
INDEX(X_Table_Dairy_Stage1MMS_1_AnaerobicLagoon,2,5),
X_Cell_Dairy_Stage1MMS_1_AnaerobicLagoon_AmountSeparated_Method2,
INDEX(X_Table_Dairy_Stage1MMS_1_SumpAndDispersal,2,5),
X_Cell_Dairy_Stage1MMS_1_SumpAndDispersal_AmountSeparated_Method2,
INDEX(X_Table_Dairy_Stage1MMS_1_DrainsToPaddock,2,5),
X_Cell_Dairy_Stage1MMS_1_DrainsToPaddock_AmountSeparated_Method2)</f>
        <v>4.3999999999999997E-2</v>
      </c>
      <c r="T234" s="15" cm="1">
        <f t="array" ref="T234">InputFunctions_Dairy.CalculateFractionInSolidStorage(
INDEX(X_Table_Dairy_ProductionSystems_Method2, 3, 6),
INDEX(X_Table_Dairy_Stage1MMS_1_SolidStorage,2,6),
INDEX(X_Table_Dairy_Stage1MMS_1_AnaerobicLagoon,2,6),
X_Cell_Dairy_Stage1MMS_1_AnaerobicLagoon_AmountSeparated_Method2,
INDEX(X_Table_Dairy_Stage1MMS_1_SumpAndDispersal,2,6),
X_Cell_Dairy_Stage1MMS_1_SumpAndDispersal_AmountSeparated_Method2,
INDEX(X_Table_Dairy_Stage1MMS_1_DrainsToPaddock,2,6),
X_Cell_Dairy_Stage1MMS_1_DrainsToPaddock_AmountSeparated_Method2)</f>
        <v>4.3999999999999997E-2</v>
      </c>
    </row>
    <row r="235" spans="4:20" ht="20.100000000000001" customHeight="1" x14ac:dyDescent="0.25">
      <c r="D235" s="15" t="str">
        <f>INDEX(X_Table_Dairy_ProductionSystems_Method1,4,1)</f>
        <v>Feed pad</v>
      </c>
      <c r="E235" s="15" t="str">
        <f>INDEX(X_Table_Dairy_Stage1MMS_2_AnaerobicLagoon,2,1)</f>
        <v>Anaerobic lagoon</v>
      </c>
      <c r="F235" s="15" cm="1">
        <f t="array" ref="F235">InputFunctions_Dairy.CalculateFractionInMMSAfterSolidSeparation(INDEX(X_Table_Dairy_ProductionSystems_Method1, 4, 2),INDEX(X_Table_Dairy_Stage1MMS_2_AnaerobicLagoon,2,2),X_Cell_Dairy_Stage1MMS_2_AnaerobicLagoon_AmountSeparated_Method1)</f>
        <v>8.8999999999999996E-2</v>
      </c>
      <c r="G235" s="15" cm="1">
        <f t="array" ref="G235">InputFunctions_Dairy.CalculateFractionInMMSAfterSolidSeparation(INDEX(X_Table_Dairy_ProductionSystems_Method1, 4, 3),INDEX(X_Table_Dairy_Stage1MMS_2_AnaerobicLagoon,2,3),X_Cell_Dairy_Stage1MMS_2_AnaerobicLagoon_AmountSeparated_Method1)</f>
        <v>8.8999999999999996E-2</v>
      </c>
      <c r="H235" s="15" cm="1">
        <f t="array" ref="H235">InputFunctions_Dairy.CalculateFractionInMMSAfterSolidSeparation(INDEX(X_Table_Dairy_ProductionSystems_Method1, 4, 4),INDEX(X_Table_Dairy_Stage1MMS_2_AnaerobicLagoon,2,4),X_Cell_Dairy_Stage1MMS_2_AnaerobicLagoon_AmountSeparated_Method1)</f>
        <v>8.8999999999999996E-2</v>
      </c>
      <c r="I235" s="15" cm="1">
        <f t="array" ref="I235">InputFunctions_Dairy.CalculateFractionInMMSAfterSolidSeparation(INDEX(X_Table_Dairy_ProductionSystems_Method1, 4, 5),INDEX(X_Table_Dairy_Stage1MMS_2_AnaerobicLagoon,2,5),X_Cell_Dairy_Stage1MMS_2_AnaerobicLagoon_AmountSeparated_Method1)</f>
        <v>8.8999999999999996E-2</v>
      </c>
      <c r="J235" s="15" cm="1">
        <f t="array" ref="J235">InputFunctions_Dairy.CalculateFractionInMMSAfterSolidSeparation(INDEX(X_Table_Dairy_ProductionSystems_Method1, 4, 6),INDEX(X_Table_Dairy_Stage1MMS_2_AnaerobicLagoon,2,6),X_Cell_Dairy_Stage1MMS_2_AnaerobicLagoon_AmountSeparated_Method1)</f>
        <v>8.8999999999999996E-2</v>
      </c>
      <c r="N235" s="15" t="str">
        <f>INDEX(X_Table_Dairy_ProductionSystems_Method1,4,1)</f>
        <v>Feed pad</v>
      </c>
      <c r="O235" s="15" t="str">
        <f>INDEX(X_Table_Dairy_Stage1MMS_2_AnaerobicLagoon,2,1)</f>
        <v>Anaerobic lagoon</v>
      </c>
      <c r="P235" s="15" cm="1">
        <f t="array" ref="P235">InputFunctions_Dairy.CalculateFractionInMMSAfterSolidSeparation(INDEX(X_Table_Dairy_ProductionSystems_Method2, 4, 2),INDEX(X_Table_Dairy_Stage1MMS_2_AnaerobicLagoon,2,2),X_Cell_Dairy_Stage1MMS_2_AnaerobicLagoon_AmountSeparated_Method2)</f>
        <v>8.8999999999999996E-2</v>
      </c>
      <c r="Q235" s="15" cm="1">
        <f t="array" ref="Q235">InputFunctions_Dairy.CalculateFractionInMMSAfterSolidSeparation(INDEX(X_Table_Dairy_ProductionSystems_Method2, 4, 3),INDEX(X_Table_Dairy_Stage1MMS_2_AnaerobicLagoon,2,3),X_Cell_Dairy_Stage1MMS_2_AnaerobicLagoon_AmountSeparated_Method2)</f>
        <v>8.8999999999999996E-2</v>
      </c>
      <c r="R235" s="15" cm="1">
        <f t="array" ref="R235">InputFunctions_Dairy.CalculateFractionInMMSAfterSolidSeparation(INDEX(X_Table_Dairy_ProductionSystems_Method2, 4, 4),INDEX(X_Table_Dairy_Stage1MMS_2_AnaerobicLagoon,2,4),X_Cell_Dairy_Stage1MMS_2_AnaerobicLagoon_AmountSeparated_Method2)</f>
        <v>8.8999999999999996E-2</v>
      </c>
      <c r="S235" s="15" cm="1">
        <f t="array" ref="S235">InputFunctions_Dairy.CalculateFractionInMMSAfterSolidSeparation(INDEX(X_Table_Dairy_ProductionSystems_Method2, 4, 5),INDEX(X_Table_Dairy_Stage1MMS_2_AnaerobicLagoon,2,5),X_Cell_Dairy_Stage1MMS_2_AnaerobicLagoon_AmountSeparated_Method2)</f>
        <v>8.8999999999999996E-2</v>
      </c>
      <c r="T235" s="15" cm="1">
        <f t="array" ref="T235">InputFunctions_Dairy.CalculateFractionInMMSAfterSolidSeparation(INDEX(X_Table_Dairy_ProductionSystems_Method2, 4, 6),INDEX(X_Table_Dairy_Stage1MMS_2_AnaerobicLagoon,2,6),X_Cell_Dairy_Stage1MMS_2_AnaerobicLagoon_AmountSeparated_Method2)</f>
        <v>8.8999999999999996E-2</v>
      </c>
    </row>
    <row r="236" spans="4:20" ht="20.100000000000001" customHeight="1" x14ac:dyDescent="0.25">
      <c r="D236" s="15" t="str">
        <f>INDEX(X_Table_Dairy_ProductionSystems_Method1,4,1)</f>
        <v>Feed pad</v>
      </c>
      <c r="E236" s="15" t="str">
        <f>INDEX(X_Table_Dairy_Stage1MMS_2_SumpAndDispersal,2,1)</f>
        <v>Sump and dispersal system</v>
      </c>
      <c r="F236" s="15" cm="1">
        <f t="array" ref="F236">InputFunctions_Dairy.CalculateFractionInMMSAfterSolidSeparation(INDEX(X_Table_Dairy_ProductionSystems_Method1, 4, 2),INDEX(X_Table_Dairy_Stage1MMS_2_SumpAndDispersal,2,2),X_Cell_Dairy_Stage1MMS_2_SumpAndDispersal_AmountSeparated_Method1)</f>
        <v>7.1199999999999999E-2</v>
      </c>
      <c r="G236" s="15" cm="1">
        <f t="array" ref="G236">InputFunctions_Dairy.CalculateFractionInMMSAfterSolidSeparation(INDEX(X_Table_Dairy_ProductionSystems_Method1, 4, 3),INDEX(X_Table_Dairy_Stage1MMS_2_SumpAndDispersal,2,3),X_Cell_Dairy_Stage1MMS_2_SumpAndDispersal_AmountSeparated_Method1)</f>
        <v>7.1199999999999999E-2</v>
      </c>
      <c r="H236" s="15" cm="1">
        <f t="array" ref="H236">InputFunctions_Dairy.CalculateFractionInMMSAfterSolidSeparation(INDEX(X_Table_Dairy_ProductionSystems_Method1, 4, 4),INDEX(X_Table_Dairy_Stage1MMS_2_SumpAndDispersal,2,4),X_Cell_Dairy_Stage1MMS_2_SumpAndDispersal_AmountSeparated_Method1)</f>
        <v>7.1199999999999999E-2</v>
      </c>
      <c r="I236" s="15" cm="1">
        <f t="array" ref="I236">InputFunctions_Dairy.CalculateFractionInMMSAfterSolidSeparation(INDEX(X_Table_Dairy_ProductionSystems_Method1, 4, 5),INDEX(X_Table_Dairy_Stage1MMS_2_SumpAndDispersal,2,5),X_Cell_Dairy_Stage1MMS_2_SumpAndDispersal_AmountSeparated_Method1)</f>
        <v>7.1199999999999999E-2</v>
      </c>
      <c r="J236" s="15" cm="1">
        <f t="array" ref="J236">InputFunctions_Dairy.CalculateFractionInMMSAfterSolidSeparation(INDEX(X_Table_Dairy_ProductionSystems_Method1, 4, 6),INDEX(X_Table_Dairy_Stage1MMS_2_SumpAndDispersal,2,6),X_Cell_Dairy_Stage1MMS_2_SumpAndDispersal_AmountSeparated_Method1)</f>
        <v>7.1199999999999999E-2</v>
      </c>
      <c r="N236" s="15" t="str">
        <f>INDEX(X_Table_Dairy_ProductionSystems_Method1,4,1)</f>
        <v>Feed pad</v>
      </c>
      <c r="O236" s="15" t="str">
        <f>INDEX(X_Table_Dairy_Stage1MMS_2_SumpAndDispersal,2,1)</f>
        <v>Sump and dispersal system</v>
      </c>
      <c r="P236" s="15" cm="1">
        <f t="array" ref="P236">InputFunctions_Dairy.CalculateFractionInMMSAfterSolidSeparation(INDEX(X_Table_Dairy_ProductionSystems_Method2, 4, 2),INDEX(X_Table_Dairy_Stage1MMS_2_SumpAndDispersal,2,2),X_Cell_Dairy_Stage1MMS_2_SumpAndDispersal_AmountSeparated_Method2)</f>
        <v>7.1199999999999999E-2</v>
      </c>
      <c r="Q236" s="15" cm="1">
        <f t="array" ref="Q236">InputFunctions_Dairy.CalculateFractionInMMSAfterSolidSeparation(INDEX(X_Table_Dairy_ProductionSystems_Method2, 4, 3),INDEX(X_Table_Dairy_Stage1MMS_2_SumpAndDispersal,2,3),X_Cell_Dairy_Stage1MMS_2_SumpAndDispersal_AmountSeparated_Method2)</f>
        <v>7.1199999999999999E-2</v>
      </c>
      <c r="R236" s="15" cm="1">
        <f t="array" ref="R236">InputFunctions_Dairy.CalculateFractionInMMSAfterSolidSeparation(INDEX(X_Table_Dairy_ProductionSystems_Method2, 4, 4),INDEX(X_Table_Dairy_Stage1MMS_2_SumpAndDispersal,2,4),X_Cell_Dairy_Stage1MMS_2_SumpAndDispersal_AmountSeparated_Method2)</f>
        <v>7.1199999999999999E-2</v>
      </c>
      <c r="S236" s="15" cm="1">
        <f t="array" ref="S236">InputFunctions_Dairy.CalculateFractionInMMSAfterSolidSeparation(INDEX(X_Table_Dairy_ProductionSystems_Method2, 4, 5),INDEX(X_Table_Dairy_Stage1MMS_2_SumpAndDispersal,2,5),X_Cell_Dairy_Stage1MMS_2_SumpAndDispersal_AmountSeparated_Method2)</f>
        <v>7.1199999999999999E-2</v>
      </c>
      <c r="T236" s="15" cm="1">
        <f t="array" ref="T236">InputFunctions_Dairy.CalculateFractionInMMSAfterSolidSeparation(INDEX(X_Table_Dairy_ProductionSystems_Method2, 4, 6),INDEX(X_Table_Dairy_Stage1MMS_2_SumpAndDispersal,2,6),X_Cell_Dairy_Stage1MMS_2_SumpAndDispersal_AmountSeparated_Method2)</f>
        <v>7.1199999999999999E-2</v>
      </c>
    </row>
    <row r="237" spans="4:20" ht="20.100000000000001" customHeight="1" x14ac:dyDescent="0.25">
      <c r="D237" s="15" t="str">
        <f>INDEX(X_Table_Dairy_ProductionSystems_Method1,4,1)</f>
        <v>Feed pad</v>
      </c>
      <c r="E237" s="15" t="str">
        <f>INDEX(X_Table_Dairy_Stage1MMS_2_DrainsToPaddock,2,1)</f>
        <v>Drains to paddock</v>
      </c>
      <c r="F237" s="15" cm="1">
        <f t="array" ref="F237">InputFunctions_Dairy.CalculateFractionInMMSAfterSolidSeparation(INDEX(X_Table_Dairy_ProductionSystems_Method1, 4, 2),INDEX(X_Table_Dairy_Stage1MMS_2_DrainsToPaddock,2,2),X_Cell_Dairy_Stage1MMS_2_DrainsToPaddock_AmountSeparated_Method1)</f>
        <v>7.1199999999999999E-2</v>
      </c>
      <c r="G237" s="15" cm="1">
        <f t="array" ref="G237">InputFunctions_Dairy.CalculateFractionInMMSAfterSolidSeparation(INDEX(X_Table_Dairy_ProductionSystems_Method1, 4, 3),INDEX(X_Table_Dairy_Stage1MMS_2_DrainsToPaddock,2,3),X_Cell_Dairy_Stage1MMS_2_DrainsToPaddock_AmountSeparated_Method1)</f>
        <v>7.1199999999999999E-2</v>
      </c>
      <c r="H237" s="15" cm="1">
        <f t="array" ref="H237">InputFunctions_Dairy.CalculateFractionInMMSAfterSolidSeparation(INDEX(X_Table_Dairy_ProductionSystems_Method1, 4, 4),INDEX(X_Table_Dairy_Stage1MMS_2_DrainsToPaddock,2,4),X_Cell_Dairy_Stage1MMS_2_DrainsToPaddock_AmountSeparated_Method1)</f>
        <v>7.1199999999999999E-2</v>
      </c>
      <c r="I237" s="15" cm="1">
        <f t="array" ref="I237">InputFunctions_Dairy.CalculateFractionInMMSAfterSolidSeparation(INDEX(X_Table_Dairy_ProductionSystems_Method1, 4, 5),INDEX(X_Table_Dairy_Stage1MMS_2_DrainsToPaddock,2,5),X_Cell_Dairy_Stage1MMS_2_DrainsToPaddock_AmountSeparated_Method1)</f>
        <v>7.1199999999999999E-2</v>
      </c>
      <c r="J237" s="15" cm="1">
        <f t="array" ref="J237">InputFunctions_Dairy.CalculateFractionInMMSAfterSolidSeparation(INDEX(X_Table_Dairy_ProductionSystems_Method1, 4, 6),INDEX(X_Table_Dairy_Stage1MMS_2_DrainsToPaddock,2,6),X_Cell_Dairy_Stage1MMS_2_DrainsToPaddock_AmountSeparated_Method1)</f>
        <v>7.1199999999999999E-2</v>
      </c>
      <c r="N237" s="15" t="str">
        <f>INDEX(X_Table_Dairy_ProductionSystems_Method1,4,1)</f>
        <v>Feed pad</v>
      </c>
      <c r="O237" s="15" t="str">
        <f>INDEX(X_Table_Dairy_Stage1MMS_2_DrainsToPaddock,2,1)</f>
        <v>Drains to paddock</v>
      </c>
      <c r="P237" s="15" cm="1">
        <f t="array" ref="P237">InputFunctions_Dairy.CalculateFractionInMMSAfterSolidSeparation(INDEX(X_Table_Dairy_ProductionSystems_Method2, 4, 2),INDEX(X_Table_Dairy_Stage1MMS_2_DrainsToPaddock,2,2),X_Cell_Dairy_Stage1MMS_2_DrainsToPaddock_AmountSeparated_Method2)</f>
        <v>7.1199999999999999E-2</v>
      </c>
      <c r="Q237" s="15" cm="1">
        <f t="array" ref="Q237">InputFunctions_Dairy.CalculateFractionInMMSAfterSolidSeparation(INDEX(X_Table_Dairy_ProductionSystems_Method2, 4, 3),INDEX(X_Table_Dairy_Stage1MMS_2_DrainsToPaddock,2,3),X_Cell_Dairy_Stage1MMS_2_DrainsToPaddock_AmountSeparated_Method2)</f>
        <v>7.1199999999999999E-2</v>
      </c>
      <c r="R237" s="15" cm="1">
        <f t="array" ref="R237">InputFunctions_Dairy.CalculateFractionInMMSAfterSolidSeparation(INDEX(X_Table_Dairy_ProductionSystems_Method2, 4, 4),INDEX(X_Table_Dairy_Stage1MMS_2_DrainsToPaddock,2,4),X_Cell_Dairy_Stage1MMS_2_DrainsToPaddock_AmountSeparated_Method2)</f>
        <v>7.1199999999999999E-2</v>
      </c>
      <c r="S237" s="15" cm="1">
        <f t="array" ref="S237">InputFunctions_Dairy.CalculateFractionInMMSAfterSolidSeparation(INDEX(X_Table_Dairy_ProductionSystems_Method2, 4, 5),INDEX(X_Table_Dairy_Stage1MMS_2_DrainsToPaddock,2,5),X_Cell_Dairy_Stage1MMS_2_DrainsToPaddock_AmountSeparated_Method2)</f>
        <v>7.1199999999999999E-2</v>
      </c>
      <c r="T237" s="15" cm="1">
        <f t="array" ref="T237">InputFunctions_Dairy.CalculateFractionInMMSAfterSolidSeparation(INDEX(X_Table_Dairy_ProductionSystems_Method2, 4, 6),INDEX(X_Table_Dairy_Stage1MMS_2_DrainsToPaddock,2,6),X_Cell_Dairy_Stage1MMS_2_DrainsToPaddock_AmountSeparated_Method2)</f>
        <v>7.1199999999999999E-2</v>
      </c>
    </row>
    <row r="238" spans="4:20" ht="20.100000000000001" customHeight="1" x14ac:dyDescent="0.25">
      <c r="D238" s="15" t="str">
        <f>INDEX(X_Table_Dairy_ProductionSystems_Method1,4,1)</f>
        <v>Feed pad</v>
      </c>
      <c r="E238" s="15" t="s">
        <v>75</v>
      </c>
      <c r="F238" s="15" cm="1">
        <f t="array" ref="F238">InputFunctions_Dairy.CalculateFractionInSolidStorage(
INDEX(X_Table_Dairy_ProductionSystems_Method1, 4, 2),
INDEX(X_Table_Dairy_Stage1MMS_2_SolidStorage,2,2),
INDEX(X_Table_Dairy_Stage1MMS_2_AnaerobicLagoon,2,2),
X_Cell_Dairy_Stage1MMS_2_AnaerobicLagoon_AmountSeparated_Method1,
INDEX(X_Table_Dairy_Stage1MMS_2_SumpAndDispersal,2,2),
X_Cell_Dairy_Stage1MMS_2_SumpAndDispersal_AmountSeparated_Method1,
INDEX(X_Table_Dairy_Stage1MMS_2_DrainsToPaddock,2,2),
X_Cell_Dairy_Stage1MMS_2_DrainsToPaddock_AmountSeparated_Method1)</f>
        <v>0.12459999999999999</v>
      </c>
      <c r="G238" s="15" cm="1">
        <f t="array" ref="G238">InputFunctions_Dairy.CalculateFractionInSolidStorage(
INDEX(X_Table_Dairy_ProductionSystems_Method1, 4, 3),
INDEX(X_Table_Dairy_Stage1MMS_2_SolidStorage,2,3),
INDEX(X_Table_Dairy_Stage1MMS_2_AnaerobicLagoon,2,3),
X_Cell_Dairy_Stage1MMS_2_AnaerobicLagoon_AmountSeparated_Method1,
INDEX(X_Table_Dairy_Stage1MMS_2_SumpAndDispersal,2,3),
X_Cell_Dairy_Stage1MMS_2_SumpAndDispersal_AmountSeparated_Method1,
INDEX(X_Table_Dairy_Stage1MMS_2_DrainsToPaddock,2,3),
X_Cell_Dairy_Stage1MMS_2_DrainsToPaddock_AmountSeparated_Method1)</f>
        <v>0.12459999999999999</v>
      </c>
      <c r="H238" s="15" cm="1">
        <f t="array" ref="H238">InputFunctions_Dairy.CalculateFractionInSolidStorage(
INDEX(X_Table_Dairy_ProductionSystems_Method1, 4, 4),
INDEX(X_Table_Dairy_Stage1MMS_2_SolidStorage,2,4),
INDEX(X_Table_Dairy_Stage1MMS_2_AnaerobicLagoon,2,4),
X_Cell_Dairy_Stage1MMS_2_AnaerobicLagoon_AmountSeparated_Method1,
INDEX(X_Table_Dairy_Stage1MMS_2_SumpAndDispersal,2,4),
X_Cell_Dairy_Stage1MMS_2_SumpAndDispersal_AmountSeparated_Method1,
INDEX(X_Table_Dairy_Stage1MMS_2_DrainsToPaddock,2,4),
X_Cell_Dairy_Stage1MMS_2_DrainsToPaddock_AmountSeparated_Method1)</f>
        <v>0.12459999999999999</v>
      </c>
      <c r="I238" s="15" cm="1">
        <f t="array" ref="I238">InputFunctions_Dairy.CalculateFractionInSolidStorage(
INDEX(X_Table_Dairy_ProductionSystems_Method1, 4, 5),
INDEX(X_Table_Dairy_Stage1MMS_2_SolidStorage,2,5),
INDEX(X_Table_Dairy_Stage1MMS_2_AnaerobicLagoon,2,5),
X_Cell_Dairy_Stage1MMS_2_AnaerobicLagoon_AmountSeparated_Method1,
INDEX(X_Table_Dairy_Stage1MMS_2_SumpAndDispersal,2,5),
X_Cell_Dairy_Stage1MMS_2_SumpAndDispersal_AmountSeparated_Method1,
INDEX(X_Table_Dairy_Stage1MMS_2_DrainsToPaddock,2,5),
X_Cell_Dairy_Stage1MMS_2_DrainsToPaddock_AmountSeparated_Method1)</f>
        <v>0.12459999999999999</v>
      </c>
      <c r="J238" s="15" cm="1">
        <f t="array" ref="J238">InputFunctions_Dairy.CalculateFractionInSolidStorage(
INDEX(X_Table_Dairy_ProductionSystems_Method1, 4, 6),
INDEX(X_Table_Dairy_Stage1MMS_2_SolidStorage,2,6),
INDEX(X_Table_Dairy_Stage1MMS_2_AnaerobicLagoon,2,6),
X_Cell_Dairy_Stage1MMS_2_AnaerobicLagoon_AmountSeparated_Method1,
INDEX(X_Table_Dairy_Stage1MMS_2_SumpAndDispersal,2,6),
X_Cell_Dairy_Stage1MMS_2_SumpAndDispersal_AmountSeparated_Method1,
INDEX(X_Table_Dairy_Stage1MMS_2_DrainsToPaddock,2,6),
X_Cell_Dairy_Stage1MMS_2_DrainsToPaddock_AmountSeparated_Method1)</f>
        <v>0.12459999999999999</v>
      </c>
      <c r="N238" s="15" t="str">
        <f>INDEX(X_Table_Dairy_ProductionSystems_Method1,4,1)</f>
        <v>Feed pad</v>
      </c>
      <c r="O238" s="15" t="str">
        <f>INDEX(X_Table_Dairy_Stage1MMS_2_SolidStorage,2,1)</f>
        <v>Solid storage (before solid separation)</v>
      </c>
      <c r="P238" s="15" cm="1">
        <f t="array" ref="P238">InputFunctions_Dairy.CalculateFractionInSolidStorage(
INDEX(X_Table_Dairy_ProductionSystems_Method2, 4, 2),
INDEX(X_Table_Dairy_Stage1MMS_2_SolidStorage,2,2),
INDEX(X_Table_Dairy_Stage1MMS_2_AnaerobicLagoon,2,2),
X_Cell_Dairy_Stage1MMS_2_AnaerobicLagoon_AmountSeparated_Method2,
INDEX(X_Table_Dairy_Stage1MMS_2_SumpAndDispersal,2,2),
X_Cell_Dairy_Stage1MMS_2_SumpAndDispersal_AmountSeparated_Method2,
INDEX(X_Table_Dairy_Stage1MMS_2_DrainsToPaddock,2,2),
X_Cell_Dairy_Stage1MMS_2_DrainsToPaddock_AmountSeparated_Method2)</f>
        <v>0.12459999999999999</v>
      </c>
      <c r="Q238" s="15" cm="1">
        <f t="array" ref="Q238">InputFunctions_Dairy.CalculateFractionInSolidStorage(
INDEX(X_Table_Dairy_ProductionSystems_Method2, 4, 3),
INDEX(X_Table_Dairy_Stage1MMS_2_SolidStorage,2,3),
INDEX(X_Table_Dairy_Stage1MMS_2_AnaerobicLagoon,2,3),
X_Cell_Dairy_Stage1MMS_2_AnaerobicLagoon_AmountSeparated_Method2,
INDEX(X_Table_Dairy_Stage1MMS_2_SumpAndDispersal,2,3),
X_Cell_Dairy_Stage1MMS_2_SumpAndDispersal_AmountSeparated_Method2,
INDEX(X_Table_Dairy_Stage1MMS_2_DrainsToPaddock,2,3),
X_Cell_Dairy_Stage1MMS_2_DrainsToPaddock_AmountSeparated_Method2)</f>
        <v>0.12459999999999999</v>
      </c>
      <c r="R238" s="15" cm="1">
        <f t="array" ref="R238">InputFunctions_Dairy.CalculateFractionInSolidStorage(
INDEX(X_Table_Dairy_ProductionSystems_Method2, 4, 4),
INDEX(X_Table_Dairy_Stage1MMS_2_SolidStorage,2,4),
INDEX(X_Table_Dairy_Stage1MMS_2_AnaerobicLagoon,2,4),
X_Cell_Dairy_Stage1MMS_2_AnaerobicLagoon_AmountSeparated_Method2,
INDEX(X_Table_Dairy_Stage1MMS_2_SumpAndDispersal,2,4),
X_Cell_Dairy_Stage1MMS_2_SumpAndDispersal_AmountSeparated_Method2,
INDEX(X_Table_Dairy_Stage1MMS_2_DrainsToPaddock,2,4),
X_Cell_Dairy_Stage1MMS_2_DrainsToPaddock_AmountSeparated_Method2)</f>
        <v>0.12459999999999999</v>
      </c>
      <c r="S238" s="15" cm="1">
        <f t="array" ref="S238">InputFunctions_Dairy.CalculateFractionInSolidStorage(
INDEX(X_Table_Dairy_ProductionSystems_Method2, 4, 5),
INDEX(X_Table_Dairy_Stage1MMS_2_SolidStorage,2,5),
INDEX(X_Table_Dairy_Stage1MMS_2_AnaerobicLagoon,2,5),
X_Cell_Dairy_Stage1MMS_2_AnaerobicLagoon_AmountSeparated_Method2,
INDEX(X_Table_Dairy_Stage1MMS_2_SumpAndDispersal,2,5),
X_Cell_Dairy_Stage1MMS_2_SumpAndDispersal_AmountSeparated_Method2,
INDEX(X_Table_Dairy_Stage1MMS_2_DrainsToPaddock,2,5),
X_Cell_Dairy_Stage1MMS_2_DrainsToPaddock_AmountSeparated_Method2)</f>
        <v>0.12459999999999999</v>
      </c>
      <c r="T238" s="15" cm="1">
        <f t="array" ref="T238">InputFunctions_Dairy.CalculateFractionInSolidStorage(
INDEX(X_Table_Dairy_ProductionSystems_Method2, 4, 6),
INDEX(X_Table_Dairy_Stage1MMS_2_SolidStorage,2,6),
INDEX(X_Table_Dairy_Stage1MMS_2_AnaerobicLagoon,2,6),
X_Cell_Dairy_Stage1MMS_2_AnaerobicLagoon_AmountSeparated_Method2,
INDEX(X_Table_Dairy_Stage1MMS_2_SumpAndDispersal,2,6),
X_Cell_Dairy_Stage1MMS_2_SumpAndDispersal_AmountSeparated_Method2,
INDEX(X_Table_Dairy_Stage1MMS_2_DrainsToPaddock,2,6),
X_Cell_Dairy_Stage1MMS_2_DrainsToPaddock_AmountSeparated_Method2)</f>
        <v>0.12459999999999999</v>
      </c>
    </row>
    <row r="239" spans="4:20" ht="20.100000000000001" customHeight="1" x14ac:dyDescent="0.25">
      <c r="Q239" s="136"/>
    </row>
    <row r="240" spans="4:20" ht="20.100000000000001" customHeight="1" x14ac:dyDescent="0.25">
      <c r="D240" s="121" t="s">
        <v>520</v>
      </c>
      <c r="N240" s="121" t="s">
        <v>521</v>
      </c>
    </row>
    <row r="241" spans="1:21" ht="20.100000000000001" customHeight="1" x14ac:dyDescent="0.25">
      <c r="D241" s="122" t="s">
        <v>522</v>
      </c>
      <c r="N241" s="122" t="s">
        <v>523</v>
      </c>
    </row>
    <row r="242" spans="1:21" ht="20.100000000000001" customHeight="1" x14ac:dyDescent="0.25">
      <c r="D242" s="123" t="s">
        <v>159</v>
      </c>
      <c r="E242" s="123" t="s">
        <v>427</v>
      </c>
      <c r="F242" s="123" t="s">
        <v>334</v>
      </c>
      <c r="G242" s="123" t="s">
        <v>335</v>
      </c>
      <c r="H242" s="123" t="s">
        <v>336</v>
      </c>
      <c r="I242" s="123" t="s">
        <v>337</v>
      </c>
      <c r="J242" s="123" t="s">
        <v>338</v>
      </c>
      <c r="N242" s="123" t="s">
        <v>159</v>
      </c>
      <c r="O242" s="123" t="s">
        <v>427</v>
      </c>
      <c r="P242" s="123" t="s">
        <v>334</v>
      </c>
      <c r="Q242" s="123" t="s">
        <v>335</v>
      </c>
      <c r="R242" s="123" t="s">
        <v>336</v>
      </c>
      <c r="S242" s="123" t="s">
        <v>337</v>
      </c>
      <c r="T242" s="123" t="s">
        <v>338</v>
      </c>
    </row>
    <row r="243" spans="1:21" ht="20.100000000000001" customHeight="1" x14ac:dyDescent="0.25">
      <c r="D243" s="15" t="str">
        <f>INDEX(X_Table_Dairy_ProductionSystems_Method1,3,1)</f>
        <v>Milking shed</v>
      </c>
      <c r="E243" s="15" t="str">
        <f>INDEX(X_Table_Dairy_Stage1MMS_1_AnaerobicLagoon,2,1)</f>
        <v>Anaerobic lagoon</v>
      </c>
      <c r="F243" s="15" cm="1">
        <f t="array" ref="F243">MMS_Dairy_N2ODirect_Equations.VEERG_4_3_1_3__2_TotalNitrogenInEachMMS(D$176,F231)</f>
        <v>399.24605684746678</v>
      </c>
      <c r="G243" s="15" cm="1">
        <f t="array" ref="G243">MMS_Dairy_N2ODirect_Equations.VEERG_4_3_1_3__2_TotalNitrogenInEachMMS(E$176,G231)</f>
        <v>182.35790267782079</v>
      </c>
      <c r="H243" s="15" cm="1">
        <f t="array" ref="H243">MMS_Dairy_N2ODirect_Equations.VEERG_4_3_1_3__2_TotalNitrogenInEachMMS(F$213,H231)</f>
        <v>72.631224123843424</v>
      </c>
      <c r="I243" s="15" cm="1">
        <f t="array" ref="I243">MMS_Dairy_N2ODirect_Equations.VEERG_4_3_1_3__2_TotalNitrogenInEachMMS(G$176,I231)</f>
        <v>229.23109573986844</v>
      </c>
      <c r="J243" s="15" cm="1">
        <f t="array" ref="J243">MMS_Dairy_N2ODirect_Equations.VEERG_4_3_1_3__2_TotalNitrogenInEachMMS(H$213,J231)</f>
        <v>95.962857079055411</v>
      </c>
      <c r="N243" s="15" t="str">
        <f>INDEX(X_Table_Dairy_ProductionSystems_Method1,3,1)</f>
        <v>Milking shed</v>
      </c>
      <c r="O243" s="15" t="str">
        <f>INDEX(X_Table_Dairy_Stage1MMS_1_AnaerobicLagoon,2,1)</f>
        <v>Anaerobic lagoon</v>
      </c>
      <c r="P243" s="15" cm="1">
        <f t="array" ref="P243">MMS_Dairy_N2ODirect_Equations.VEERG_4_3_1_3__2_TotalNitrogenInEachMMS(N$176,P231)</f>
        <v>399.24605684746678</v>
      </c>
      <c r="Q243" s="15" cm="1">
        <f t="array" ref="Q243">MMS_Dairy_N2ODirect_Equations.VEERG_4_3_1_3__2_TotalNitrogenInEachMMS(O$176,Q231)</f>
        <v>182.35790267782079</v>
      </c>
      <c r="R243" s="15" cm="1">
        <f t="array" ref="R243">MMS_Dairy_N2ODirect_Equations.VEERG_4_3_1_3__2_TotalNitrogenInEachMMS(P$213,R231)</f>
        <v>72.631224123843424</v>
      </c>
      <c r="S243" s="15" cm="1">
        <f t="array" ref="S243">MMS_Dairy_N2ODirect_Equations.VEERG_4_3_1_3__2_TotalNitrogenInEachMMS(Q$176,S231)</f>
        <v>229.23109573986844</v>
      </c>
      <c r="T243" s="15" cm="1">
        <f t="array" ref="T243">MMS_Dairy_N2ODirect_Equations.VEERG_4_3_1_3__2_TotalNitrogenInEachMMS(R$213,T231)</f>
        <v>95.962857079055411</v>
      </c>
    </row>
    <row r="244" spans="1:21" ht="20.100000000000001" customHeight="1" x14ac:dyDescent="0.25">
      <c r="D244" s="15" t="str">
        <f>INDEX(X_Table_Dairy_ProductionSystems_Method1,3,1)</f>
        <v>Milking shed</v>
      </c>
      <c r="E244" s="15" t="str">
        <f>INDEX(X_Table_Dairy_Stage1MMS_1_SumpAndDispersal,2,1)</f>
        <v>Sump and dispersal system</v>
      </c>
      <c r="F244" s="15" cm="1">
        <f t="array" ref="F244">MMS_Dairy_N2ODirect_Equations.VEERG_4_3_1_3__2_TotalNitrogenInEachMMS(D$176,F232)</f>
        <v>399.24605684746678</v>
      </c>
      <c r="G244" s="15" cm="1">
        <f t="array" ref="G244">MMS_Dairy_N2ODirect_Equations.VEERG_4_3_1_3__2_TotalNitrogenInEachMMS(E$176,G232)</f>
        <v>182.35790267782079</v>
      </c>
      <c r="H244" s="15" cm="1">
        <f t="array" ref="H244">MMS_Dairy_N2ODirect_Equations.VEERG_4_3_1_3__2_TotalNitrogenInEachMMS(F$213,H232)</f>
        <v>72.631224123843424</v>
      </c>
      <c r="I244" s="15" cm="1">
        <f t="array" ref="I244">MMS_Dairy_N2ODirect_Equations.VEERG_4_3_1_3__2_TotalNitrogenInEachMMS(G$176,I232)</f>
        <v>229.23109573986844</v>
      </c>
      <c r="J244" s="15" cm="1">
        <f t="array" ref="J244">MMS_Dairy_N2ODirect_Equations.VEERG_4_3_1_3__2_TotalNitrogenInEachMMS(H$213,J232)</f>
        <v>95.962857079055411</v>
      </c>
      <c r="N244" s="15" t="str">
        <f>INDEX(X_Table_Dairy_ProductionSystems_Method1,3,1)</f>
        <v>Milking shed</v>
      </c>
      <c r="O244" s="15" t="str">
        <f>INDEX(X_Table_Dairy_Stage1MMS_1_SumpAndDispersal,2,1)</f>
        <v>Sump and dispersal system</v>
      </c>
      <c r="P244" s="15" cm="1">
        <f t="array" ref="P244">MMS_Dairy_N2ODirect_Equations.VEERG_4_3_1_3__2_TotalNitrogenInEachMMS(N$176,P232)</f>
        <v>399.24605684746678</v>
      </c>
      <c r="Q244" s="15" cm="1">
        <f t="array" ref="Q244">MMS_Dairy_N2ODirect_Equations.VEERG_4_3_1_3__2_TotalNitrogenInEachMMS(O$176,Q232)</f>
        <v>182.35790267782079</v>
      </c>
      <c r="R244" s="15" cm="1">
        <f t="array" ref="R244">MMS_Dairy_N2ODirect_Equations.VEERG_4_3_1_3__2_TotalNitrogenInEachMMS(P$213,R232)</f>
        <v>72.631224123843424</v>
      </c>
      <c r="S244" s="15" cm="1">
        <f t="array" ref="S244">MMS_Dairy_N2ODirect_Equations.VEERG_4_3_1_3__2_TotalNitrogenInEachMMS(Q$176,S232)</f>
        <v>229.23109573986844</v>
      </c>
      <c r="T244" s="15" cm="1">
        <f t="array" ref="T244">MMS_Dairy_N2ODirect_Equations.VEERG_4_3_1_3__2_TotalNitrogenInEachMMS(R$213,T232)</f>
        <v>95.962857079055411</v>
      </c>
    </row>
    <row r="245" spans="1:21" ht="20.100000000000001" customHeight="1" x14ac:dyDescent="0.25">
      <c r="A245" s="128" t="str">
        <f>HYPERLINK("#A1", "▲ Back to top")</f>
        <v>▲ Back to top</v>
      </c>
      <c r="D245" s="15" t="str">
        <f>INDEX(X_Table_Dairy_ProductionSystems_Method1,3,1)</f>
        <v>Milking shed</v>
      </c>
      <c r="E245" s="15" t="str">
        <f>INDEX(X_Table_Dairy_Stage1MMS_1_DrainsToPaddock,2,1)</f>
        <v>Drains to paddock</v>
      </c>
      <c r="F245" s="15" cm="1">
        <f t="array" ref="F245">MMS_Dairy_N2ODirect_Equations.VEERG_4_3_1_3__2_TotalNitrogenInEachMMS(D$176,F233)</f>
        <v>399.24605684746678</v>
      </c>
      <c r="G245" s="15" cm="1">
        <f t="array" ref="G245">MMS_Dairy_N2ODirect_Equations.VEERG_4_3_1_3__2_TotalNitrogenInEachMMS(E$176,G233)</f>
        <v>182.35790267782079</v>
      </c>
      <c r="H245" s="15" cm="1">
        <f t="array" ref="H245">MMS_Dairy_N2ODirect_Equations.VEERG_4_3_1_3__2_TotalNitrogenInEachMMS(F$213,H233)</f>
        <v>72.631224123843424</v>
      </c>
      <c r="I245" s="15" cm="1">
        <f t="array" ref="I245">MMS_Dairy_N2ODirect_Equations.VEERG_4_3_1_3__2_TotalNitrogenInEachMMS(G$176,I233)</f>
        <v>229.23109573986844</v>
      </c>
      <c r="J245" s="15" cm="1">
        <f t="array" ref="J245">MMS_Dairy_N2ODirect_Equations.VEERG_4_3_1_3__2_TotalNitrogenInEachMMS(H$213,J233)</f>
        <v>95.962857079055411</v>
      </c>
      <c r="N245" s="15" t="str">
        <f>INDEX(X_Table_Dairy_ProductionSystems_Method1,3,1)</f>
        <v>Milking shed</v>
      </c>
      <c r="O245" s="15" t="str">
        <f>INDEX(X_Table_Dairy_Stage1MMS_1_DrainsToPaddock,2,1)</f>
        <v>Drains to paddock</v>
      </c>
      <c r="P245" s="15" cm="1">
        <f t="array" ref="P245">MMS_Dairy_N2ODirect_Equations.VEERG_4_3_1_3__2_TotalNitrogenInEachMMS(N$176,P233)</f>
        <v>399.24605684746678</v>
      </c>
      <c r="Q245" s="15" cm="1">
        <f t="array" ref="Q245">MMS_Dairy_N2ODirect_Equations.VEERG_4_3_1_3__2_TotalNitrogenInEachMMS(O$176,Q233)</f>
        <v>182.35790267782079</v>
      </c>
      <c r="R245" s="15" cm="1">
        <f t="array" ref="R245">MMS_Dairy_N2ODirect_Equations.VEERG_4_3_1_3__2_TotalNitrogenInEachMMS(P$213,R233)</f>
        <v>72.631224123843424</v>
      </c>
      <c r="S245" s="15" cm="1">
        <f t="array" ref="S245">MMS_Dairy_N2ODirect_Equations.VEERG_4_3_1_3__2_TotalNitrogenInEachMMS(Q$176,S233)</f>
        <v>229.23109573986844</v>
      </c>
      <c r="T245" s="15" cm="1">
        <f t="array" ref="T245">MMS_Dairy_N2ODirect_Equations.VEERG_4_3_1_3__2_TotalNitrogenInEachMMS(R$213,T233)</f>
        <v>95.962857079055411</v>
      </c>
    </row>
    <row r="246" spans="1:21" ht="20.100000000000001" customHeight="1" x14ac:dyDescent="0.25">
      <c r="D246" s="15" t="str">
        <f>INDEX(X_Table_Dairy_ProductionSystems_Method1,3,1)</f>
        <v>Milking shed</v>
      </c>
      <c r="E246" s="15" t="s">
        <v>75</v>
      </c>
      <c r="F246" s="15" cm="1">
        <f t="array" ref="F246">MMS_Dairy_N2ODirect_Equations.VEERG_4_3_1_3__2_TotalNitrogenInEachMMS(D$176,F234)</f>
        <v>798.49211369493332</v>
      </c>
      <c r="G246" s="15" cm="1">
        <f t="array" ref="G246">MMS_Dairy_N2ODirect_Equations.VEERG_4_3_1_3__2_TotalNitrogenInEachMMS(E$176,G234)</f>
        <v>364.71580535564152</v>
      </c>
      <c r="H246" s="15" cm="1">
        <f t="array" ref="H246">MMS_Dairy_N2ODirect_Equations.VEERG_4_3_1_3__2_TotalNitrogenInEachMMS(F$213,H234)</f>
        <v>145.26244824768682</v>
      </c>
      <c r="I246" s="15" cm="1">
        <f t="array" ref="I246">MMS_Dairy_N2ODirect_Equations.VEERG_4_3_1_3__2_TotalNitrogenInEachMMS(G$176,I234)</f>
        <v>458.46219147973682</v>
      </c>
      <c r="J246" s="15" cm="1">
        <f t="array" ref="J246">MMS_Dairy_N2ODirect_Equations.VEERG_4_3_1_3__2_TotalNitrogenInEachMMS(H$213,J234)</f>
        <v>191.92571415811079</v>
      </c>
      <c r="N246" s="15" t="str">
        <f>INDEX(X_Table_Dairy_ProductionSystems_Method1,3,1)</f>
        <v>Milking shed</v>
      </c>
      <c r="O246" s="15" t="s">
        <v>75</v>
      </c>
      <c r="P246" s="15" cm="1">
        <f t="array" ref="P246">MMS_Dairy_N2ODirect_Equations.VEERG_4_3_1_3__2_TotalNitrogenInEachMMS(N$176,P234)</f>
        <v>798.49211369493332</v>
      </c>
      <c r="Q246" s="15" cm="1">
        <f t="array" ref="Q246">MMS_Dairy_N2ODirect_Equations.VEERG_4_3_1_3__2_TotalNitrogenInEachMMS(O$176,Q234)</f>
        <v>364.71580535564152</v>
      </c>
      <c r="R246" s="15" cm="1">
        <f t="array" ref="R246">MMS_Dairy_N2ODirect_Equations.VEERG_4_3_1_3__2_TotalNitrogenInEachMMS(P$213,R234)</f>
        <v>145.26244824768682</v>
      </c>
      <c r="S246" s="15" cm="1">
        <f t="array" ref="S246">MMS_Dairy_N2ODirect_Equations.VEERG_4_3_1_3__2_TotalNitrogenInEachMMS(Q$176,S234)</f>
        <v>458.46219147973682</v>
      </c>
      <c r="T246" s="15" cm="1">
        <f t="array" ref="T246">MMS_Dairy_N2ODirect_Equations.VEERG_4_3_1_3__2_TotalNitrogenInEachMMS(R$213,T234)</f>
        <v>191.92571415811079</v>
      </c>
    </row>
    <row r="247" spans="1:21" ht="20.100000000000001" customHeight="1" x14ac:dyDescent="0.25">
      <c r="D247" s="15" t="str">
        <f>INDEX(X_Table_Dairy_ProductionSystems_Method1,4,1)</f>
        <v>Feed pad</v>
      </c>
      <c r="E247" s="15" t="str">
        <f>INDEX(X_Table_Dairy_Stage1MMS_2_AnaerobicLagoon,2,1)</f>
        <v>Anaerobic lagoon</v>
      </c>
      <c r="F247" s="15" cm="1">
        <f t="array" ref="F247">MMS_Dairy_N2ODirect_Equations.VEERG_4_3_1_3__2_TotalNitrogenInEachMMS(D$176,F235)</f>
        <v>1615.131775428388</v>
      </c>
      <c r="G247" s="15" cm="1">
        <f t="array" ref="G247">MMS_Dairy_N2ODirect_Equations.VEERG_4_3_1_3__2_TotalNitrogenInEachMMS(E$176,G235)</f>
        <v>737.72060628754764</v>
      </c>
      <c r="H247" s="15" cm="1">
        <f t="array" ref="H247">MMS_Dairy_N2ODirect_Equations.VEERG_4_3_1_3__2_TotalNitrogenInEachMMS(F$213,H235)</f>
        <v>293.82631577373019</v>
      </c>
      <c r="I247" s="15" cm="1">
        <f t="array" ref="I247">MMS_Dairy_N2ODirect_Equations.VEERG_4_3_1_3__2_TotalNitrogenInEachMMS(G$176,I235)</f>
        <v>927.34397822037681</v>
      </c>
      <c r="J247" s="15" cm="1">
        <f t="array" ref="J247">MMS_Dairy_N2ODirect_Equations.VEERG_4_3_1_3__2_TotalNitrogenInEachMMS(H$213,J235)</f>
        <v>388.21337636526954</v>
      </c>
      <c r="N247" s="15" t="str">
        <f>INDEX(X_Table_Dairy_ProductionSystems_Method1,4,1)</f>
        <v>Feed pad</v>
      </c>
      <c r="O247" s="15" t="str">
        <f>INDEX(X_Table_Dairy_Stage1MMS_2_AnaerobicLagoon,2,1)</f>
        <v>Anaerobic lagoon</v>
      </c>
      <c r="P247" s="15" cm="1">
        <f t="array" ref="P247">MMS_Dairy_N2ODirect_Equations.VEERG_4_3_1_3__2_TotalNitrogenInEachMMS(N$176,P235)</f>
        <v>1615.131775428388</v>
      </c>
      <c r="Q247" s="15" cm="1">
        <f t="array" ref="Q247">MMS_Dairy_N2ODirect_Equations.VEERG_4_3_1_3__2_TotalNitrogenInEachMMS(O$176,Q235)</f>
        <v>737.72060628754764</v>
      </c>
      <c r="R247" s="15" cm="1">
        <f t="array" ref="R247">MMS_Dairy_N2ODirect_Equations.VEERG_4_3_1_3__2_TotalNitrogenInEachMMS(P$213,R235)</f>
        <v>293.82631577373019</v>
      </c>
      <c r="S247" s="15" cm="1">
        <f t="array" ref="S247">MMS_Dairy_N2ODirect_Equations.VEERG_4_3_1_3__2_TotalNitrogenInEachMMS(Q$176,S235)</f>
        <v>927.34397822037681</v>
      </c>
      <c r="T247" s="15" cm="1">
        <f t="array" ref="T247">MMS_Dairy_N2ODirect_Equations.VEERG_4_3_1_3__2_TotalNitrogenInEachMMS(R$213,T235)</f>
        <v>388.21337636526954</v>
      </c>
    </row>
    <row r="248" spans="1:21" ht="20.100000000000001" customHeight="1" x14ac:dyDescent="0.25">
      <c r="D248" s="15" t="str">
        <f>INDEX(X_Table_Dairy_ProductionSystems_Method1,4,1)</f>
        <v>Feed pad</v>
      </c>
      <c r="E248" s="15" t="str">
        <f>INDEX(X_Table_Dairy_Stage1MMS_2_SumpAndDispersal,2,1)</f>
        <v>Sump and dispersal system</v>
      </c>
      <c r="F248" s="15" cm="1">
        <f t="array" ref="F248">MMS_Dairy_N2ODirect_Equations.VEERG_4_3_1_3__2_TotalNitrogenInEachMMS(D$176,F236)</f>
        <v>1292.1054203427104</v>
      </c>
      <c r="G248" s="15" cm="1">
        <f t="array" ref="G248">MMS_Dairy_N2ODirect_Equations.VEERG_4_3_1_3__2_TotalNitrogenInEachMMS(E$176,G236)</f>
        <v>590.17648503003818</v>
      </c>
      <c r="H248" s="15" cm="1">
        <f t="array" ref="H248">MMS_Dairy_N2ODirect_Equations.VEERG_4_3_1_3__2_TotalNitrogenInEachMMS(F$213,H236)</f>
        <v>235.06105261898415</v>
      </c>
      <c r="I248" s="15" cm="1">
        <f t="array" ref="I248">MMS_Dairy_N2ODirect_Equations.VEERG_4_3_1_3__2_TotalNitrogenInEachMMS(G$176,I236)</f>
        <v>741.87518257630143</v>
      </c>
      <c r="J248" s="15" cm="1">
        <f t="array" ref="J248">MMS_Dairy_N2ODirect_Equations.VEERG_4_3_1_3__2_TotalNitrogenInEachMMS(H$213,J236)</f>
        <v>310.57070109221564</v>
      </c>
      <c r="N248" s="15" t="str">
        <f>INDEX(X_Table_Dairy_ProductionSystems_Method1,4,1)</f>
        <v>Feed pad</v>
      </c>
      <c r="O248" s="15" t="str">
        <f>INDEX(X_Table_Dairy_Stage1MMS_2_SumpAndDispersal,2,1)</f>
        <v>Sump and dispersal system</v>
      </c>
      <c r="P248" s="15" cm="1">
        <f t="array" ref="P248">MMS_Dairy_N2ODirect_Equations.VEERG_4_3_1_3__2_TotalNitrogenInEachMMS(N$176,P236)</f>
        <v>1292.1054203427104</v>
      </c>
      <c r="Q248" s="15" cm="1">
        <f t="array" ref="Q248">MMS_Dairy_N2ODirect_Equations.VEERG_4_3_1_3__2_TotalNitrogenInEachMMS(O$176,Q236)</f>
        <v>590.17648503003818</v>
      </c>
      <c r="R248" s="15" cm="1">
        <f t="array" ref="R248">MMS_Dairy_N2ODirect_Equations.VEERG_4_3_1_3__2_TotalNitrogenInEachMMS(P$213,R236)</f>
        <v>235.06105261898415</v>
      </c>
      <c r="S248" s="15" cm="1">
        <f t="array" ref="S248">MMS_Dairy_N2ODirect_Equations.VEERG_4_3_1_3__2_TotalNitrogenInEachMMS(Q$176,S236)</f>
        <v>741.87518257630143</v>
      </c>
      <c r="T248" s="15" cm="1">
        <f t="array" ref="T248">MMS_Dairy_N2ODirect_Equations.VEERG_4_3_1_3__2_TotalNitrogenInEachMMS(R$213,T236)</f>
        <v>310.57070109221564</v>
      </c>
    </row>
    <row r="249" spans="1:21" ht="20.100000000000001" customHeight="1" x14ac:dyDescent="0.25">
      <c r="D249" s="15" t="str">
        <f>INDEX(X_Table_Dairy_ProductionSystems_Method1,4,1)</f>
        <v>Feed pad</v>
      </c>
      <c r="E249" s="15" t="str">
        <f>INDEX(X_Table_Dairy_Stage1MMS_2_DrainsToPaddock,2,1)</f>
        <v>Drains to paddock</v>
      </c>
      <c r="F249" s="15" cm="1">
        <f t="array" ref="F249">MMS_Dairy_N2ODirect_Equations.VEERG_4_3_1_3__2_TotalNitrogenInEachMMS(D$176,F237)</f>
        <v>1292.1054203427104</v>
      </c>
      <c r="G249" s="15" cm="1">
        <f t="array" ref="G249">MMS_Dairy_N2ODirect_Equations.VEERG_4_3_1_3__2_TotalNitrogenInEachMMS(E$176,G237)</f>
        <v>590.17648503003818</v>
      </c>
      <c r="H249" s="15" cm="1">
        <f t="array" ref="H249">MMS_Dairy_N2ODirect_Equations.VEERG_4_3_1_3__2_TotalNitrogenInEachMMS(F$213,H237)</f>
        <v>235.06105261898415</v>
      </c>
      <c r="I249" s="15" cm="1">
        <f t="array" ref="I249">MMS_Dairy_N2ODirect_Equations.VEERG_4_3_1_3__2_TotalNitrogenInEachMMS(G$176,I237)</f>
        <v>741.87518257630143</v>
      </c>
      <c r="J249" s="15" cm="1">
        <f t="array" ref="J249">MMS_Dairy_N2ODirect_Equations.VEERG_4_3_1_3__2_TotalNitrogenInEachMMS(H$213,J237)</f>
        <v>310.57070109221564</v>
      </c>
      <c r="N249" s="15" t="str">
        <f>INDEX(X_Table_Dairy_ProductionSystems_Method1,4,1)</f>
        <v>Feed pad</v>
      </c>
      <c r="O249" s="15" t="str">
        <f>INDEX(X_Table_Dairy_Stage1MMS_2_DrainsToPaddock,2,1)</f>
        <v>Drains to paddock</v>
      </c>
      <c r="P249" s="15" cm="1">
        <f t="array" ref="P249">MMS_Dairy_N2ODirect_Equations.VEERG_4_3_1_3__2_TotalNitrogenInEachMMS(N$176,P237)</f>
        <v>1292.1054203427104</v>
      </c>
      <c r="Q249" s="15" cm="1">
        <f t="array" ref="Q249">MMS_Dairy_N2ODirect_Equations.VEERG_4_3_1_3__2_TotalNitrogenInEachMMS(O$176,Q237)</f>
        <v>590.17648503003818</v>
      </c>
      <c r="R249" s="15" cm="1">
        <f t="array" ref="R249">MMS_Dairy_N2ODirect_Equations.VEERG_4_3_1_3__2_TotalNitrogenInEachMMS(P$213,R237)</f>
        <v>235.06105261898415</v>
      </c>
      <c r="S249" s="15" cm="1">
        <f t="array" ref="S249">MMS_Dairy_N2ODirect_Equations.VEERG_4_3_1_3__2_TotalNitrogenInEachMMS(Q$176,S237)</f>
        <v>741.87518257630143</v>
      </c>
      <c r="T249" s="15" cm="1">
        <f t="array" ref="T249">MMS_Dairy_N2ODirect_Equations.VEERG_4_3_1_3__2_TotalNitrogenInEachMMS(R$213,T237)</f>
        <v>310.57070109221564</v>
      </c>
    </row>
    <row r="250" spans="1:21" ht="20.100000000000001" customHeight="1" x14ac:dyDescent="0.25">
      <c r="D250" s="15" t="str">
        <f>INDEX(X_Table_Dairy_ProductionSystems_Method1,4,1)</f>
        <v>Feed pad</v>
      </c>
      <c r="E250" s="15" t="s">
        <v>75</v>
      </c>
      <c r="F250" s="15" cm="1">
        <f t="array" ref="F250">MMS_Dairy_N2ODirect_Equations.VEERG_4_3_1_3__2_TotalNitrogenInEachMMS(D$176,F238)</f>
        <v>2261.1844855997429</v>
      </c>
      <c r="G250" s="15" cm="1">
        <f t="array" ref="G250">MMS_Dairy_N2ODirect_Equations.VEERG_4_3_1_3__2_TotalNitrogenInEachMMS(E$176,G238)</f>
        <v>1032.8088488025667</v>
      </c>
      <c r="H250" s="15" cm="1">
        <f t="array" ref="H250">MMS_Dairy_N2ODirect_Equations.VEERG_4_3_1_3__2_TotalNitrogenInEachMMS(F$213,H238)</f>
        <v>411.35684208322226</v>
      </c>
      <c r="I250" s="15" cm="1">
        <f t="array" ref="I250">MMS_Dairy_N2ODirect_Equations.VEERG_4_3_1_3__2_TotalNitrogenInEachMMS(G$176,I238)</f>
        <v>1298.2815695085274</v>
      </c>
      <c r="J250" s="15" cm="1">
        <f t="array" ref="J250">MMS_Dairy_N2ODirect_Equations.VEERG_4_3_1_3__2_TotalNitrogenInEachMMS(H$213,J238)</f>
        <v>543.49872691137739</v>
      </c>
      <c r="N250" s="15" t="str">
        <f>INDEX(X_Table_Dairy_ProductionSystems_Method1,4,1)</f>
        <v>Feed pad</v>
      </c>
      <c r="O250" s="15" t="s">
        <v>75</v>
      </c>
      <c r="P250" s="15" cm="1">
        <f t="array" ref="P250">MMS_Dairy_N2ODirect_Equations.VEERG_4_3_1_3__2_TotalNitrogenInEachMMS(N$176,P238)</f>
        <v>2261.1844855997429</v>
      </c>
      <c r="Q250" s="15" cm="1">
        <f t="array" ref="Q250">MMS_Dairy_N2ODirect_Equations.VEERG_4_3_1_3__2_TotalNitrogenInEachMMS(O$176,Q238)</f>
        <v>1032.8088488025667</v>
      </c>
      <c r="R250" s="15" cm="1">
        <f t="array" ref="R250">MMS_Dairy_N2ODirect_Equations.VEERG_4_3_1_3__2_TotalNitrogenInEachMMS(P$213,R238)</f>
        <v>411.35684208322226</v>
      </c>
      <c r="S250" s="15" cm="1">
        <f t="array" ref="S250">MMS_Dairy_N2ODirect_Equations.VEERG_4_3_1_3__2_TotalNitrogenInEachMMS(Q$176,S238)</f>
        <v>1298.2815695085274</v>
      </c>
      <c r="T250" s="15" cm="1">
        <f t="array" ref="T250">MMS_Dairy_N2ODirect_Equations.VEERG_4_3_1_3__2_TotalNitrogenInEachMMS(R$213,T238)</f>
        <v>543.49872691137739</v>
      </c>
    </row>
    <row r="251" spans="1:21" ht="20.100000000000001" customHeight="1" x14ac:dyDescent="0.25"/>
    <row r="252" spans="1:21" ht="20.100000000000001" customHeight="1" x14ac:dyDescent="0.25"/>
    <row r="253" spans="1:21" ht="20.100000000000001" customHeight="1" x14ac:dyDescent="0.25">
      <c r="C253" s="88"/>
      <c r="D253" s="88"/>
      <c r="E253" s="88"/>
      <c r="F253" s="88"/>
      <c r="G253" s="88"/>
      <c r="H253" s="88"/>
      <c r="I253" s="88"/>
      <c r="J253" s="88"/>
      <c r="K253" s="88"/>
      <c r="M253" s="88"/>
      <c r="N253" s="88"/>
      <c r="O253" s="88"/>
      <c r="P253" s="88"/>
      <c r="Q253" s="88"/>
      <c r="R253" s="88"/>
      <c r="S253" s="88"/>
      <c r="T253" s="88"/>
      <c r="U253" s="88"/>
    </row>
    <row r="254" spans="1:21" ht="20.100000000000001" customHeight="1" x14ac:dyDescent="0.25">
      <c r="D254" s="2"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17" t="str" cm="1">
        <f t="array" ref="D255">MMS_Dairy_N2ODirect_Equations.VEERG_4_3_1_3__1_TotalAnnualDirectNitrousOxideEmissionsFromMMS_Source()</f>
        <v>VEERG 2026: 4.3.1.3, Equation (1)</v>
      </c>
    </row>
    <row r="256" spans="1:21" ht="20.100000000000001" customHeight="1" x14ac:dyDescent="0.25">
      <c r="D256" s="117" t="s">
        <v>382</v>
      </c>
      <c r="E256" s="117"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2"/>
    </row>
    <row r="259" spans="4:9" ht="20.100000000000001" customHeight="1" x14ac:dyDescent="0.25">
      <c r="D259" s="76" t="s">
        <v>383</v>
      </c>
      <c r="E259" s="1" t="str" cm="1">
        <f t="array" ref="E259">MMS_Dairy_N2ODirect_Equations.VEERG_4_3_1_3__1_TotalAnnualDirectNitrousOxideEmissionsFromMMS_Variable()</f>
        <v>E_N2Odir</v>
      </c>
    </row>
    <row r="260" spans="4:9" ht="20.100000000000001" customHeight="1" x14ac:dyDescent="0.25">
      <c r="D260" s="76" t="s">
        <v>118</v>
      </c>
      <c r="E260" s="9"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19" t="str" cm="1">
        <f t="array" ref="D262:E264">_xlfn.CHOOSECOLS(MMS_Dairy_N2ODirect_Equations.VEERG_4_3_1_3__1_TotalAnnualDirectNitrousOxideEmissionsFromMMS_Arguments(),1,2)</f>
        <v>MN_jm</v>
      </c>
      <c r="E262" s="119" t="str">
        <v>total nitrogen in each MMS for dairy cattle classes</v>
      </c>
      <c r="F262" s="119"/>
      <c r="G262" s="119" t="str" cm="1">
        <f t="array" ref="G262:H264">_xlfn.CHOOSECOLS(MMS_Dairy_N2ODirect_Equations.VEERG_4_3_1_3__1_TotalAnnualDirectNitrousOxideEmissionsFromMMS_Arguments(),3,4)</f>
        <v>kg N</v>
      </c>
      <c r="H262" s="127" t="str">
        <v>Calculated from 4.3.1.3 (2)</v>
      </c>
      <c r="I262" s="126" t="str" cm="1">
        <f t="array" aca="1" ref="I262" ca="1">HYPERLINK(Common_InputFunctions.Utility_SourceHyperlink($D$240),$D$240)</f>
        <v>M1_Table_MN_j_m</v>
      </c>
    </row>
    <row r="263" spans="4:9" ht="20.100000000000001" customHeight="1" x14ac:dyDescent="0.25">
      <c r="D263" s="119" t="str">
        <v>EF_m</v>
      </c>
      <c r="E263" s="119" t="str">
        <v>nitrous oxide emission factor for each MMS (kg N2O-N/kg N deposited)</v>
      </c>
      <c r="F263" s="119"/>
      <c r="G263" s="119" t="str">
        <v>kg N2O-N/kg N</v>
      </c>
      <c r="H263" s="127" t="str">
        <v>Constant</v>
      </c>
      <c r="I263" s="126" t="str" cm="1">
        <f t="array" aca="1" ref="I263" ca="1">HYPERLINK(Common_InputFunctions.Utility_SourceHyperlink($D$266),$D$266)</f>
        <v>Table_EF_m</v>
      </c>
    </row>
    <row r="264" spans="4:9" ht="20.100000000000001" customHeight="1" x14ac:dyDescent="0.25">
      <c r="D264" s="119" t="str">
        <v>C_N2O</v>
      </c>
      <c r="E264" s="119" t="str">
        <v>factor to convert elemental mass of N2O to molecular mass</v>
      </c>
      <c r="F264" s="119"/>
      <c r="G264" s="119" t="str">
        <v>fraction</v>
      </c>
      <c r="H264" s="127" t="str">
        <v>Constant</v>
      </c>
      <c r="I264" s="119">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21" t="s">
        <v>524</v>
      </c>
    </row>
    <row r="267" spans="4:9" ht="20.100000000000001" customHeight="1" x14ac:dyDescent="0.25">
      <c r="D267" s="122" t="s">
        <v>525</v>
      </c>
    </row>
    <row r="268" spans="4:9" ht="20.100000000000001" customHeight="1" x14ac:dyDescent="0.25">
      <c r="D268" s="123" t="s">
        <v>427</v>
      </c>
      <c r="E268" s="123" t="s">
        <v>526</v>
      </c>
    </row>
    <row r="269" spans="4:9" ht="20.100000000000001" customHeight="1" x14ac:dyDescent="0.25">
      <c r="D269" s="15" t="str" cm="1">
        <f t="array" ref="D269:D273">Table_SourceData_Dairy_EFmFracGASM[NIR reference]</f>
        <v>Pasture range and paddock</v>
      </c>
      <c r="E269" s="15" cm="1">
        <f t="array" ref="E269:E273">Table_SourceData_Dairy_EFmFracGASM[EFm]</f>
        <v>0</v>
      </c>
    </row>
    <row r="270" spans="4:9" ht="20.100000000000001" customHeight="1" x14ac:dyDescent="0.25">
      <c r="D270" s="15" t="str">
        <v>Anaerobic lagoon</v>
      </c>
      <c r="E270" s="15">
        <v>0</v>
      </c>
    </row>
    <row r="271" spans="4:9" ht="20.100000000000001" customHeight="1" x14ac:dyDescent="0.25">
      <c r="D271" s="15" t="str">
        <v>Sump and dispersal system</v>
      </c>
      <c r="E271" s="15">
        <v>0</v>
      </c>
    </row>
    <row r="272" spans="4:9" ht="20.100000000000001" customHeight="1" x14ac:dyDescent="0.25">
      <c r="D272" s="15" t="str">
        <v>Drains to paddock</v>
      </c>
      <c r="E272" s="15">
        <v>0</v>
      </c>
    </row>
    <row r="273" spans="1:20" ht="20.100000000000001" customHeight="1" x14ac:dyDescent="0.25">
      <c r="D273" s="15" t="str">
        <v>Solid storage</v>
      </c>
      <c r="E273" s="15">
        <v>5.0000000000000001E-3</v>
      </c>
    </row>
    <row r="274" spans="1:20" ht="20.100000000000001" customHeight="1" x14ac:dyDescent="0.25"/>
    <row r="275" spans="1:20" ht="20.100000000000001" customHeight="1" x14ac:dyDescent="0.25">
      <c r="D275" s="121" t="s">
        <v>527</v>
      </c>
      <c r="N275" s="121" t="s">
        <v>528</v>
      </c>
    </row>
    <row r="276" spans="1:20" ht="20.100000000000001" customHeight="1" x14ac:dyDescent="0.25">
      <c r="D276" s="122" t="s">
        <v>529</v>
      </c>
      <c r="N276" s="122" t="s">
        <v>530</v>
      </c>
    </row>
    <row r="277" spans="1:20" ht="20.100000000000001" customHeight="1" x14ac:dyDescent="0.25">
      <c r="D277" s="123" t="s">
        <v>159</v>
      </c>
      <c r="E277" s="123" t="s">
        <v>427</v>
      </c>
      <c r="F277" s="123" t="s">
        <v>334</v>
      </c>
      <c r="G277" s="123" t="s">
        <v>335</v>
      </c>
      <c r="H277" s="123" t="s">
        <v>336</v>
      </c>
      <c r="I277" s="123" t="s">
        <v>337</v>
      </c>
      <c r="J277" s="123" t="s">
        <v>338</v>
      </c>
      <c r="N277" s="123" t="s">
        <v>159</v>
      </c>
      <c r="O277" s="123" t="s">
        <v>427</v>
      </c>
      <c r="P277" s="123" t="s">
        <v>334</v>
      </c>
      <c r="Q277" s="123" t="s">
        <v>335</v>
      </c>
      <c r="R277" s="123" t="s">
        <v>336</v>
      </c>
      <c r="S277" s="123" t="s">
        <v>337</v>
      </c>
      <c r="T277" s="123" t="s">
        <v>338</v>
      </c>
    </row>
    <row r="278" spans="1:20" ht="20.100000000000001" customHeight="1" x14ac:dyDescent="0.25">
      <c r="D278" s="15" t="str">
        <f>INDEX(X_Table_Dairy_ProductionSystems_Method1,3,1)</f>
        <v>Milking shed</v>
      </c>
      <c r="E278" s="15" t="str">
        <f>INDEX(X_Table_Dairy_Stage1MMS_1_AnaerobicLagoon,2,1)</f>
        <v>Anaerobic lagoon</v>
      </c>
      <c r="F278" s="15" cm="1">
        <f t="array" ref="F278">MMS_Dairy_N2ODirect_Equations.VEERG_4_3_1_3__1_TotalAnnualDirectNitrousOxideEmissionsFromMMS(F243,$E270,$I$264)</f>
        <v>0</v>
      </c>
      <c r="G278" s="15" cm="1">
        <f t="array" ref="G278">MMS_Dairy_N2ODirect_Equations.VEERG_4_3_1_3__1_TotalAnnualDirectNitrousOxideEmissionsFromMMS(G243,$E270,$I$264)</f>
        <v>0</v>
      </c>
      <c r="H278" s="15" cm="1">
        <f t="array" ref="H278">MMS_Dairy_N2ODirect_Equations.VEERG_4_3_1_3__1_TotalAnnualDirectNitrousOxideEmissionsFromMMS(H243,$E270,$I$264)</f>
        <v>0</v>
      </c>
      <c r="I278" s="15" cm="1">
        <f t="array" ref="I278">MMS_Dairy_N2ODirect_Equations.VEERG_4_3_1_3__1_TotalAnnualDirectNitrousOxideEmissionsFromMMS(I243,$E270,$I$264)</f>
        <v>0</v>
      </c>
      <c r="J278" s="15" cm="1">
        <f t="array" ref="J278">MMS_Dairy_N2ODirect_Equations.VEERG_4_3_1_3__1_TotalAnnualDirectNitrousOxideEmissionsFromMMS(J243,$E270,$I$264)</f>
        <v>0</v>
      </c>
      <c r="N278" s="15" t="str">
        <f>INDEX(X_Table_Dairy_ProductionSystems_Method1,3,1)</f>
        <v>Milking shed</v>
      </c>
      <c r="O278" s="15" t="str">
        <f>INDEX(X_Table_Dairy_Stage1MMS_1_AnaerobicLagoon,2,1)</f>
        <v>Anaerobic lagoon</v>
      </c>
      <c r="P278" s="15" cm="1">
        <f t="array" ref="P278">MMS_Dairy_N2ODirect_Equations.VEERG_4_3_1_3__1_TotalAnnualDirectNitrousOxideEmissionsFromMMS(P243,$E270,$I$264)</f>
        <v>0</v>
      </c>
      <c r="Q278" s="15" cm="1">
        <f t="array" ref="Q278">MMS_Dairy_N2ODirect_Equations.VEERG_4_3_1_3__1_TotalAnnualDirectNitrousOxideEmissionsFromMMS(Q243,$E270,$I$264)</f>
        <v>0</v>
      </c>
      <c r="R278" s="15" cm="1">
        <f t="array" ref="R278">MMS_Dairy_N2ODirect_Equations.VEERG_4_3_1_3__1_TotalAnnualDirectNitrousOxideEmissionsFromMMS(R243,$E270,$I$264)</f>
        <v>0</v>
      </c>
      <c r="S278" s="15" cm="1">
        <f t="array" ref="S278">MMS_Dairy_N2ODirect_Equations.VEERG_4_3_1_3__1_TotalAnnualDirectNitrousOxideEmissionsFromMMS(S243,$E270,$I$264)</f>
        <v>0</v>
      </c>
      <c r="T278" s="15" cm="1">
        <f t="array" ref="T278">MMS_Dairy_N2ODirect_Equations.VEERG_4_3_1_3__1_TotalAnnualDirectNitrousOxideEmissionsFromMMS(T243,$E270,$I$264)</f>
        <v>0</v>
      </c>
    </row>
    <row r="279" spans="1:20" ht="20.100000000000001" customHeight="1" x14ac:dyDescent="0.25">
      <c r="D279" s="15" t="str">
        <f>INDEX(X_Table_Dairy_ProductionSystems_Method1,3,1)</f>
        <v>Milking shed</v>
      </c>
      <c r="E279" s="15" t="str">
        <f>INDEX(X_Table_Dairy_Stage1MMS_1_SumpAndDispersal,2,1)</f>
        <v>Sump and dispersal system</v>
      </c>
      <c r="F279" s="15" cm="1">
        <f t="array" ref="F279">MMS_Dairy_N2ODirect_Equations.VEERG_4_3_1_3__1_TotalAnnualDirectNitrousOxideEmissionsFromMMS(F244,$E271,$I$264)</f>
        <v>0</v>
      </c>
      <c r="G279" s="15" cm="1">
        <f t="array" ref="G279">MMS_Dairy_N2ODirect_Equations.VEERG_4_3_1_3__1_TotalAnnualDirectNitrousOxideEmissionsFromMMS(G244,$E271,$I$264)</f>
        <v>0</v>
      </c>
      <c r="H279" s="15" cm="1">
        <f t="array" ref="H279">MMS_Dairy_N2ODirect_Equations.VEERG_4_3_1_3__1_TotalAnnualDirectNitrousOxideEmissionsFromMMS(H244,$E271,$I$264)</f>
        <v>0</v>
      </c>
      <c r="I279" s="15" cm="1">
        <f t="array" ref="I279">MMS_Dairy_N2ODirect_Equations.VEERG_4_3_1_3__1_TotalAnnualDirectNitrousOxideEmissionsFromMMS(I244,$E271,$I$264)</f>
        <v>0</v>
      </c>
      <c r="J279" s="15" cm="1">
        <f t="array" ref="J279">MMS_Dairy_N2ODirect_Equations.VEERG_4_3_1_3__1_TotalAnnualDirectNitrousOxideEmissionsFromMMS(J244,$E271,$I$264)</f>
        <v>0</v>
      </c>
      <c r="N279" s="15" t="str">
        <f>INDEX(X_Table_Dairy_ProductionSystems_Method1,3,1)</f>
        <v>Milking shed</v>
      </c>
      <c r="O279" s="15" t="str">
        <f>INDEX(X_Table_Dairy_Stage1MMS_1_SumpAndDispersal,2,1)</f>
        <v>Sump and dispersal system</v>
      </c>
      <c r="P279" s="15" cm="1">
        <f t="array" ref="P279">MMS_Dairy_N2ODirect_Equations.VEERG_4_3_1_3__1_TotalAnnualDirectNitrousOxideEmissionsFromMMS(P244,$E271,$I$264)</f>
        <v>0</v>
      </c>
      <c r="Q279" s="15" cm="1">
        <f t="array" ref="Q279">MMS_Dairy_N2ODirect_Equations.VEERG_4_3_1_3__1_TotalAnnualDirectNitrousOxideEmissionsFromMMS(Q244,$E271,$I$264)</f>
        <v>0</v>
      </c>
      <c r="R279" s="15" cm="1">
        <f t="array" ref="R279">MMS_Dairy_N2ODirect_Equations.VEERG_4_3_1_3__1_TotalAnnualDirectNitrousOxideEmissionsFromMMS(R244,$E271,$I$264)</f>
        <v>0</v>
      </c>
      <c r="S279" s="15" cm="1">
        <f t="array" ref="S279">MMS_Dairy_N2ODirect_Equations.VEERG_4_3_1_3__1_TotalAnnualDirectNitrousOxideEmissionsFromMMS(S244,$E271,$I$264)</f>
        <v>0</v>
      </c>
      <c r="T279" s="15" cm="1">
        <f t="array" ref="T279">MMS_Dairy_N2ODirect_Equations.VEERG_4_3_1_3__1_TotalAnnualDirectNitrousOxideEmissionsFromMMS(T244,$E271,$I$264)</f>
        <v>0</v>
      </c>
    </row>
    <row r="280" spans="1:20" ht="20.100000000000001" customHeight="1" x14ac:dyDescent="0.25">
      <c r="D280" s="15" t="str">
        <f>INDEX(X_Table_Dairy_ProductionSystems_Method1,3,1)</f>
        <v>Milking shed</v>
      </c>
      <c r="E280" s="15" t="str">
        <f>INDEX(X_Table_Dairy_Stage1MMS_1_DrainsToPaddock,2,1)</f>
        <v>Drains to paddock</v>
      </c>
      <c r="F280" s="15" cm="1">
        <f t="array" ref="F280">MMS_Dairy_N2ODirect_Equations.VEERG_4_3_1_3__1_TotalAnnualDirectNitrousOxideEmissionsFromMMS(F245,$E272,$I$264)</f>
        <v>0</v>
      </c>
      <c r="G280" s="15" cm="1">
        <f t="array" ref="G280">MMS_Dairy_N2ODirect_Equations.VEERG_4_3_1_3__1_TotalAnnualDirectNitrousOxideEmissionsFromMMS(G245,$E272,$I$264)</f>
        <v>0</v>
      </c>
      <c r="H280" s="15" cm="1">
        <f t="array" ref="H280">MMS_Dairy_N2ODirect_Equations.VEERG_4_3_1_3__1_TotalAnnualDirectNitrousOxideEmissionsFromMMS(H245,$E272,$I$264)</f>
        <v>0</v>
      </c>
      <c r="I280" s="15" cm="1">
        <f t="array" ref="I280">MMS_Dairy_N2ODirect_Equations.VEERG_4_3_1_3__1_TotalAnnualDirectNitrousOxideEmissionsFromMMS(I245,$E272,$I$264)</f>
        <v>0</v>
      </c>
      <c r="J280" s="15" cm="1">
        <f t="array" ref="J280">MMS_Dairy_N2ODirect_Equations.VEERG_4_3_1_3__1_TotalAnnualDirectNitrousOxideEmissionsFromMMS(J245,$E272,$I$264)</f>
        <v>0</v>
      </c>
      <c r="N280" s="15" t="str">
        <f>INDEX(X_Table_Dairy_ProductionSystems_Method1,3,1)</f>
        <v>Milking shed</v>
      </c>
      <c r="O280" s="15" t="str">
        <f>INDEX(X_Table_Dairy_Stage1MMS_1_DrainsToPaddock,2,1)</f>
        <v>Drains to paddock</v>
      </c>
      <c r="P280" s="15" cm="1">
        <f t="array" ref="P280">MMS_Dairy_N2ODirect_Equations.VEERG_4_3_1_3__1_TotalAnnualDirectNitrousOxideEmissionsFromMMS(P245,$E272,$I$264)</f>
        <v>0</v>
      </c>
      <c r="Q280" s="15" cm="1">
        <f t="array" ref="Q280">MMS_Dairy_N2ODirect_Equations.VEERG_4_3_1_3__1_TotalAnnualDirectNitrousOxideEmissionsFromMMS(Q245,$E272,$I$264)</f>
        <v>0</v>
      </c>
      <c r="R280" s="15" cm="1">
        <f t="array" ref="R280">MMS_Dairy_N2ODirect_Equations.VEERG_4_3_1_3__1_TotalAnnualDirectNitrousOxideEmissionsFromMMS(R245,$E272,$I$264)</f>
        <v>0</v>
      </c>
      <c r="S280" s="15" cm="1">
        <f t="array" ref="S280">MMS_Dairy_N2ODirect_Equations.VEERG_4_3_1_3__1_TotalAnnualDirectNitrousOxideEmissionsFromMMS(S245,$E272,$I$264)</f>
        <v>0</v>
      </c>
      <c r="T280" s="15" cm="1">
        <f t="array" ref="T280">MMS_Dairy_N2ODirect_Equations.VEERG_4_3_1_3__1_TotalAnnualDirectNitrousOxideEmissionsFromMMS(T245,$E272,$I$264)</f>
        <v>0</v>
      </c>
    </row>
    <row r="281" spans="1:20" ht="20.100000000000001" customHeight="1" x14ac:dyDescent="0.25">
      <c r="D281" s="15" t="str">
        <f>INDEX(X_Table_Dairy_ProductionSystems_Method1,3,1)</f>
        <v>Milking shed</v>
      </c>
      <c r="E281" s="15" t="s">
        <v>75</v>
      </c>
      <c r="F281" s="15" cm="1">
        <f t="array" ref="F281">MMS_Dairy_N2ODirect_Equations.VEERG_4_3_1_3__1_TotalAnnualDirectNitrousOxideEmissionsFromMMS(F246,$E273,$I$264)</f>
        <v>6.2738666076030481E-3</v>
      </c>
      <c r="G281" s="15" cm="1">
        <f t="array" ref="G281">MMS_Dairy_N2ODirect_Equations.VEERG_4_3_1_3__1_TotalAnnualDirectNitrousOxideEmissionsFromMMS(G246,$E273,$I$264)</f>
        <v>2.8656241849371834E-3</v>
      </c>
      <c r="H281" s="15" cm="1">
        <f t="array" ref="H281">MMS_Dairy_N2ODirect_Equations.VEERG_4_3_1_3__1_TotalAnnualDirectNitrousOxideEmissionsFromMMS(H246,$E273,$I$264)</f>
        <v>1.1413478076603965E-3</v>
      </c>
      <c r="I281" s="15" cm="1">
        <f t="array" ref="I281">MMS_Dairy_N2ODirect_Equations.VEERG_4_3_1_3__1_TotalAnnualDirectNitrousOxideEmissionsFromMMS(I246,$E273,$I$264)</f>
        <v>3.6022029330550747E-3</v>
      </c>
      <c r="J281" s="15" cm="1">
        <f t="array" ref="J281">MMS_Dairy_N2ODirect_Equations.VEERG_4_3_1_3__1_TotalAnnualDirectNitrousOxideEmissionsFromMMS(J246,$E273,$I$264)</f>
        <v>1.5079877540994421E-3</v>
      </c>
      <c r="N281" s="15" t="str">
        <f>INDEX(X_Table_Dairy_ProductionSystems_Method1,3,1)</f>
        <v>Milking shed</v>
      </c>
      <c r="O281" s="15" t="s">
        <v>75</v>
      </c>
      <c r="P281" s="15" cm="1">
        <f t="array" ref="P281">MMS_Dairy_N2ODirect_Equations.VEERG_4_3_1_3__1_TotalAnnualDirectNitrousOxideEmissionsFromMMS(P246,$E273,$I$264)</f>
        <v>6.2738666076030481E-3</v>
      </c>
      <c r="Q281" s="15" cm="1">
        <f t="array" ref="Q281">MMS_Dairy_N2ODirect_Equations.VEERG_4_3_1_3__1_TotalAnnualDirectNitrousOxideEmissionsFromMMS(Q246,$E273,$I$264)</f>
        <v>2.8656241849371834E-3</v>
      </c>
      <c r="R281" s="15" cm="1">
        <f t="array" ref="R281">MMS_Dairy_N2ODirect_Equations.VEERG_4_3_1_3__1_TotalAnnualDirectNitrousOxideEmissionsFromMMS(R246,$E273,$I$264)</f>
        <v>1.1413478076603965E-3</v>
      </c>
      <c r="S281" s="15" cm="1">
        <f t="array" ref="S281">MMS_Dairy_N2ODirect_Equations.VEERG_4_3_1_3__1_TotalAnnualDirectNitrousOxideEmissionsFromMMS(S246,$E273,$I$264)</f>
        <v>3.6022029330550747E-3</v>
      </c>
      <c r="T281" s="15" cm="1">
        <f t="array" ref="T281">MMS_Dairy_N2ODirect_Equations.VEERG_4_3_1_3__1_TotalAnnualDirectNitrousOxideEmissionsFromMMS(T246,$E273,$I$264)</f>
        <v>1.5079877540994421E-3</v>
      </c>
    </row>
    <row r="282" spans="1:20" ht="20.100000000000001" customHeight="1" x14ac:dyDescent="0.25">
      <c r="D282" s="15" t="str">
        <f>INDEX(X_Table_Dairy_ProductionSystems_Method1,4,1)</f>
        <v>Feed pad</v>
      </c>
      <c r="E282" s="15" t="str">
        <f>INDEX(X_Table_Dairy_Stage1MMS_2_AnaerobicLagoon,2,1)</f>
        <v>Anaerobic lagoon</v>
      </c>
      <c r="F282" s="15" cm="1">
        <f t="array" ref="F282">MMS_Dairy_N2ODirect_Equations.VEERG_4_3_1_3__1_TotalAnnualDirectNitrousOxideEmissionsFromMMS(F247,$E270,$I$264)</f>
        <v>0</v>
      </c>
      <c r="G282" s="15" cm="1">
        <f t="array" ref="G282">MMS_Dairy_N2ODirect_Equations.VEERG_4_3_1_3__1_TotalAnnualDirectNitrousOxideEmissionsFromMMS(G247,$E270,$I$264)</f>
        <v>0</v>
      </c>
      <c r="H282" s="15" cm="1">
        <f t="array" ref="H282">MMS_Dairy_N2ODirect_Equations.VEERG_4_3_1_3__1_TotalAnnualDirectNitrousOxideEmissionsFromMMS(H247,$E270,$I$264)</f>
        <v>0</v>
      </c>
      <c r="I282" s="15" cm="1">
        <f t="array" ref="I282">MMS_Dairy_N2ODirect_Equations.VEERG_4_3_1_3__1_TotalAnnualDirectNitrousOxideEmissionsFromMMS(I247,$E270,$I$264)</f>
        <v>0</v>
      </c>
      <c r="J282" s="15" cm="1">
        <f t="array" ref="J282">MMS_Dairy_N2ODirect_Equations.VEERG_4_3_1_3__1_TotalAnnualDirectNitrousOxideEmissionsFromMMS(J247,$E270,$I$264)</f>
        <v>0</v>
      </c>
      <c r="N282" s="15" t="str">
        <f>INDEX(X_Table_Dairy_ProductionSystems_Method1,4,1)</f>
        <v>Feed pad</v>
      </c>
      <c r="O282" s="15" t="str">
        <f>INDEX(X_Table_Dairy_Stage1MMS_2_AnaerobicLagoon,2,1)</f>
        <v>Anaerobic lagoon</v>
      </c>
      <c r="P282" s="15" cm="1">
        <f t="array" ref="P282">MMS_Dairy_N2ODirect_Equations.VEERG_4_3_1_3__1_TotalAnnualDirectNitrousOxideEmissionsFromMMS(P247,$E270,$I$264)</f>
        <v>0</v>
      </c>
      <c r="Q282" s="15" cm="1">
        <f t="array" ref="Q282">MMS_Dairy_N2ODirect_Equations.VEERG_4_3_1_3__1_TotalAnnualDirectNitrousOxideEmissionsFromMMS(Q247,$E270,$I$264)</f>
        <v>0</v>
      </c>
      <c r="R282" s="15" cm="1">
        <f t="array" ref="R282">MMS_Dairy_N2ODirect_Equations.VEERG_4_3_1_3__1_TotalAnnualDirectNitrousOxideEmissionsFromMMS(R247,$E270,$I$264)</f>
        <v>0</v>
      </c>
      <c r="S282" s="15" cm="1">
        <f t="array" ref="S282">MMS_Dairy_N2ODirect_Equations.VEERG_4_3_1_3__1_TotalAnnualDirectNitrousOxideEmissionsFromMMS(S247,$E270,$I$264)</f>
        <v>0</v>
      </c>
      <c r="T282" s="15" cm="1">
        <f t="array" ref="T282">MMS_Dairy_N2ODirect_Equations.VEERG_4_3_1_3__1_TotalAnnualDirectNitrousOxideEmissionsFromMMS(T247,$E270,$I$264)</f>
        <v>0</v>
      </c>
    </row>
    <row r="283" spans="1:20" ht="20.100000000000001" customHeight="1" x14ac:dyDescent="0.25">
      <c r="D283" s="15" t="str">
        <f>INDEX(X_Table_Dairy_ProductionSystems_Method1,4,1)</f>
        <v>Feed pad</v>
      </c>
      <c r="E283" s="15" t="str">
        <f>INDEX(X_Table_Dairy_Stage1MMS_2_SumpAndDispersal,2,1)</f>
        <v>Sump and dispersal system</v>
      </c>
      <c r="F283" s="15" cm="1">
        <f t="array" ref="F283">MMS_Dairy_N2ODirect_Equations.VEERG_4_3_1_3__1_TotalAnnualDirectNitrousOxideEmissionsFromMMS(F248,$E271,$I$264)</f>
        <v>0</v>
      </c>
      <c r="G283" s="15" cm="1">
        <f t="array" ref="G283">MMS_Dairy_N2ODirect_Equations.VEERG_4_3_1_3__1_TotalAnnualDirectNitrousOxideEmissionsFromMMS(G248,$E271,$I$264)</f>
        <v>0</v>
      </c>
      <c r="H283" s="15" cm="1">
        <f t="array" ref="H283">MMS_Dairy_N2ODirect_Equations.VEERG_4_3_1_3__1_TotalAnnualDirectNitrousOxideEmissionsFromMMS(H248,$E271,$I$264)</f>
        <v>0</v>
      </c>
      <c r="I283" s="15" cm="1">
        <f t="array" ref="I283">MMS_Dairy_N2ODirect_Equations.VEERG_4_3_1_3__1_TotalAnnualDirectNitrousOxideEmissionsFromMMS(I248,$E271,$I$264)</f>
        <v>0</v>
      </c>
      <c r="J283" s="15" cm="1">
        <f t="array" ref="J283">MMS_Dairy_N2ODirect_Equations.VEERG_4_3_1_3__1_TotalAnnualDirectNitrousOxideEmissionsFromMMS(J248,$E271,$I$264)</f>
        <v>0</v>
      </c>
      <c r="N283" s="15" t="str">
        <f>INDEX(X_Table_Dairy_ProductionSystems_Method1,4,1)</f>
        <v>Feed pad</v>
      </c>
      <c r="O283" s="15" t="str">
        <f>INDEX(X_Table_Dairy_Stage1MMS_2_SumpAndDispersal,2,1)</f>
        <v>Sump and dispersal system</v>
      </c>
      <c r="P283" s="15" cm="1">
        <f t="array" ref="P283">MMS_Dairy_N2ODirect_Equations.VEERG_4_3_1_3__1_TotalAnnualDirectNitrousOxideEmissionsFromMMS(P248,$E271,$I$264)</f>
        <v>0</v>
      </c>
      <c r="Q283" s="15" cm="1">
        <f t="array" ref="Q283">MMS_Dairy_N2ODirect_Equations.VEERG_4_3_1_3__1_TotalAnnualDirectNitrousOxideEmissionsFromMMS(Q248,$E271,$I$264)</f>
        <v>0</v>
      </c>
      <c r="R283" s="15" cm="1">
        <f t="array" ref="R283">MMS_Dairy_N2ODirect_Equations.VEERG_4_3_1_3__1_TotalAnnualDirectNitrousOxideEmissionsFromMMS(R248,$E271,$I$264)</f>
        <v>0</v>
      </c>
      <c r="S283" s="15" cm="1">
        <f t="array" ref="S283">MMS_Dairy_N2ODirect_Equations.VEERG_4_3_1_3__1_TotalAnnualDirectNitrousOxideEmissionsFromMMS(S248,$E271,$I$264)</f>
        <v>0</v>
      </c>
      <c r="T283" s="15" cm="1">
        <f t="array" ref="T283">MMS_Dairy_N2ODirect_Equations.VEERG_4_3_1_3__1_TotalAnnualDirectNitrousOxideEmissionsFromMMS(T248,$E271,$I$264)</f>
        <v>0</v>
      </c>
    </row>
    <row r="284" spans="1:20" ht="20.100000000000001" customHeight="1" x14ac:dyDescent="0.25">
      <c r="D284" s="15" t="str">
        <f>INDEX(X_Table_Dairy_ProductionSystems_Method1,4,1)</f>
        <v>Feed pad</v>
      </c>
      <c r="E284" s="15" t="str">
        <f>INDEX(X_Table_Dairy_Stage1MMS_2_DrainsToPaddock,2,1)</f>
        <v>Drains to paddock</v>
      </c>
      <c r="F284" s="15" cm="1">
        <f t="array" ref="F284">MMS_Dairy_N2ODirect_Equations.VEERG_4_3_1_3__1_TotalAnnualDirectNitrousOxideEmissionsFromMMS(F249,$E272,$I$264)</f>
        <v>0</v>
      </c>
      <c r="G284" s="15" cm="1">
        <f t="array" ref="G284">MMS_Dairy_N2ODirect_Equations.VEERG_4_3_1_3__1_TotalAnnualDirectNitrousOxideEmissionsFromMMS(G249,$E272,$I$264)</f>
        <v>0</v>
      </c>
      <c r="H284" s="15" cm="1">
        <f t="array" ref="H284">MMS_Dairy_N2ODirect_Equations.VEERG_4_3_1_3__1_TotalAnnualDirectNitrousOxideEmissionsFromMMS(H249,$E272,$I$264)</f>
        <v>0</v>
      </c>
      <c r="I284" s="15" cm="1">
        <f t="array" ref="I284">MMS_Dairy_N2ODirect_Equations.VEERG_4_3_1_3__1_TotalAnnualDirectNitrousOxideEmissionsFromMMS(I249,$E272,$I$264)</f>
        <v>0</v>
      </c>
      <c r="J284" s="15" cm="1">
        <f t="array" ref="J284">MMS_Dairy_N2ODirect_Equations.VEERG_4_3_1_3__1_TotalAnnualDirectNitrousOxideEmissionsFromMMS(J249,$E272,$I$264)</f>
        <v>0</v>
      </c>
      <c r="N284" s="15" t="str">
        <f>INDEX(X_Table_Dairy_ProductionSystems_Method1,4,1)</f>
        <v>Feed pad</v>
      </c>
      <c r="O284" s="15" t="str">
        <f>INDEX(X_Table_Dairy_Stage1MMS_2_DrainsToPaddock,2,1)</f>
        <v>Drains to paddock</v>
      </c>
      <c r="P284" s="15" cm="1">
        <f t="array" ref="P284">MMS_Dairy_N2ODirect_Equations.VEERG_4_3_1_3__1_TotalAnnualDirectNitrousOxideEmissionsFromMMS(P249,$E272,$I$264)</f>
        <v>0</v>
      </c>
      <c r="Q284" s="15" cm="1">
        <f t="array" ref="Q284">MMS_Dairy_N2ODirect_Equations.VEERG_4_3_1_3__1_TotalAnnualDirectNitrousOxideEmissionsFromMMS(Q249,$E272,$I$264)</f>
        <v>0</v>
      </c>
      <c r="R284" s="15" cm="1">
        <f t="array" ref="R284">MMS_Dairy_N2ODirect_Equations.VEERG_4_3_1_3__1_TotalAnnualDirectNitrousOxideEmissionsFromMMS(R249,$E272,$I$264)</f>
        <v>0</v>
      </c>
      <c r="S284" s="15" cm="1">
        <f t="array" ref="S284">MMS_Dairy_N2ODirect_Equations.VEERG_4_3_1_3__1_TotalAnnualDirectNitrousOxideEmissionsFromMMS(S249,$E272,$I$264)</f>
        <v>0</v>
      </c>
      <c r="T284" s="15" cm="1">
        <f t="array" ref="T284">MMS_Dairy_N2ODirect_Equations.VEERG_4_3_1_3__1_TotalAnnualDirectNitrousOxideEmissionsFromMMS(T249,$E272,$I$264)</f>
        <v>0</v>
      </c>
    </row>
    <row r="285" spans="1:20" ht="20.100000000000001" customHeight="1" x14ac:dyDescent="0.25">
      <c r="A285" s="128" t="str">
        <f>HYPERLINK("#A1", "▲ Back to top")</f>
        <v>▲ Back to top</v>
      </c>
      <c r="D285" s="15" t="str">
        <f>INDEX(X_Table_Dairy_ProductionSystems_Method1,4,1)</f>
        <v>Feed pad</v>
      </c>
      <c r="E285" s="15" t="s">
        <v>75</v>
      </c>
      <c r="F285" s="15" cm="1">
        <f t="array" ref="F285">MMS_Dairy_N2ODirect_Equations.VEERG_4_3_1_3__1_TotalAnnualDirectNitrousOxideEmissionsFromMMS(F250,$E273,$I$264)</f>
        <v>1.7766449529712264E-2</v>
      </c>
      <c r="G285" s="15" cm="1">
        <f t="array" ref="G285">MMS_Dairy_N2ODirect_Equations.VEERG_4_3_1_3__1_TotalAnnualDirectNitrousOxideEmissionsFromMMS(G250,$E273,$I$264)</f>
        <v>8.1149266691630251E-3</v>
      </c>
      <c r="H285" s="15" cm="1">
        <f t="array" ref="H285">MMS_Dairy_N2ODirect_Equations.VEERG_4_3_1_3__1_TotalAnnualDirectNitrousOxideEmissionsFromMMS(H250,$E273,$I$264)</f>
        <v>3.2320894735110321E-3</v>
      </c>
      <c r="I285" s="15" cm="1">
        <f t="array" ref="I285">MMS_Dairy_N2ODirect_Equations.VEERG_4_3_1_3__1_TotalAnnualDirectNitrousOxideEmissionsFromMMS(I250,$E273,$I$264)</f>
        <v>1.0200783760424144E-2</v>
      </c>
      <c r="J285" s="15" cm="1">
        <f t="array" ref="J285">MMS_Dairy_N2ODirect_Equations.VEERG_4_3_1_3__1_TotalAnnualDirectNitrousOxideEmissionsFromMMS(J250,$E273,$I$264)</f>
        <v>4.2703471400179658E-3</v>
      </c>
      <c r="N285" s="15" t="str">
        <f>INDEX(X_Table_Dairy_ProductionSystems_Method1,4,1)</f>
        <v>Feed pad</v>
      </c>
      <c r="O285" s="15" t="s">
        <v>75</v>
      </c>
      <c r="P285" s="15" cm="1">
        <f t="array" ref="P285">MMS_Dairy_N2ODirect_Equations.VEERG_4_3_1_3__1_TotalAnnualDirectNitrousOxideEmissionsFromMMS(P250,$E273,$I$264)</f>
        <v>1.7766449529712264E-2</v>
      </c>
      <c r="Q285" s="15" cm="1">
        <f t="array" ref="Q285">MMS_Dairy_N2ODirect_Equations.VEERG_4_3_1_3__1_TotalAnnualDirectNitrousOxideEmissionsFromMMS(Q250,$E273,$I$264)</f>
        <v>8.1149266691630251E-3</v>
      </c>
      <c r="R285" s="15" cm="1">
        <f t="array" ref="R285">MMS_Dairy_N2ODirect_Equations.VEERG_4_3_1_3__1_TotalAnnualDirectNitrousOxideEmissionsFromMMS(R250,$E273,$I$264)</f>
        <v>3.2320894735110321E-3</v>
      </c>
      <c r="S285" s="15" cm="1">
        <f t="array" ref="S285">MMS_Dairy_N2ODirect_Equations.VEERG_4_3_1_3__1_TotalAnnualDirectNitrousOxideEmissionsFromMMS(S250,$E273,$I$264)</f>
        <v>1.0200783760424144E-2</v>
      </c>
      <c r="T285" s="15" cm="1">
        <f t="array" ref="T285">MMS_Dairy_N2ODirect_Equations.VEERG_4_3_1_3__1_TotalAnnualDirectNitrousOxideEmissionsFromMMS(T250,$E273,$I$264)</f>
        <v>4.2703471400179658E-3</v>
      </c>
    </row>
    <row r="286" spans="1:20" ht="20.100000000000001" customHeight="1" x14ac:dyDescent="0.25"/>
    <row r="287" spans="1:20" ht="20.100000000000001" customHeight="1" x14ac:dyDescent="0.25">
      <c r="D287" s="87" t="s">
        <v>531</v>
      </c>
      <c r="E287" s="90">
        <f>SUM(F278:J285)</f>
        <v>5.8975625860183567E-2</v>
      </c>
      <c r="F287" s="89" t="str">
        <f>$E$260</f>
        <v>t N2O</v>
      </c>
      <c r="N287" s="87" t="s">
        <v>531</v>
      </c>
      <c r="O287" s="90">
        <f>SUM(P278:T285)</f>
        <v>5.8975625860183567E-2</v>
      </c>
      <c r="P287" s="89" t="str">
        <f>$E$260</f>
        <v>t N2O</v>
      </c>
    </row>
    <row r="288" spans="1:20" ht="20.100000000000001" customHeight="1" x14ac:dyDescent="0.25"/>
    <row r="289" spans="4:17" ht="20.100000000000001" customHeight="1" x14ac:dyDescent="0.25">
      <c r="D289" s="131" t="str" cm="1">
        <f t="array" ref="D289:E290">Common_Equations.Common_ConvertN2OToCO2e_Arguments()</f>
        <v>EN2O</v>
      </c>
      <c r="E289" s="134" t="str">
        <v>Nitrous oxide emissions (t N2O)</v>
      </c>
      <c r="F289" s="135"/>
      <c r="G289" s="15">
        <f>VEERG_4_3_1_3__1_TotalAnnualDirectNitrousOxideEmissionsFromMMS_Result_Method1</f>
        <v>5.8975625860183567E-2</v>
      </c>
      <c r="N289" s="131" t="str" cm="1">
        <f t="array" ref="N289:O290">Common_Equations.Common_ConvertN2OToCO2e_Arguments()</f>
        <v>EN2O</v>
      </c>
      <c r="O289" s="134" t="str">
        <v>Nitrous oxide emissions (t N2O)</v>
      </c>
      <c r="P289" s="135"/>
      <c r="Q289" s="15">
        <f>VEERG_4_3_1_3__1_TotalAnnualDirectNitrousOxideEmissionsFromMMS_Result_Method2</f>
        <v>5.8975625860183567E-2</v>
      </c>
    </row>
    <row r="290" spans="4:17" ht="20.100000000000001" customHeight="1" x14ac:dyDescent="0.25">
      <c r="D290" s="131" t="str">
        <v>GWPN2O</v>
      </c>
      <c r="E290" s="134" t="str">
        <v>Global warming potential for nitrous oxide (t CO2-e / t N2O)</v>
      </c>
      <c r="F290" s="135"/>
      <c r="G290" s="15">
        <f>Common_InputFunctions.Utility_LookupValueInTableNumber("N2O",Table_GWPData[Gas],Table_GWPData[CO2-e factor])</f>
        <v>265</v>
      </c>
      <c r="N290" s="131" t="str">
        <v>GWPN2O</v>
      </c>
      <c r="O290" s="134" t="str">
        <v>Global warming potential for nitrous oxide (t CO2-e / t N2O)</v>
      </c>
      <c r="P290" s="135"/>
      <c r="Q290" s="15">
        <f>Common_InputFunctions.Utility_LookupValueInTableNumber("N2O",Table_GWPData[Gas],Table_GWPData[CO2-e factor])</f>
        <v>265</v>
      </c>
    </row>
    <row r="291" spans="4:17" ht="20.100000000000001" customHeight="1" x14ac:dyDescent="0.25"/>
    <row r="292" spans="4:17" ht="18.75" x14ac:dyDescent="0.25">
      <c r="D292" s="88" t="s">
        <v>532</v>
      </c>
      <c r="E292" s="88" cm="1">
        <f t="array" ref="E292">Common_Equations.Common_ConvertN2OToCO2e(G289,G290)</f>
        <v>15.628540852948646</v>
      </c>
      <c r="F292" s="93" t="str" cm="1">
        <f t="array" ref="F292">Common_Equations.Common_ConvertN2OToCO2e_Unit()</f>
        <v>t CO2e</v>
      </c>
      <c r="N292" s="88" t="s">
        <v>532</v>
      </c>
      <c r="O292" s="88" cm="1">
        <f t="array" ref="O292">Common_Equations.Common_ConvertN2OToCO2e(Q289,Q290)</f>
        <v>15.628540852948646</v>
      </c>
      <c r="P292" s="93" t="str" cm="1">
        <f t="array" ref="P292">Common_Equations.Common_ConvertN2OToCO2e_Unit()</f>
        <v>t CO2e</v>
      </c>
    </row>
  </sheetData>
  <dataValidations count="1">
    <dataValidation operator="equal" allowBlank="1" showInputMessage="1" showErrorMessage="1" sqref="O113:T113 O285 N90:P90 D79:E79 E108:J108 E73:F73 F113:J113 O278 E231 E250 O231 E238 E243 O234 O243 E272 E269 O250 E278 E285 E234 E246 O246 E281 O281" xr:uid="{ECDD9D25-52A7-45A2-8B56-C8D57D342DA8}"/>
  </dataValidation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A4067-5C20-4292-80C7-C20E6D65A78B}">
  <sheetPr>
    <tabColor rgb="FF008000"/>
  </sheetPr>
  <dimension ref="A1:W165"/>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20" customFormat="1" ht="30" customHeight="1" x14ac:dyDescent="0.35">
      <c r="A1" s="10" t="e" vm="1">
        <v>#VALUE!</v>
      </c>
      <c r="C1" s="20" t="s">
        <v>533</v>
      </c>
    </row>
    <row r="2" spans="1:23" s="3" customFormat="1" ht="20.100000000000001" customHeight="1" x14ac:dyDescent="0.25">
      <c r="A2"/>
    </row>
    <row r="3" spans="1:23" ht="20.100000000000001" customHeight="1" x14ac:dyDescent="0.25">
      <c r="A3" s="5" t="str">
        <f>HYPERLINK("#'Home'!A1", "Home")</f>
        <v>Home</v>
      </c>
      <c r="C3" s="22"/>
      <c r="D3" s="22" t="s">
        <v>129</v>
      </c>
      <c r="E3" s="22"/>
      <c r="F3" s="22"/>
      <c r="G3" s="22"/>
      <c r="H3" s="22"/>
      <c r="I3" s="22"/>
      <c r="J3" s="22"/>
      <c r="K3" s="22"/>
      <c r="L3" s="22"/>
      <c r="N3" s="22"/>
      <c r="O3" s="22" t="s">
        <v>130</v>
      </c>
      <c r="P3" s="22"/>
      <c r="Q3" s="22"/>
      <c r="R3" s="22"/>
      <c r="S3" s="22"/>
      <c r="T3" s="22"/>
      <c r="U3" s="22"/>
      <c r="V3" s="22"/>
      <c r="W3" s="22"/>
    </row>
    <row r="4" spans="1:23" ht="20.100000000000001" customHeight="1" x14ac:dyDescent="0.25">
      <c r="A4" s="5" t="str">
        <f>HYPERLINK("#'Results - Activity period'!A1", "Results - Activity period")</f>
        <v>Results - Activity period</v>
      </c>
    </row>
    <row r="5" spans="1:23" ht="20.100000000000001" customHeight="1" x14ac:dyDescent="0.25">
      <c r="A5" s="5" t="str">
        <f>HYPERLINK("#'Results - Product EI'!A1", "Results - Product Emissions Intensity")</f>
        <v>Results - Product Emissions Intensity</v>
      </c>
      <c r="D5" s="2" t="str" cm="1">
        <f t="array" ref="D5">MMS_Dairy_AtmosphericDeposition_Equations.VEERG_4_3_1_5__2_TotalNitrogenVolatilisedFromMMS_Title()</f>
        <v>Total nitrogen volatilised from MMS</v>
      </c>
    </row>
    <row r="6" spans="1:23" ht="20.100000000000001" customHeight="1" x14ac:dyDescent="0.25">
      <c r="A6" s="5" t="str">
        <f>HYPERLINK("#'Results'!A1", "Results")</f>
        <v>Results</v>
      </c>
      <c r="D6" s="17" t="str" cm="1">
        <f t="array" ref="D6">MMS_Dairy_AtmosphericDeposition_Equations.VEERG_4_3_1_5__2_TotalNitrogenVolatilisedFromMMS_Source()</f>
        <v>VEERG 2026: 4.3.1.5, Equation (2)</v>
      </c>
    </row>
    <row r="7" spans="1:23" ht="20.100000000000001" customHeight="1" x14ac:dyDescent="0.25">
      <c r="D7" s="117" t="s">
        <v>382</v>
      </c>
      <c r="E7" s="117" t="str" cm="1">
        <f t="array" aca="1" ref="E7" ca="1">Common_InputFunctions.Utility_DisplayFunctionName(F40)</f>
        <v>=MMS_Dairy_AtmosphericDeposition_Equations.VEERG_4_3_1_5__2_TotalNitrogenVolatilisedFromMMS</v>
      </c>
    </row>
    <row r="8" spans="1:23" ht="20.100000000000001" customHeight="1" x14ac:dyDescent="0.25"/>
    <row r="9" spans="1:23" ht="20.100000000000001" customHeight="1" x14ac:dyDescent="0.25">
      <c r="A9" s="7" t="s">
        <v>0</v>
      </c>
    </row>
    <row r="10" spans="1:23" ht="20.100000000000001" customHeight="1" x14ac:dyDescent="0.25">
      <c r="A10" s="5" t="str">
        <f>HYPERLINK("#'Input - Enterprise'!A1", "Enterprise")</f>
        <v>Enterprise</v>
      </c>
      <c r="D10" s="76" t="s">
        <v>383</v>
      </c>
      <c r="E10" s="1" t="str" cm="1">
        <f t="array" ref="E10">MMS_Dairy_AtmosphericDeposition_Equations.VEERG_4_3_1_5__2_TotalNitrogenVolatilisedFromMMS_Variable()</f>
        <v>MN_ATMOS</v>
      </c>
    </row>
    <row r="11" spans="1:23" ht="20.100000000000001" customHeight="1" x14ac:dyDescent="0.25">
      <c r="A11" s="5" t="str">
        <f>HYPERLINK("#'Input - Site'!A1", "Site")</f>
        <v>Site</v>
      </c>
      <c r="D11" s="76" t="s">
        <v>118</v>
      </c>
      <c r="E11" s="9" t="str" cm="1">
        <f t="array" ref="E11">MMS_Dairy_AtmosphericDeposition_Equations.VEERG_4_3_1_5__2_TotalNitrogenVolatilisedFromMMS_Unit()</f>
        <v>kg N</v>
      </c>
    </row>
    <row r="12" spans="1:23" ht="20.100000000000001" customHeight="1" x14ac:dyDescent="0.25">
      <c r="A12" s="5" t="str">
        <f>HYPERLINK("#'Input - Dairy'!A1", "Dairy")</f>
        <v>Dairy</v>
      </c>
    </row>
    <row r="13" spans="1:23" ht="20.100000000000001" customHeight="1" x14ac:dyDescent="0.25">
      <c r="A13" s="5" t="str">
        <f>HYPERLINK("#'Input - Livestock sales'!A1", "Livestock sales")</f>
        <v>Livestock sales</v>
      </c>
      <c r="D13" s="119" t="str" cm="1">
        <f t="array" ref="D13:E14">_xlfn.CHOOSECOLS(MMS_Dairy_AtmosphericDeposition_Equations.VEERG_4_3_1_5__2_TotalNitrogenVolatilisedFromMMS_Arguments(),1,2)</f>
        <v>MN_jm</v>
      </c>
      <c r="E13" s="124" t="str">
        <v>total nitrogen in each MMS for dairy cattle classes</v>
      </c>
      <c r="F13" s="125"/>
      <c r="G13" s="119" t="str" cm="1">
        <f t="array" ref="G13:H14">_xlfn.CHOOSECOLS(MMS_Dairy_AtmosphericDeposition_Equations.VEERG_4_3_1_5__2_TotalNitrogenVolatilisedFromMMS_Arguments(),3,4)</f>
        <v>kg N</v>
      </c>
      <c r="H13" s="127" t="str">
        <v>Calculated from 4.3.1.3 (2)</v>
      </c>
      <c r="I13" s="126" t="str" cm="1">
        <f t="array" aca="1" ref="I13" ca="1">HYPERLINK(Common_InputFunctions.Utility_SourceHyperlink(D$16),D$16)</f>
        <v>M1_Table_MN_j_m</v>
      </c>
    </row>
    <row r="14" spans="1:23" ht="20.100000000000001" customHeight="1" x14ac:dyDescent="0.25">
      <c r="A14" s="5" t="str">
        <f>HYPERLINK("#'Input - Dairy cattle purchases'!A1", "Dairy cattle purchases")</f>
        <v>Dairy cattle purchases</v>
      </c>
      <c r="D14" s="119" t="str">
        <v>FracGASM_m</v>
      </c>
      <c r="E14" s="124" t="str">
        <v>fraction of N volatilised from MMS</v>
      </c>
      <c r="F14" s="125"/>
      <c r="G14" s="119" t="str">
        <v>fraction</v>
      </c>
      <c r="H14" s="127" t="str">
        <v>Constant</v>
      </c>
      <c r="I14" s="126" t="str" cm="1">
        <f t="array" aca="1" ref="I14" ca="1">HYPERLINK(Common_InputFunctions.Utility_SourceHyperlink($D$28),$D$28)</f>
        <v>Table_FracGASM_m</v>
      </c>
    </row>
    <row r="15" spans="1:23" ht="20.100000000000001" customHeight="1" x14ac:dyDescent="0.25">
      <c r="A15" s="5" t="str">
        <f>HYPERLINK("#'Input - Pasture'!A1", "Pasture")</f>
        <v>Pasture</v>
      </c>
    </row>
    <row r="16" spans="1:23" ht="20.100000000000001" customHeight="1" x14ac:dyDescent="0.25">
      <c r="A16" s="5" t="str">
        <f>HYPERLINK("#'Input - Fert Prod System'!A1", "Fert Prod System")</f>
        <v>Fert Prod System</v>
      </c>
      <c r="D16" s="121" t="s">
        <v>520</v>
      </c>
      <c r="O16" s="121" t="s">
        <v>521</v>
      </c>
    </row>
    <row r="17" spans="1:22" ht="20.100000000000001" customHeight="1" x14ac:dyDescent="0.25">
      <c r="A17" s="5" t="str">
        <f>HYPERLINK("#'Input - Fertiliser'!A1", "Fertiliser")</f>
        <v>Fertiliser</v>
      </c>
      <c r="D17" s="122" t="s">
        <v>522</v>
      </c>
      <c r="O17" s="122" t="s">
        <v>523</v>
      </c>
    </row>
    <row r="18" spans="1:22" ht="20.100000000000001" customHeight="1" x14ac:dyDescent="0.25">
      <c r="A18" s="5" t="str">
        <f>HYPERLINK("#'Input - Fuel'!A1", "Fuel")</f>
        <v>Fuel</v>
      </c>
      <c r="D18" s="123" t="s">
        <v>159</v>
      </c>
      <c r="E18" s="123" t="s">
        <v>427</v>
      </c>
      <c r="F18" s="123" t="s">
        <v>334</v>
      </c>
      <c r="G18" s="123" t="s">
        <v>335</v>
      </c>
      <c r="H18" s="123" t="s">
        <v>336</v>
      </c>
      <c r="I18" s="123" t="s">
        <v>337</v>
      </c>
      <c r="J18" s="123" t="s">
        <v>338</v>
      </c>
      <c r="O18" s="123" t="s">
        <v>159</v>
      </c>
      <c r="P18" s="123" t="s">
        <v>427</v>
      </c>
      <c r="Q18" s="123" t="s">
        <v>334</v>
      </c>
      <c r="R18" s="123" t="s">
        <v>335</v>
      </c>
      <c r="S18" s="123" t="s">
        <v>336</v>
      </c>
      <c r="T18" s="123" t="s">
        <v>337</v>
      </c>
      <c r="U18" s="123" t="s">
        <v>338</v>
      </c>
    </row>
    <row r="19" spans="1:22" ht="20.100000000000001" customHeight="1" x14ac:dyDescent="0.25">
      <c r="A19" s="5" t="str">
        <f>HYPERLINK("#'Input - Electricity'!A1", "Electricity")</f>
        <v>Electricity</v>
      </c>
      <c r="D19" s="15" t="str">
        <f>INDEX(X_Table_Dairy_ProductionSystems_Method1,3,1)</f>
        <v>Milking shed</v>
      </c>
      <c r="E19" s="15" t="str">
        <f>INDEX(X_Table_Dairy_Stage1MMS_1_AnaerobicLagoon,2,1)</f>
        <v>Anaerobic lagoon</v>
      </c>
      <c r="F19" s="15">
        <f>INDEX(M1_Table_MN_j_m,2,3)</f>
        <v>399.24605684746678</v>
      </c>
      <c r="G19" s="15">
        <f>INDEX(M1_Table_MN_j_m,2,4)</f>
        <v>182.35790267782079</v>
      </c>
      <c r="H19" s="15">
        <f>INDEX(M1_Table_MN_j_m,2,5)</f>
        <v>72.631224123843424</v>
      </c>
      <c r="I19" s="15">
        <f>INDEX(M1_Table_MN_j_m,2,6)</f>
        <v>229.23109573986844</v>
      </c>
      <c r="J19" s="15">
        <f>INDEX(M1_Table_MN_j_m,2,7)</f>
        <v>95.962857079055411</v>
      </c>
      <c r="K19" s="16" t="str">
        <f>$G$13</f>
        <v>kg N</v>
      </c>
      <c r="O19" s="15" t="str">
        <f>INDEX(X_Table_Dairy_ProductionSystems_Method1,3,1)</f>
        <v>Milking shed</v>
      </c>
      <c r="P19" s="15" t="str">
        <f>INDEX(X_Table_Dairy_Stage1MMS_1_AnaerobicLagoon,2,1)</f>
        <v>Anaerobic lagoon</v>
      </c>
      <c r="Q19" s="15">
        <f>INDEX(M2_Table_MN_j_m,2,3)</f>
        <v>399.24605684746678</v>
      </c>
      <c r="R19" s="15">
        <f>INDEX(M2_Table_MN_j_m,2,4)</f>
        <v>182.35790267782079</v>
      </c>
      <c r="S19" s="15">
        <f>INDEX(M2_Table_MN_j_m,2,5)</f>
        <v>72.631224123843424</v>
      </c>
      <c r="T19" s="15">
        <f>INDEX(M2_Table_MN_j_m,2,6)</f>
        <v>229.23109573986844</v>
      </c>
      <c r="U19" s="15">
        <f>INDEX(M2_Table_MN_j_m,2,7)</f>
        <v>95.962857079055411</v>
      </c>
      <c r="V19" s="16" t="str">
        <f>$G$13</f>
        <v>kg N</v>
      </c>
    </row>
    <row r="20" spans="1:22" ht="20.100000000000001" customHeight="1" x14ac:dyDescent="0.25">
      <c r="A20" s="5" t="str">
        <f>HYPERLINK("#'Input - Common farm inputs'!A1", "Common farm inputs")</f>
        <v>Common farm inputs</v>
      </c>
      <c r="D20" s="15" t="str">
        <f>INDEX(X_Table_Dairy_ProductionSystems_Method1,3,1)</f>
        <v>Milking shed</v>
      </c>
      <c r="E20" s="15" t="str">
        <f>INDEX(X_Table_Dairy_Stage1MMS_1_SumpAndDispersal,2,1)</f>
        <v>Sump and dispersal system</v>
      </c>
      <c r="F20" s="15">
        <f>INDEX(M1_Table_MN_j_m,3,3)</f>
        <v>399.24605684746678</v>
      </c>
      <c r="G20" s="15">
        <f>INDEX(M1_Table_MN_j_m,3,4)</f>
        <v>182.35790267782079</v>
      </c>
      <c r="H20" s="15">
        <f>INDEX(M1_Table_MN_j_m,3,5)</f>
        <v>72.631224123843424</v>
      </c>
      <c r="I20" s="15">
        <f>INDEX(M1_Table_MN_j_m,3,6)</f>
        <v>229.23109573986844</v>
      </c>
      <c r="J20" s="15">
        <f>INDEX(M1_Table_MN_j_m,3,7)</f>
        <v>95.962857079055411</v>
      </c>
      <c r="K20" s="16"/>
      <c r="O20" s="15" t="str">
        <f>INDEX(X_Table_Dairy_ProductionSystems_Method1,3,1)</f>
        <v>Milking shed</v>
      </c>
      <c r="P20" s="15" t="str">
        <f>INDEX(X_Table_Dairy_Stage1MMS_1_SumpAndDispersal,2,1)</f>
        <v>Sump and dispersal system</v>
      </c>
      <c r="Q20" s="15">
        <f>INDEX(M2_Table_MN_j_m,3,3)</f>
        <v>399.24605684746678</v>
      </c>
      <c r="R20" s="15">
        <f>INDEX(M2_Table_MN_j_m,3,4)</f>
        <v>182.35790267782079</v>
      </c>
      <c r="S20" s="15">
        <f>INDEX(M2_Table_MN_j_m,3,5)</f>
        <v>72.631224123843424</v>
      </c>
      <c r="T20" s="15">
        <f>INDEX(M2_Table_MN_j_m,3,6)</f>
        <v>229.23109573986844</v>
      </c>
      <c r="U20" s="15">
        <f>INDEX(M2_Table_MN_j_m,3,7)</f>
        <v>95.962857079055411</v>
      </c>
      <c r="V20" s="16"/>
    </row>
    <row r="21" spans="1:22" ht="20.100000000000001" customHeight="1" x14ac:dyDescent="0.25">
      <c r="A21" s="5" t="str">
        <f>HYPERLINK("#'Input - Crop pasture farm input'!A1", "Crop pasture farm input")</f>
        <v>Crop pasture farm input</v>
      </c>
      <c r="D21" s="15" t="str">
        <f>INDEX(X_Table_Dairy_ProductionSystems_Method1,3,1)</f>
        <v>Milking shed</v>
      </c>
      <c r="E21" s="15" t="str">
        <f>INDEX(X_Table_Dairy_Stage1MMS_1_DrainsToPaddock,2,1)</f>
        <v>Drains to paddock</v>
      </c>
      <c r="F21" s="15">
        <f>INDEX(M1_Table_MN_j_m,4,3)</f>
        <v>399.24605684746678</v>
      </c>
      <c r="G21" s="15">
        <f>INDEX(M1_Table_MN_j_m,4,4)</f>
        <v>182.35790267782079</v>
      </c>
      <c r="H21" s="15">
        <f>INDEX(M1_Table_MN_j_m,4,5)</f>
        <v>72.631224123843424</v>
      </c>
      <c r="I21" s="15">
        <f>INDEX(M1_Table_MN_j_m,4,6)</f>
        <v>229.23109573986844</v>
      </c>
      <c r="J21" s="15">
        <f>INDEX(M1_Table_MN_j_m,4,7)</f>
        <v>95.962857079055411</v>
      </c>
      <c r="K21" s="16"/>
      <c r="O21" s="15" t="str">
        <f>INDEX(X_Table_Dairy_ProductionSystems_Method1,3,1)</f>
        <v>Milking shed</v>
      </c>
      <c r="P21" s="15" t="str">
        <f>INDEX(X_Table_Dairy_Stage1MMS_1_DrainsToPaddock,2,1)</f>
        <v>Drains to paddock</v>
      </c>
      <c r="Q21" s="15">
        <f>INDEX(M2_Table_MN_j_m,4,3)</f>
        <v>399.24605684746678</v>
      </c>
      <c r="R21" s="15">
        <f>INDEX(M2_Table_MN_j_m,4,4)</f>
        <v>182.35790267782079</v>
      </c>
      <c r="S21" s="15">
        <f>INDEX(M2_Table_MN_j_m,4,5)</f>
        <v>72.631224123843424</v>
      </c>
      <c r="T21" s="15">
        <f>INDEX(M2_Table_MN_j_m,4,6)</f>
        <v>229.23109573986844</v>
      </c>
      <c r="U21" s="15">
        <f>INDEX(M2_Table_MN_j_m,4,7)</f>
        <v>95.962857079055411</v>
      </c>
      <c r="V21" s="16"/>
    </row>
    <row r="22" spans="1:22" ht="20.100000000000001" customHeight="1" x14ac:dyDescent="0.25">
      <c r="A22" s="5" t="str">
        <f>HYPERLINK("#'Input - Livestock farm Inputs'!A1", "Livestock farm Inputs")</f>
        <v>Livestock farm Inputs</v>
      </c>
      <c r="D22" s="15" t="str">
        <f>INDEX(X_Table_Dairy_ProductionSystems_Method1,3,1)</f>
        <v>Milking shed</v>
      </c>
      <c r="E22" s="15" t="s">
        <v>75</v>
      </c>
      <c r="F22" s="15">
        <f>INDEX(M1_Table_MN_j_m,5,3)</f>
        <v>798.49211369493332</v>
      </c>
      <c r="G22" s="15">
        <f>INDEX(M1_Table_MN_j_m,5,4)</f>
        <v>364.71580535564152</v>
      </c>
      <c r="H22" s="15">
        <f>INDEX(M1_Table_MN_j_m,5,5)</f>
        <v>145.26244824768682</v>
      </c>
      <c r="I22" s="15">
        <f>INDEX(M1_Table_MN_j_m,5,6)</f>
        <v>458.46219147973682</v>
      </c>
      <c r="J22" s="15">
        <f>INDEX(M1_Table_MN_j_m,5,7)</f>
        <v>191.92571415811079</v>
      </c>
      <c r="K22" s="16"/>
      <c r="O22" s="15" t="str">
        <f>INDEX(X_Table_Dairy_ProductionSystems_Method1,3,1)</f>
        <v>Milking shed</v>
      </c>
      <c r="P22" s="15" t="s">
        <v>75</v>
      </c>
      <c r="Q22" s="15">
        <f>INDEX(M2_Table_MN_j_m,5,3)</f>
        <v>798.49211369493332</v>
      </c>
      <c r="R22" s="15">
        <f>INDEX(M2_Table_MN_j_m,5,4)</f>
        <v>364.71580535564152</v>
      </c>
      <c r="S22" s="15">
        <f>INDEX(M2_Table_MN_j_m,5,5)</f>
        <v>145.26244824768682</v>
      </c>
      <c r="T22" s="15">
        <f>INDEX(M2_Table_MN_j_m,5,6)</f>
        <v>458.46219147973682</v>
      </c>
      <c r="U22" s="15">
        <f>INDEX(M2_Table_MN_j_m,5,7)</f>
        <v>191.92571415811079</v>
      </c>
      <c r="V22" s="16"/>
    </row>
    <row r="23" spans="1:22" ht="20.100000000000001" customHeight="1" x14ac:dyDescent="0.25">
      <c r="A23" s="5" t="str">
        <f>HYPERLINK("#'Input - Freight'!A1", "Freight")</f>
        <v>Freight</v>
      </c>
      <c r="D23" s="15" t="str">
        <f>INDEX(X_Table_Dairy_ProductionSystems_Method1,4,1)</f>
        <v>Feed pad</v>
      </c>
      <c r="E23" s="15" t="str">
        <f>INDEX(X_Table_Dairy_Stage1MMS_2_AnaerobicLagoon,2,1)</f>
        <v>Anaerobic lagoon</v>
      </c>
      <c r="F23" s="15">
        <f>INDEX(M1_Table_MN_j_m,6,3)</f>
        <v>1615.131775428388</v>
      </c>
      <c r="G23" s="15">
        <f>INDEX(M1_Table_MN_j_m,6,4)</f>
        <v>737.72060628754764</v>
      </c>
      <c r="H23" s="15">
        <f>INDEX(M1_Table_MN_j_m,6,5)</f>
        <v>293.82631577373019</v>
      </c>
      <c r="I23" s="15">
        <f>INDEX(M1_Table_MN_j_m,6,6)</f>
        <v>927.34397822037681</v>
      </c>
      <c r="J23" s="15">
        <f>INDEX(M1_Table_MN_j_m,6,7)</f>
        <v>388.21337636526954</v>
      </c>
      <c r="K23" s="16"/>
      <c r="O23" s="15" t="str">
        <f>INDEX(X_Table_Dairy_ProductionSystems_Method1,4,1)</f>
        <v>Feed pad</v>
      </c>
      <c r="P23" s="15" t="str">
        <f>INDEX(X_Table_Dairy_Stage1MMS_2_AnaerobicLagoon,2,1)</f>
        <v>Anaerobic lagoon</v>
      </c>
      <c r="Q23" s="15">
        <f>INDEX(M2_Table_MN_j_m,6,3)</f>
        <v>1615.131775428388</v>
      </c>
      <c r="R23" s="15">
        <f>INDEX(M2_Table_MN_j_m,6,4)</f>
        <v>737.72060628754764</v>
      </c>
      <c r="S23" s="15">
        <f>INDEX(M2_Table_MN_j_m,6,5)</f>
        <v>293.82631577373019</v>
      </c>
      <c r="T23" s="15">
        <f>INDEX(M2_Table_MN_j_m,6,6)</f>
        <v>927.34397822037681</v>
      </c>
      <c r="U23" s="15">
        <f>INDEX(M2_Table_MN_j_m,6,7)</f>
        <v>388.21337636526954</v>
      </c>
      <c r="V23" s="16"/>
    </row>
    <row r="24" spans="1:22" ht="20.100000000000001" customHeight="1" x14ac:dyDescent="0.25">
      <c r="A24" s="5" t="str">
        <f>HYPERLINK("#'Input - Solid waste'!A1", "Solid waste")</f>
        <v>Solid waste</v>
      </c>
      <c r="D24" s="15" t="str">
        <f>INDEX(X_Table_Dairy_ProductionSystems_Method1,4,1)</f>
        <v>Feed pad</v>
      </c>
      <c r="E24" s="15" t="str">
        <f>INDEX(X_Table_Dairy_Stage1MMS_2_SumpAndDispersal,2,1)</f>
        <v>Sump and dispersal system</v>
      </c>
      <c r="F24" s="15">
        <f>INDEX(M1_Table_MN_j_m,7,3)</f>
        <v>1292.1054203427104</v>
      </c>
      <c r="G24" s="15">
        <f>INDEX(M1_Table_MN_j_m,7,4)</f>
        <v>590.17648503003818</v>
      </c>
      <c r="H24" s="15">
        <f>INDEX(M1_Table_MN_j_m,7,5)</f>
        <v>235.06105261898415</v>
      </c>
      <c r="I24" s="15">
        <f>INDEX(M1_Table_MN_j_m,7,6)</f>
        <v>741.87518257630143</v>
      </c>
      <c r="J24" s="15">
        <f>INDEX(M1_Table_MN_j_m,7,7)</f>
        <v>310.57070109221564</v>
      </c>
      <c r="K24" s="16"/>
      <c r="O24" s="15" t="str">
        <f>INDEX(X_Table_Dairy_ProductionSystems_Method1,4,1)</f>
        <v>Feed pad</v>
      </c>
      <c r="P24" s="15" t="str">
        <f>INDEX(X_Table_Dairy_Stage1MMS_2_SumpAndDispersal,2,1)</f>
        <v>Sump and dispersal system</v>
      </c>
      <c r="Q24" s="15">
        <f>INDEX(M2_Table_MN_j_m,7,3)</f>
        <v>1292.1054203427104</v>
      </c>
      <c r="R24" s="15">
        <f>INDEX(M2_Table_MN_j_m,7,4)</f>
        <v>590.17648503003818</v>
      </c>
      <c r="S24" s="15">
        <f>INDEX(M2_Table_MN_j_m,7,5)</f>
        <v>235.06105261898415</v>
      </c>
      <c r="T24" s="15">
        <f>INDEX(M2_Table_MN_j_m,7,6)</f>
        <v>741.87518257630143</v>
      </c>
      <c r="U24" s="15">
        <f>INDEX(M2_Table_MN_j_m,7,7)</f>
        <v>310.57070109221564</v>
      </c>
      <c r="V24" s="16"/>
    </row>
    <row r="25" spans="1:22" ht="20.100000000000001" customHeight="1" x14ac:dyDescent="0.25">
      <c r="A25" s="5" t="str">
        <f>HYPERLINK("#'Input - Manure sent off-site'!A1", "Manure sent off-site")</f>
        <v>Manure sent off-site</v>
      </c>
      <c r="D25" s="15" t="str">
        <f>INDEX(X_Table_Dairy_ProductionSystems_Method1,4,1)</f>
        <v>Feed pad</v>
      </c>
      <c r="E25" s="15" t="str">
        <f>INDEX(X_Table_Dairy_Stage1MMS_2_DrainsToPaddock,2,1)</f>
        <v>Drains to paddock</v>
      </c>
      <c r="F25" s="15">
        <f>INDEX(M1_Table_MN_j_m,8,3)</f>
        <v>1292.1054203427104</v>
      </c>
      <c r="G25" s="15">
        <f>INDEX(M1_Table_MN_j_m,8,4)</f>
        <v>590.17648503003818</v>
      </c>
      <c r="H25" s="15">
        <f>INDEX(M1_Table_MN_j_m,8,5)</f>
        <v>235.06105261898415</v>
      </c>
      <c r="I25" s="15">
        <f>INDEX(M1_Table_MN_j_m,8,6)</f>
        <v>741.87518257630143</v>
      </c>
      <c r="J25" s="15">
        <f>INDEX(M1_Table_MN_j_m,8,7)</f>
        <v>310.57070109221564</v>
      </c>
      <c r="K25" s="16"/>
      <c r="O25" s="15" t="str">
        <f>INDEX(X_Table_Dairy_ProductionSystems_Method1,4,1)</f>
        <v>Feed pad</v>
      </c>
      <c r="P25" s="15" t="str">
        <f>INDEX(X_Table_Dairy_Stage1MMS_2_DrainsToPaddock,2,1)</f>
        <v>Drains to paddock</v>
      </c>
      <c r="Q25" s="15">
        <f>INDEX(M2_Table_MN_j_m,8,3)</f>
        <v>1292.1054203427104</v>
      </c>
      <c r="R25" s="15">
        <f>INDEX(M2_Table_MN_j_m,8,4)</f>
        <v>590.17648503003818</v>
      </c>
      <c r="S25" s="15">
        <f>INDEX(M2_Table_MN_j_m,8,5)</f>
        <v>235.06105261898415</v>
      </c>
      <c r="T25" s="15">
        <f>INDEX(M2_Table_MN_j_m,8,6)</f>
        <v>741.87518257630143</v>
      </c>
      <c r="U25" s="15">
        <f>INDEX(M2_Table_MN_j_m,8,7)</f>
        <v>310.57070109221564</v>
      </c>
      <c r="V25" s="16"/>
    </row>
    <row r="26" spans="1:22" ht="20.100000000000001" customHeight="1" x14ac:dyDescent="0.25">
      <c r="A26" s="5" t="str">
        <f>HYPERLINK("#'Input - Refrigerants'!A1", "Refrigerants")</f>
        <v>Refrigerants</v>
      </c>
      <c r="D26" s="15" t="str">
        <f>INDEX(X_Table_Dairy_ProductionSystems_Method1,4,1)</f>
        <v>Feed pad</v>
      </c>
      <c r="E26" s="15" t="s">
        <v>75</v>
      </c>
      <c r="F26" s="15">
        <f>INDEX(M1_Table_MN_j_m,9,3)</f>
        <v>2261.1844855997429</v>
      </c>
      <c r="G26" s="15">
        <f>INDEX(M1_Table_MN_j_m,9,4)</f>
        <v>1032.8088488025667</v>
      </c>
      <c r="H26" s="15">
        <f>INDEX(M1_Table_MN_j_m,9,5)</f>
        <v>411.35684208322226</v>
      </c>
      <c r="I26" s="15">
        <f>INDEX(M1_Table_MN_j_m,9,6)</f>
        <v>1298.2815695085274</v>
      </c>
      <c r="J26" s="15">
        <f>INDEX(M1_Table_MN_j_m,9,7)</f>
        <v>543.49872691137739</v>
      </c>
      <c r="K26" s="16"/>
      <c r="O26" s="15" t="str">
        <f>INDEX(X_Table_Dairy_ProductionSystems_Method1,4,1)</f>
        <v>Feed pad</v>
      </c>
      <c r="P26" s="15" t="s">
        <v>75</v>
      </c>
      <c r="Q26" s="15">
        <f>INDEX(M2_Table_MN_j_m,9,3)</f>
        <v>2261.1844855997429</v>
      </c>
      <c r="R26" s="15">
        <f>INDEX(M2_Table_MN_j_m,9,4)</f>
        <v>1032.8088488025667</v>
      </c>
      <c r="S26" s="15">
        <f>INDEX(M2_Table_MN_j_m,9,5)</f>
        <v>411.35684208322226</v>
      </c>
      <c r="T26" s="15">
        <f>INDEX(M2_Table_MN_j_m,9,6)</f>
        <v>1298.2815695085274</v>
      </c>
      <c r="U26" s="15">
        <f>INDEX(M2_Table_MN_j_m,9,7)</f>
        <v>543.49872691137739</v>
      </c>
      <c r="V26" s="16"/>
    </row>
    <row r="27" spans="1:22" ht="20.100000000000001" customHeight="1" x14ac:dyDescent="0.25">
      <c r="A27" s="5" t="str">
        <f>HYPERLINK("#'Input - Data quality'!A1", "Data quality")</f>
        <v>Data quality</v>
      </c>
    </row>
    <row r="28" spans="1:22" ht="20.100000000000001" customHeight="1" x14ac:dyDescent="0.25">
      <c r="D28" s="121" t="s">
        <v>534</v>
      </c>
    </row>
    <row r="29" spans="1:22" ht="20.100000000000001" customHeight="1" x14ac:dyDescent="0.25">
      <c r="D29" s="122" t="s">
        <v>535</v>
      </c>
    </row>
    <row r="30" spans="1:22" ht="20.100000000000001" customHeight="1" x14ac:dyDescent="0.25">
      <c r="A30" s="6" t="s">
        <v>2</v>
      </c>
      <c r="D30" s="123" t="s">
        <v>427</v>
      </c>
      <c r="E30" s="123" t="s">
        <v>536</v>
      </c>
    </row>
    <row r="31" spans="1:22" ht="20.100000000000001" customHeight="1" x14ac:dyDescent="0.25">
      <c r="A31" s="5" t="str">
        <f>HYPERLINK("#'3.3.1.1-2 Enteric Methane'!A1", "3.3.1.1-2 Enteric methane")</f>
        <v>3.3.1.1-2 Enteric methane</v>
      </c>
      <c r="D31" s="15" t="str" cm="1">
        <f t="array" ref="D31:D35">Table_SourceData_Dairy_EFmFracGASM[NIR reference]</f>
        <v>Pasture range and paddock</v>
      </c>
      <c r="E31" s="15" cm="1">
        <f t="array" ref="E31:E35">Table_SourceData_Dairy_EFmFracGASM[FracGASMm]</f>
        <v>0</v>
      </c>
      <c r="F31" s="16" t="str">
        <f>G14</f>
        <v>fraction</v>
      </c>
    </row>
    <row r="32" spans="1:22" ht="20.100000000000001" customHeight="1" x14ac:dyDescent="0.25">
      <c r="A32" s="5" t="str">
        <f>HYPERLINK("#'4.3.1.1-2 Methane'!A1", "4.3.1.1-2 Manure methane")</f>
        <v>4.3.1.1-2 Manure methane</v>
      </c>
      <c r="D32" s="15" t="str">
        <v>Anaerobic lagoon</v>
      </c>
      <c r="E32" s="15">
        <v>0.35</v>
      </c>
      <c r="F32" s="16"/>
    </row>
    <row r="33" spans="1:22" ht="20.100000000000001" customHeight="1" x14ac:dyDescent="0.25">
      <c r="A33" s="5" t="str">
        <f>HYPERLINK("#'4.3.1.3-4 Direct N20'!A1", "4.3.1.3-4 Direct N20")</f>
        <v>4.3.1.3-4 Direct N20</v>
      </c>
      <c r="D33" s="15" t="str">
        <v>Sump and dispersal system</v>
      </c>
      <c r="E33" s="15">
        <v>7.0000000000000007E-2</v>
      </c>
      <c r="F33" s="16"/>
    </row>
    <row r="34" spans="1:22" ht="20.100000000000001" customHeight="1" x14ac:dyDescent="0.25">
      <c r="A34" s="118" t="str">
        <f>HYPERLINK("#'4.3.1.5 Atmos deposition'!A1", "4.3.1.5 Atmos deposition")</f>
        <v>4.3.1.5 Atmos deposition</v>
      </c>
      <c r="D34" s="15" t="str">
        <v>Drains to paddock</v>
      </c>
      <c r="E34" s="15">
        <v>0.2</v>
      </c>
      <c r="F34" s="16"/>
    </row>
    <row r="35" spans="1:22" ht="20.100000000000001" customHeight="1" x14ac:dyDescent="0.25">
      <c r="A35" s="5" t="str">
        <f>HYPERLINK("#'4.3.1.6-7 Leaching and runoff'!A1", "4.3.1.6-7 Leaching &amp; runoff")</f>
        <v>4.3.1.6-7 Leaching &amp; runoff</v>
      </c>
      <c r="D35" s="15" t="str">
        <v>Solid storage</v>
      </c>
      <c r="E35" s="15">
        <v>0.3</v>
      </c>
      <c r="F35" s="16"/>
    </row>
    <row r="36" spans="1:22" ht="20.100000000000001" customHeight="1" x14ac:dyDescent="0.25">
      <c r="A36" s="5" t="str">
        <f>HYPERLINK("#'4.3.1.8 Manure applied to soils'!A1", "4.3.1.8 Manure applied to soils")</f>
        <v>4.3.1.8 Manure applied to soils</v>
      </c>
    </row>
    <row r="37" spans="1:22" ht="20.100000000000001" customHeight="1" x14ac:dyDescent="0.25">
      <c r="A37" s="5" t="str">
        <f>HYPERLINK("#'4.3.1.9 Soil direct N2O'!A1", "4.3.1.9 Soil direct N2O")</f>
        <v>4.3.1.9 Soil direct N2O</v>
      </c>
      <c r="D37" s="121" t="s">
        <v>537</v>
      </c>
      <c r="O37" s="121" t="s">
        <v>538</v>
      </c>
    </row>
    <row r="38" spans="1:22" ht="20.100000000000001" customHeight="1" x14ac:dyDescent="0.25">
      <c r="A38" s="5" t="str">
        <f>HYPERLINK("#'4.3.1.10-11 Soil Atmos Dep'!A1", "4.3.1.10-11 Soil Atmos Deposition")</f>
        <v>4.3.1.10-11 Soil Atmos Deposition</v>
      </c>
      <c r="D38" s="122" t="s">
        <v>539</v>
      </c>
      <c r="O38" s="122" t="s">
        <v>540</v>
      </c>
    </row>
    <row r="39" spans="1:22" ht="20.100000000000001" customHeight="1" x14ac:dyDescent="0.25">
      <c r="A39" s="5" t="str">
        <f>HYPERLINK("#'4.3.1.12-13 Soil leach runoff'!A1", "4.3.1.12-13 Soil leach &amp; runoff")</f>
        <v>4.3.1.12-13 Soil leach &amp; runoff</v>
      </c>
      <c r="D39" s="123" t="s">
        <v>159</v>
      </c>
      <c r="E39" s="123" t="s">
        <v>427</v>
      </c>
      <c r="F39" s="123" t="s">
        <v>334</v>
      </c>
      <c r="G39" s="123" t="s">
        <v>335</v>
      </c>
      <c r="H39" s="123" t="s">
        <v>336</v>
      </c>
      <c r="I39" s="123" t="s">
        <v>337</v>
      </c>
      <c r="J39" s="123" t="s">
        <v>338</v>
      </c>
      <c r="O39" s="123" t="s">
        <v>159</v>
      </c>
      <c r="P39" s="123" t="s">
        <v>427</v>
      </c>
      <c r="Q39" s="123" t="s">
        <v>334</v>
      </c>
      <c r="R39" s="123" t="s">
        <v>335</v>
      </c>
      <c r="S39" s="123" t="s">
        <v>336</v>
      </c>
      <c r="T39" s="123" t="s">
        <v>337</v>
      </c>
      <c r="U39" s="123" t="s">
        <v>338</v>
      </c>
    </row>
    <row r="40" spans="1:22" ht="20.100000000000001" customHeight="1" x14ac:dyDescent="0.25">
      <c r="A40" s="5" t="str">
        <f>HYPERLINK("#'5.1.1.1-2 Inorganic fert N2O'!A1", "5.1.1.1-2 Inorganic fert N2O")</f>
        <v>5.1.1.1-2 Inorganic fert N2O</v>
      </c>
      <c r="D40" s="15" t="str">
        <f>INDEX(X_Table_Dairy_ProductionSystems_Method1,3,1)</f>
        <v>Milking shed</v>
      </c>
      <c r="E40" s="15" t="str">
        <f>INDEX(X_Table_Dairy_Stage1MMS_1_AnaerobicLagoon,2,1)</f>
        <v>Anaerobic lagoon</v>
      </c>
      <c r="F40" s="15" cm="1">
        <f t="array" ref="F40">MMS_Dairy_AtmosphericDeposition_Equations.VEERG_4_3_1_5__2_TotalNitrogenVolatilisedFromMMS(F19,$E32)</f>
        <v>139.73611989661336</v>
      </c>
      <c r="G40" s="15" cm="1">
        <f t="array" ref="G40">MMS_Dairy_AtmosphericDeposition_Equations.VEERG_4_3_1_5__2_TotalNitrogenVolatilisedFromMMS(G19,$E32)</f>
        <v>63.825265937237269</v>
      </c>
      <c r="H40" s="15" cm="1">
        <f t="array" ref="H40">MMS_Dairy_AtmosphericDeposition_Equations.VEERG_4_3_1_5__2_TotalNitrogenVolatilisedFromMMS(H19,$E32)</f>
        <v>25.420928443345197</v>
      </c>
      <c r="I40" s="15" cm="1">
        <f t="array" ref="I40">MMS_Dairy_AtmosphericDeposition_Equations.VEERG_4_3_1_5__2_TotalNitrogenVolatilisedFromMMS(I19,$E32)</f>
        <v>80.230883508953951</v>
      </c>
      <c r="J40" s="15" cm="1">
        <f t="array" ref="J40">MMS_Dairy_AtmosphericDeposition_Equations.VEERG_4_3_1_5__2_TotalNitrogenVolatilisedFromMMS(J19,$E32)</f>
        <v>33.586999977669393</v>
      </c>
      <c r="K40" s="16" t="str">
        <f>$E$11</f>
        <v>kg N</v>
      </c>
      <c r="O40" s="15" t="str">
        <f>INDEX(X_Table_Dairy_ProductionSystems_Method1,3,1)</f>
        <v>Milking shed</v>
      </c>
      <c r="P40" s="15" t="str">
        <f>INDEX(X_Table_Dairy_Stage1MMS_1_AnaerobicLagoon,2,1)</f>
        <v>Anaerobic lagoon</v>
      </c>
      <c r="Q40" s="15" cm="1">
        <f t="array" ref="Q40">MMS_Dairy_AtmosphericDeposition_Equations.VEERG_4_3_1_5__2_TotalNitrogenVolatilisedFromMMS(Q19,$E32)</f>
        <v>139.73611989661336</v>
      </c>
      <c r="R40" s="15" cm="1">
        <f t="array" ref="R40">MMS_Dairy_AtmosphericDeposition_Equations.VEERG_4_3_1_5__2_TotalNitrogenVolatilisedFromMMS(R19,$E32)</f>
        <v>63.825265937237269</v>
      </c>
      <c r="S40" s="15" cm="1">
        <f t="array" ref="S40">MMS_Dairy_AtmosphericDeposition_Equations.VEERG_4_3_1_5__2_TotalNitrogenVolatilisedFromMMS(S19,$E32)</f>
        <v>25.420928443345197</v>
      </c>
      <c r="T40" s="15" cm="1">
        <f t="array" ref="T40">MMS_Dairy_AtmosphericDeposition_Equations.VEERG_4_3_1_5__2_TotalNitrogenVolatilisedFromMMS(T19,$E32)</f>
        <v>80.230883508953951</v>
      </c>
      <c r="U40" s="15" cm="1">
        <f t="array" ref="U40">MMS_Dairy_AtmosphericDeposition_Equations.VEERG_4_3_1_5__2_TotalNitrogenVolatilisedFromMMS(U19,$E32)</f>
        <v>33.586999977669393</v>
      </c>
      <c r="V40" s="16" t="str">
        <f>$E$11</f>
        <v>kg N</v>
      </c>
    </row>
    <row r="41" spans="1:22" ht="20.100000000000001" customHeight="1" x14ac:dyDescent="0.25">
      <c r="A41" s="5" t="str">
        <f>HYPERLINK("#'5.1.1.3-4 Inorganic fert CO2'!A1", "5.1.1.3-4 Inorganic fert CO2")</f>
        <v>5.1.1.3-4 Inorganic fert CO2</v>
      </c>
      <c r="D41" s="15" t="str">
        <f>INDEX(X_Table_Dairy_ProductionSystems_Method1,3,1)</f>
        <v>Milking shed</v>
      </c>
      <c r="E41" s="15" t="str">
        <f>INDEX(X_Table_Dairy_Stage1MMS_1_SumpAndDispersal,2,1)</f>
        <v>Sump and dispersal system</v>
      </c>
      <c r="F41" s="15" cm="1">
        <f t="array" ref="F41">MMS_Dairy_AtmosphericDeposition_Equations.VEERG_4_3_1_5__2_TotalNitrogenVolatilisedFromMMS(F20,$E33)</f>
        <v>27.947223979322676</v>
      </c>
      <c r="G41" s="15" cm="1">
        <f t="array" ref="G41">MMS_Dairy_AtmosphericDeposition_Equations.VEERG_4_3_1_5__2_TotalNitrogenVolatilisedFromMMS(G20,$E33)</f>
        <v>12.765053187447457</v>
      </c>
      <c r="H41" s="15" cm="1">
        <f t="array" ref="H41">MMS_Dairy_AtmosphericDeposition_Equations.VEERG_4_3_1_5__2_TotalNitrogenVolatilisedFromMMS(H20,$E33)</f>
        <v>5.0841856886690397</v>
      </c>
      <c r="I41" s="15" cm="1">
        <f t="array" ref="I41">MMS_Dairy_AtmosphericDeposition_Equations.VEERG_4_3_1_5__2_TotalNitrogenVolatilisedFromMMS(I20,$E33)</f>
        <v>16.046176701790792</v>
      </c>
      <c r="J41" s="15" cm="1">
        <f t="array" ref="J41">MMS_Dairy_AtmosphericDeposition_Equations.VEERG_4_3_1_5__2_TotalNitrogenVolatilisedFromMMS(J20,$E33)</f>
        <v>6.7173999955338797</v>
      </c>
      <c r="K41" s="16"/>
      <c r="O41" s="15" t="str">
        <f>INDEX(X_Table_Dairy_ProductionSystems_Method1,3,1)</f>
        <v>Milking shed</v>
      </c>
      <c r="P41" s="15" t="str">
        <f>INDEX(X_Table_Dairy_Stage1MMS_1_SumpAndDispersal,2,1)</f>
        <v>Sump and dispersal system</v>
      </c>
      <c r="Q41" s="15" cm="1">
        <f t="array" ref="Q41">MMS_Dairy_AtmosphericDeposition_Equations.VEERG_4_3_1_5__2_TotalNitrogenVolatilisedFromMMS(Q20,$E33)</f>
        <v>27.947223979322676</v>
      </c>
      <c r="R41" s="15" cm="1">
        <f t="array" ref="R41">MMS_Dairy_AtmosphericDeposition_Equations.VEERG_4_3_1_5__2_TotalNitrogenVolatilisedFromMMS(R20,$E33)</f>
        <v>12.765053187447457</v>
      </c>
      <c r="S41" s="15" cm="1">
        <f t="array" ref="S41">MMS_Dairy_AtmosphericDeposition_Equations.VEERG_4_3_1_5__2_TotalNitrogenVolatilisedFromMMS(S20,$E33)</f>
        <v>5.0841856886690397</v>
      </c>
      <c r="T41" s="15" cm="1">
        <f t="array" ref="T41">MMS_Dairy_AtmosphericDeposition_Equations.VEERG_4_3_1_5__2_TotalNitrogenVolatilisedFromMMS(T20,$E33)</f>
        <v>16.046176701790792</v>
      </c>
      <c r="U41" s="15" cm="1">
        <f t="array" ref="U41">MMS_Dairy_AtmosphericDeposition_Equations.VEERG_4_3_1_5__2_TotalNitrogenVolatilisedFromMMS(U20,$E33)</f>
        <v>6.7173999955338797</v>
      </c>
      <c r="V41" s="16"/>
    </row>
    <row r="42" spans="1:22" ht="20.100000000000001" customHeight="1" x14ac:dyDescent="0.25">
      <c r="A42" s="5" t="str">
        <f>HYPERLINK("#'5.2.1.1-2 Organic Fert N2O'!A1", "5.2.1.1-2 Organic fert N2O")</f>
        <v>5.2.1.1-2 Organic fert N2O</v>
      </c>
      <c r="D42" s="15" t="str">
        <f>INDEX(X_Table_Dairy_ProductionSystems_Method1,3,1)</f>
        <v>Milking shed</v>
      </c>
      <c r="E42" s="15" t="str">
        <f>INDEX(X_Table_Dairy_Stage1MMS_1_DrainsToPaddock,2,1)</f>
        <v>Drains to paddock</v>
      </c>
      <c r="F42" s="15" cm="1">
        <f t="array" ref="F42">MMS_Dairy_AtmosphericDeposition_Equations.VEERG_4_3_1_5__2_TotalNitrogenVolatilisedFromMMS(F21,$E34)</f>
        <v>79.849211369493361</v>
      </c>
      <c r="G42" s="15" cm="1">
        <f t="array" ref="G42">MMS_Dairy_AtmosphericDeposition_Equations.VEERG_4_3_1_5__2_TotalNitrogenVolatilisedFromMMS(G21,$E34)</f>
        <v>36.471580535564158</v>
      </c>
      <c r="H42" s="15" cm="1">
        <f t="array" ref="H42">MMS_Dairy_AtmosphericDeposition_Equations.VEERG_4_3_1_5__2_TotalNitrogenVolatilisedFromMMS(H21,$E34)</f>
        <v>14.526244824768686</v>
      </c>
      <c r="I42" s="15" cm="1">
        <f t="array" ref="I42">MMS_Dairy_AtmosphericDeposition_Equations.VEERG_4_3_1_5__2_TotalNitrogenVolatilisedFromMMS(I21,$E34)</f>
        <v>45.846219147973692</v>
      </c>
      <c r="J42" s="15" cm="1">
        <f t="array" ref="J42">MMS_Dairy_AtmosphericDeposition_Equations.VEERG_4_3_1_5__2_TotalNitrogenVolatilisedFromMMS(J21,$E34)</f>
        <v>19.192571415811084</v>
      </c>
      <c r="K42" s="16"/>
      <c r="O42" s="15" t="str">
        <f>INDEX(X_Table_Dairy_ProductionSystems_Method1,3,1)</f>
        <v>Milking shed</v>
      </c>
      <c r="P42" s="15" t="str">
        <f>INDEX(X_Table_Dairy_Stage1MMS_1_DrainsToPaddock,2,1)</f>
        <v>Drains to paddock</v>
      </c>
      <c r="Q42" s="15" cm="1">
        <f t="array" ref="Q42">MMS_Dairy_AtmosphericDeposition_Equations.VEERG_4_3_1_5__2_TotalNitrogenVolatilisedFromMMS(Q21,$E34)</f>
        <v>79.849211369493361</v>
      </c>
      <c r="R42" s="15" cm="1">
        <f t="array" ref="R42">MMS_Dairy_AtmosphericDeposition_Equations.VEERG_4_3_1_5__2_TotalNitrogenVolatilisedFromMMS(R21,$E34)</f>
        <v>36.471580535564158</v>
      </c>
      <c r="S42" s="15" cm="1">
        <f t="array" ref="S42">MMS_Dairy_AtmosphericDeposition_Equations.VEERG_4_3_1_5__2_TotalNitrogenVolatilisedFromMMS(S21,$E34)</f>
        <v>14.526244824768686</v>
      </c>
      <c r="T42" s="15" cm="1">
        <f t="array" ref="T42">MMS_Dairy_AtmosphericDeposition_Equations.VEERG_4_3_1_5__2_TotalNitrogenVolatilisedFromMMS(T21,$E34)</f>
        <v>45.846219147973692</v>
      </c>
      <c r="U42" s="15" cm="1">
        <f t="array" ref="U42">MMS_Dairy_AtmosphericDeposition_Equations.VEERG_4_3_1_5__2_TotalNitrogenVolatilisedFromMMS(U21,$E34)</f>
        <v>19.192571415811084</v>
      </c>
      <c r="V42" s="16"/>
    </row>
    <row r="43" spans="1:22" ht="20.100000000000001" customHeight="1" x14ac:dyDescent="0.25">
      <c r="A43" s="5" t="str">
        <f>HYPERLINK("#'5.3.1.1-2 Lime CO2'!A1", "5.3.1.1-2 Lime CO2")</f>
        <v>5.3.1.1-2 Lime CO2</v>
      </c>
      <c r="D43" s="15" t="str">
        <f>INDEX(X_Table_Dairy_ProductionSystems_Method1,3,1)</f>
        <v>Milking shed</v>
      </c>
      <c r="E43" s="15" t="s">
        <v>75</v>
      </c>
      <c r="F43" s="15" cm="1">
        <f t="array" ref="F43">MMS_Dairy_AtmosphericDeposition_Equations.VEERG_4_3_1_5__2_TotalNitrogenVolatilisedFromMMS(F22,$E35)</f>
        <v>239.54763410848</v>
      </c>
      <c r="G43" s="15" cm="1">
        <f t="array" ref="G43">MMS_Dairy_AtmosphericDeposition_Equations.VEERG_4_3_1_5__2_TotalNitrogenVolatilisedFromMMS(G22,$E35)</f>
        <v>109.41474160669246</v>
      </c>
      <c r="H43" s="15" cm="1">
        <f t="array" ref="H43">MMS_Dairy_AtmosphericDeposition_Equations.VEERG_4_3_1_5__2_TotalNitrogenVolatilisedFromMMS(H22,$E35)</f>
        <v>43.578734474306046</v>
      </c>
      <c r="I43" s="15" cm="1">
        <f t="array" ref="I43">MMS_Dairy_AtmosphericDeposition_Equations.VEERG_4_3_1_5__2_TotalNitrogenVolatilisedFromMMS(I22,$E35)</f>
        <v>137.53865744392104</v>
      </c>
      <c r="J43" s="15" cm="1">
        <f t="array" ref="J43">MMS_Dairy_AtmosphericDeposition_Equations.VEERG_4_3_1_5__2_TotalNitrogenVolatilisedFromMMS(J22,$E35)</f>
        <v>57.577714247433235</v>
      </c>
      <c r="K43" s="16"/>
      <c r="O43" s="15" t="str">
        <f>INDEX(X_Table_Dairy_ProductionSystems_Method1,3,1)</f>
        <v>Milking shed</v>
      </c>
      <c r="P43" s="15" t="s">
        <v>75</v>
      </c>
      <c r="Q43" s="15" cm="1">
        <f t="array" ref="Q43">MMS_Dairy_AtmosphericDeposition_Equations.VEERG_4_3_1_5__2_TotalNitrogenVolatilisedFromMMS(Q22,$E35)</f>
        <v>239.54763410848</v>
      </c>
      <c r="R43" s="15" cm="1">
        <f t="array" ref="R43">MMS_Dairy_AtmosphericDeposition_Equations.VEERG_4_3_1_5__2_TotalNitrogenVolatilisedFromMMS(R22,$E35)</f>
        <v>109.41474160669246</v>
      </c>
      <c r="S43" s="15" cm="1">
        <f t="array" ref="S43">MMS_Dairy_AtmosphericDeposition_Equations.VEERG_4_3_1_5__2_TotalNitrogenVolatilisedFromMMS(S22,$E35)</f>
        <v>43.578734474306046</v>
      </c>
      <c r="T43" s="15" cm="1">
        <f t="array" ref="T43">MMS_Dairy_AtmosphericDeposition_Equations.VEERG_4_3_1_5__2_TotalNitrogenVolatilisedFromMMS(T22,$E35)</f>
        <v>137.53865744392104</v>
      </c>
      <c r="U43" s="15" cm="1">
        <f t="array" ref="U43">MMS_Dairy_AtmosphericDeposition_Equations.VEERG_4_3_1_5__2_TotalNitrogenVolatilisedFromMMS(U22,$E35)</f>
        <v>57.577714247433235</v>
      </c>
      <c r="V43" s="16"/>
    </row>
    <row r="44" spans="1:22" ht="20.100000000000001" customHeight="1" x14ac:dyDescent="0.25">
      <c r="A44" s="5" t="str">
        <f>HYPERLINK("#'5.4.1.1-4 Atmos deposition'!A1", "5.4.1.1-4 Atmos. deposition")</f>
        <v>5.4.1.1-4 Atmos. deposition</v>
      </c>
      <c r="D44" s="15" t="str">
        <f>INDEX(X_Table_Dairy_ProductionSystems_Method1,4,1)</f>
        <v>Feed pad</v>
      </c>
      <c r="E44" s="15" t="str">
        <f>INDEX(X_Table_Dairy_Stage1MMS_2_AnaerobicLagoon,2,1)</f>
        <v>Anaerobic lagoon</v>
      </c>
      <c r="F44" s="15" cm="1">
        <f t="array" ref="F44">MMS_Dairy_AtmosphericDeposition_Equations.VEERG_4_3_1_5__2_TotalNitrogenVolatilisedFromMMS(F23, $E32)</f>
        <v>565.29612139993571</v>
      </c>
      <c r="G44" s="15" cm="1">
        <f t="array" ref="G44">MMS_Dairy_AtmosphericDeposition_Equations.VEERG_4_3_1_5__2_TotalNitrogenVolatilisedFromMMS(G23, $E32)</f>
        <v>258.20221220064167</v>
      </c>
      <c r="H44" s="15" cm="1">
        <f t="array" ref="H44">MMS_Dairy_AtmosphericDeposition_Equations.VEERG_4_3_1_5__2_TotalNitrogenVolatilisedFromMMS(H23, $E32)</f>
        <v>102.83921052080557</v>
      </c>
      <c r="I44" s="15" cm="1">
        <f t="array" ref="I44">MMS_Dairy_AtmosphericDeposition_Equations.VEERG_4_3_1_5__2_TotalNitrogenVolatilisedFromMMS(I23, $E32)</f>
        <v>324.57039237713184</v>
      </c>
      <c r="J44" s="15" cm="1">
        <f t="array" ref="J44">MMS_Dairy_AtmosphericDeposition_Equations.VEERG_4_3_1_5__2_TotalNitrogenVolatilisedFromMMS(J23, $E32)</f>
        <v>135.87468172784432</v>
      </c>
      <c r="K44" s="16"/>
      <c r="O44" s="15" t="str">
        <f>INDEX(X_Table_Dairy_ProductionSystems_Method1,4,1)</f>
        <v>Feed pad</v>
      </c>
      <c r="P44" s="15" t="str">
        <f>INDEX(X_Table_Dairy_Stage1MMS_2_AnaerobicLagoon,2,1)</f>
        <v>Anaerobic lagoon</v>
      </c>
      <c r="Q44" s="15" cm="1">
        <f t="array" ref="Q44">MMS_Dairy_AtmosphericDeposition_Equations.VEERG_4_3_1_5__2_TotalNitrogenVolatilisedFromMMS(Q23, $E32)</f>
        <v>565.29612139993571</v>
      </c>
      <c r="R44" s="15" cm="1">
        <f t="array" ref="R44">MMS_Dairy_AtmosphericDeposition_Equations.VEERG_4_3_1_5__2_TotalNitrogenVolatilisedFromMMS(R23, $E32)</f>
        <v>258.20221220064167</v>
      </c>
      <c r="S44" s="15" cm="1">
        <f t="array" ref="S44">MMS_Dairy_AtmosphericDeposition_Equations.VEERG_4_3_1_5__2_TotalNitrogenVolatilisedFromMMS(S23, $E32)</f>
        <v>102.83921052080557</v>
      </c>
      <c r="T44" s="15" cm="1">
        <f t="array" ref="T44">MMS_Dairy_AtmosphericDeposition_Equations.VEERG_4_3_1_5__2_TotalNitrogenVolatilisedFromMMS(T23, $E32)</f>
        <v>324.57039237713184</v>
      </c>
      <c r="U44" s="15" cm="1">
        <f t="array" ref="U44">MMS_Dairy_AtmosphericDeposition_Equations.VEERG_4_3_1_5__2_TotalNitrogenVolatilisedFromMMS(U23, $E32)</f>
        <v>135.87468172784432</v>
      </c>
      <c r="V44" s="16"/>
    </row>
    <row r="45" spans="1:22" ht="20.100000000000001" customHeight="1" x14ac:dyDescent="0.25">
      <c r="A45" s="5" t="str">
        <f>HYPERLINK("#'5.5.1.1-2 Leaching and runoff'!A1", "5.5.1.1-2 Leaching &amp; runoff")</f>
        <v>5.5.1.1-2 Leaching &amp; runoff</v>
      </c>
      <c r="D45" s="15" t="str">
        <f>INDEX(X_Table_Dairy_ProductionSystems_Method1,4,1)</f>
        <v>Feed pad</v>
      </c>
      <c r="E45" s="15" t="str">
        <f>INDEX(X_Table_Dairy_Stage1MMS_2_SumpAndDispersal,2,1)</f>
        <v>Sump and dispersal system</v>
      </c>
      <c r="F45" s="15" cm="1">
        <f t="array" ref="F45">MMS_Dairy_AtmosphericDeposition_Equations.VEERG_4_3_1_5__2_TotalNitrogenVolatilisedFromMMS(F24, $E33)</f>
        <v>90.447379423989744</v>
      </c>
      <c r="G45" s="15" cm="1">
        <f t="array" ref="G45">MMS_Dairy_AtmosphericDeposition_Equations.VEERG_4_3_1_5__2_TotalNitrogenVolatilisedFromMMS(G24, $E33)</f>
        <v>41.312353952102676</v>
      </c>
      <c r="H45" s="15" cm="1">
        <f t="array" ref="H45">MMS_Dairy_AtmosphericDeposition_Equations.VEERG_4_3_1_5__2_TotalNitrogenVolatilisedFromMMS(H24, $E33)</f>
        <v>16.454273683328893</v>
      </c>
      <c r="I45" s="15" cm="1">
        <f t="array" ref="I45">MMS_Dairy_AtmosphericDeposition_Equations.VEERG_4_3_1_5__2_TotalNitrogenVolatilisedFromMMS(I24, $E33)</f>
        <v>51.931262780341108</v>
      </c>
      <c r="J45" s="15" cm="1">
        <f t="array" ref="J45">MMS_Dairy_AtmosphericDeposition_Equations.VEERG_4_3_1_5__2_TotalNitrogenVolatilisedFromMMS(J24, $E33)</f>
        <v>21.739949076455098</v>
      </c>
      <c r="K45" s="16"/>
      <c r="O45" s="15" t="str">
        <f>INDEX(X_Table_Dairy_ProductionSystems_Method1,4,1)</f>
        <v>Feed pad</v>
      </c>
      <c r="P45" s="15" t="str">
        <f>INDEX(X_Table_Dairy_Stage1MMS_2_SumpAndDispersal,2,1)</f>
        <v>Sump and dispersal system</v>
      </c>
      <c r="Q45" s="15" cm="1">
        <f t="array" ref="Q45">MMS_Dairy_AtmosphericDeposition_Equations.VEERG_4_3_1_5__2_TotalNitrogenVolatilisedFromMMS(Q24, $E33)</f>
        <v>90.447379423989744</v>
      </c>
      <c r="R45" s="15" cm="1">
        <f t="array" ref="R45">MMS_Dairy_AtmosphericDeposition_Equations.VEERG_4_3_1_5__2_TotalNitrogenVolatilisedFromMMS(R24, $E33)</f>
        <v>41.312353952102676</v>
      </c>
      <c r="S45" s="15" cm="1">
        <f t="array" ref="S45">MMS_Dairy_AtmosphericDeposition_Equations.VEERG_4_3_1_5__2_TotalNitrogenVolatilisedFromMMS(S24, $E33)</f>
        <v>16.454273683328893</v>
      </c>
      <c r="T45" s="15" cm="1">
        <f t="array" ref="T45">MMS_Dairy_AtmosphericDeposition_Equations.VEERG_4_3_1_5__2_TotalNitrogenVolatilisedFromMMS(T24, $E33)</f>
        <v>51.931262780341108</v>
      </c>
      <c r="U45" s="15" cm="1">
        <f t="array" ref="U45">MMS_Dairy_AtmosphericDeposition_Equations.VEERG_4_3_1_5__2_TotalNitrogenVolatilisedFromMMS(U24, $E33)</f>
        <v>21.739949076455098</v>
      </c>
      <c r="V45" s="16"/>
    </row>
    <row r="46" spans="1:22" ht="20.100000000000001" customHeight="1" x14ac:dyDescent="0.25">
      <c r="A46" s="5" t="str">
        <f>HYPERLINK("#'6.2.1.1-2 Pasture residue N2O'!A1", "6.2.1.1-2 Pasture residue N2O")</f>
        <v>6.2.1.1-2 Pasture residue N2O</v>
      </c>
      <c r="D46" s="15" t="str">
        <f>INDEX(X_Table_Dairy_ProductionSystems_Method1,4,1)</f>
        <v>Feed pad</v>
      </c>
      <c r="E46" s="15" t="str">
        <f>INDEX(X_Table_Dairy_Stage1MMS_2_DrainsToPaddock,2,1)</f>
        <v>Drains to paddock</v>
      </c>
      <c r="F46" s="15" cm="1">
        <f t="array" ref="F46">MMS_Dairy_AtmosphericDeposition_Equations.VEERG_4_3_1_5__2_TotalNitrogenVolatilisedFromMMS(F25, $E34)</f>
        <v>258.42108406854209</v>
      </c>
      <c r="G46" s="15" cm="1">
        <f t="array" ref="G46">MMS_Dairy_AtmosphericDeposition_Equations.VEERG_4_3_1_5__2_TotalNitrogenVolatilisedFromMMS(G25, $E34)</f>
        <v>118.03529700600764</v>
      </c>
      <c r="H46" s="15" cm="1">
        <f t="array" ref="H46">MMS_Dairy_AtmosphericDeposition_Equations.VEERG_4_3_1_5__2_TotalNitrogenVolatilisedFromMMS(H25, $E34)</f>
        <v>47.012210523796831</v>
      </c>
      <c r="I46" s="15" cm="1">
        <f t="array" ref="I46">MMS_Dairy_AtmosphericDeposition_Equations.VEERG_4_3_1_5__2_TotalNitrogenVolatilisedFromMMS(I25, $E34)</f>
        <v>148.37503651526029</v>
      </c>
      <c r="J46" s="15" cm="1">
        <f t="array" ref="J46">MMS_Dairy_AtmosphericDeposition_Equations.VEERG_4_3_1_5__2_TotalNitrogenVolatilisedFromMMS(J25, $E34)</f>
        <v>62.114140218443133</v>
      </c>
      <c r="K46" s="16"/>
      <c r="O46" s="15" t="str">
        <f>INDEX(X_Table_Dairy_ProductionSystems_Method1,4,1)</f>
        <v>Feed pad</v>
      </c>
      <c r="P46" s="15" t="str">
        <f>INDEX(X_Table_Dairy_Stage1MMS_2_DrainsToPaddock,2,1)</f>
        <v>Drains to paddock</v>
      </c>
      <c r="Q46" s="15" cm="1">
        <f t="array" ref="Q46">MMS_Dairy_AtmosphericDeposition_Equations.VEERG_4_3_1_5__2_TotalNitrogenVolatilisedFromMMS(Q25, $E34)</f>
        <v>258.42108406854209</v>
      </c>
      <c r="R46" s="15" cm="1">
        <f t="array" ref="R46">MMS_Dairy_AtmosphericDeposition_Equations.VEERG_4_3_1_5__2_TotalNitrogenVolatilisedFromMMS(R25, $E34)</f>
        <v>118.03529700600764</v>
      </c>
      <c r="S46" s="15" cm="1">
        <f t="array" ref="S46">MMS_Dairy_AtmosphericDeposition_Equations.VEERG_4_3_1_5__2_TotalNitrogenVolatilisedFromMMS(S25, $E34)</f>
        <v>47.012210523796831</v>
      </c>
      <c r="T46" s="15" cm="1">
        <f t="array" ref="T46">MMS_Dairy_AtmosphericDeposition_Equations.VEERG_4_3_1_5__2_TotalNitrogenVolatilisedFromMMS(T25, $E34)</f>
        <v>148.37503651526029</v>
      </c>
      <c r="U46" s="15" cm="1">
        <f t="array" ref="U46">MMS_Dairy_AtmosphericDeposition_Equations.VEERG_4_3_1_5__2_TotalNitrogenVolatilisedFromMMS(U25, $E34)</f>
        <v>62.114140218443133</v>
      </c>
      <c r="V46" s="16"/>
    </row>
    <row r="47" spans="1:22" ht="20.100000000000001" customHeight="1" x14ac:dyDescent="0.25">
      <c r="A47" s="5" t="str">
        <f>HYPERLINK("#'6.3.1.1-2 Leach runoff pasture'!A1", "6.3.1.1-2 Leach &amp; runoff (pasture)")</f>
        <v>6.3.1.1-2 Leach &amp; runoff (pasture)</v>
      </c>
      <c r="D47" s="15" t="str">
        <f>INDEX(X_Table_Dairy_ProductionSystems_Method1,4,1)</f>
        <v>Feed pad</v>
      </c>
      <c r="E47" s="15" t="s">
        <v>75</v>
      </c>
      <c r="F47" s="15" cm="1">
        <f t="array" ref="F47">MMS_Dairy_AtmosphericDeposition_Equations.VEERG_4_3_1_5__2_TotalNitrogenVolatilisedFromMMS(F26, $E35)</f>
        <v>678.35534567992283</v>
      </c>
      <c r="G47" s="15" cm="1">
        <f t="array" ref="G47">MMS_Dairy_AtmosphericDeposition_Equations.VEERG_4_3_1_5__2_TotalNitrogenVolatilisedFromMMS(G26, $E35)</f>
        <v>309.84265464076998</v>
      </c>
      <c r="H47" s="15" cm="1">
        <f t="array" ref="H47">MMS_Dairy_AtmosphericDeposition_Equations.VEERG_4_3_1_5__2_TotalNitrogenVolatilisedFromMMS(H26, $E35)</f>
        <v>123.40705262496667</v>
      </c>
      <c r="I47" s="15" cm="1">
        <f t="array" ref="I47">MMS_Dairy_AtmosphericDeposition_Equations.VEERG_4_3_1_5__2_TotalNitrogenVolatilisedFromMMS(I26, $E35)</f>
        <v>389.48447085255822</v>
      </c>
      <c r="J47" s="15" cm="1">
        <f t="array" ref="J47">MMS_Dairy_AtmosphericDeposition_Equations.VEERG_4_3_1_5__2_TotalNitrogenVolatilisedFromMMS(J26, $E35)</f>
        <v>163.0496180734132</v>
      </c>
      <c r="K47" s="16"/>
      <c r="O47" s="15" t="str">
        <f>INDEX(X_Table_Dairy_ProductionSystems_Method1,4,1)</f>
        <v>Feed pad</v>
      </c>
      <c r="P47" s="15" t="s">
        <v>75</v>
      </c>
      <c r="Q47" s="15" cm="1">
        <f t="array" ref="Q47">MMS_Dairy_AtmosphericDeposition_Equations.VEERG_4_3_1_5__2_TotalNitrogenVolatilisedFromMMS(Q26, $E35)</f>
        <v>678.35534567992283</v>
      </c>
      <c r="R47" s="15" cm="1">
        <f t="array" ref="R47">MMS_Dairy_AtmosphericDeposition_Equations.VEERG_4_3_1_5__2_TotalNitrogenVolatilisedFromMMS(R26, $E35)</f>
        <v>309.84265464076998</v>
      </c>
      <c r="S47" s="15" cm="1">
        <f t="array" ref="S47">MMS_Dairy_AtmosphericDeposition_Equations.VEERG_4_3_1_5__2_TotalNitrogenVolatilisedFromMMS(S26, $E35)</f>
        <v>123.40705262496667</v>
      </c>
      <c r="T47" s="15" cm="1">
        <f t="array" ref="T47">MMS_Dairy_AtmosphericDeposition_Equations.VEERG_4_3_1_5__2_TotalNitrogenVolatilisedFromMMS(T26, $E35)</f>
        <v>389.48447085255822</v>
      </c>
      <c r="U47" s="15" cm="1">
        <f t="array" ref="U47">MMS_Dairy_AtmosphericDeposition_Equations.VEERG_4_3_1_5__2_TotalNitrogenVolatilisedFromMMS(U26, $E35)</f>
        <v>163.0496180734132</v>
      </c>
      <c r="V47" s="16"/>
    </row>
    <row r="48" spans="1:22" ht="20.100000000000001" customHeight="1" x14ac:dyDescent="0.25">
      <c r="A48" s="5" t="str">
        <f>HYPERLINK("#'8.1.1.1-2 Transport fuel'!A1", "8.1.1.1-2 Transport fuel")</f>
        <v>8.1.1.1-2 Transport fuel</v>
      </c>
    </row>
    <row r="49" spans="1:23" ht="20.100000000000001" customHeight="1" x14ac:dyDescent="0.25">
      <c r="A49" s="5" t="str">
        <f>HYPERLINK("#'8.2.1.1-2 Stationary fuel'!A1", "8.2.1.1-2 Stationary fuel")</f>
        <v>8.2.1.1-2 Stationary fuel</v>
      </c>
      <c r="D49" s="92" t="s">
        <v>541</v>
      </c>
      <c r="E49" s="88">
        <f>SUM(F40:J47)</f>
        <v>5101.668293837286</v>
      </c>
      <c r="F49" s="93" t="str">
        <f>$E$11</f>
        <v>kg N</v>
      </c>
      <c r="O49" s="92" t="s">
        <v>541</v>
      </c>
      <c r="P49" s="88">
        <f>SUM(Q40:U47)</f>
        <v>5101.668293837286</v>
      </c>
      <c r="Q49" s="93" t="str">
        <f>$E$11</f>
        <v>kg N</v>
      </c>
    </row>
    <row r="50" spans="1:23" ht="20.100000000000001" customHeight="1" x14ac:dyDescent="0.25">
      <c r="A50" s="5" t="str">
        <f>HYPERLINK("#'9.1.1.1-2 Refrigerant use'!A1", "9.1.1.1-2 Refrigerant use")</f>
        <v>9.1.1.1-2 Refrigerant use</v>
      </c>
    </row>
    <row r="51" spans="1:23" ht="20.100000000000001" customHeight="1" x14ac:dyDescent="0.25">
      <c r="A51" s="5" t="str">
        <f>HYPERLINK("#'10.1.1-2 Solid waste treatment'!A1", "10.1.1.1-2 Solid waste")</f>
        <v>10.1.1.1-2 Solid waste</v>
      </c>
    </row>
    <row r="52" spans="1:23" ht="20.100000000000001" customHeight="1" x14ac:dyDescent="0.25">
      <c r="A52" s="5" t="str">
        <f>HYPERLINK("#'14.1.1-2 Purchased electricity'!A1", "14.1.1-2 Purchased electricity")</f>
        <v>14.1.1-2 Purchased electricity</v>
      </c>
      <c r="C52" s="88"/>
      <c r="D52" s="88"/>
      <c r="E52" s="88"/>
      <c r="F52" s="88"/>
      <c r="G52" s="88"/>
      <c r="H52" s="88"/>
      <c r="I52" s="88"/>
      <c r="J52" s="88"/>
      <c r="K52" s="88"/>
      <c r="L52" s="88"/>
      <c r="N52" s="88"/>
      <c r="O52" s="88"/>
      <c r="P52" s="88"/>
      <c r="Q52" s="88"/>
      <c r="R52" s="88"/>
      <c r="S52" s="88"/>
      <c r="T52" s="88"/>
      <c r="U52" s="88"/>
      <c r="V52" s="88"/>
      <c r="W52" s="88"/>
    </row>
    <row r="53" spans="1:23" ht="20.100000000000001" customHeight="1" x14ac:dyDescent="0.25">
      <c r="A53" s="5" t="str">
        <f>HYPERLINK("#'15 Scope 3'!A1", "15 Scope 3")</f>
        <v>15 Scope 3</v>
      </c>
      <c r="D53" s="2" t="str" cm="1">
        <f t="array" ref="D53">MMS_Dairy_AtmosphericDeposition_Equations.VEERG_4_3_1_5__1_AnnualAtmosphericDepositionEmissionsFromMMS_Title()</f>
        <v>Annual atmospheric deposition emissions from MMS</v>
      </c>
    </row>
    <row r="54" spans="1:23" ht="20.100000000000001" customHeight="1" x14ac:dyDescent="0.25">
      <c r="A54" s="5" t="str">
        <f>HYPERLINK("#'Calcs - Manure sent off-site'!A1", "Calcs - Manure sent off-site")</f>
        <v>Calcs - Manure sent off-site</v>
      </c>
      <c r="D54" s="17" t="str" cm="1">
        <f t="array" ref="D54">MMS_Dairy_AtmosphericDeposition_Equations.VEERG_4_3_1_5__1_AnnualAtmosphericDepositionEmissionsFromMMS_Source()</f>
        <v>VEERG 2026: 4.3.1.5, Equation (1)</v>
      </c>
    </row>
    <row r="55" spans="1:23" ht="20.100000000000001" customHeight="1" x14ac:dyDescent="0.25">
      <c r="D55" s="117" t="s">
        <v>382</v>
      </c>
      <c r="E55" s="117" t="str">
        <f ca="1">Common_InputFunctions.Utility_DisplayFunctionName(VEERG_4_3_1_5__1_AnnualAtmosphericDepositionEmissionsFromMMS_Result_Method1)</f>
        <v>=MMS_Dairy_AtmosphericDeposition_Equations.VEERG_4_3_1_5__1_AnnualAtmosphericDepositionEmissionsFromMMS</v>
      </c>
    </row>
    <row r="56" spans="1:23" ht="20.100000000000001" customHeight="1" x14ac:dyDescent="0.25"/>
    <row r="57" spans="1:23" ht="20.100000000000001" customHeight="1" x14ac:dyDescent="0.25">
      <c r="A57" s="82" t="s">
        <v>1</v>
      </c>
      <c r="D57" s="2"/>
      <c r="H57" s="1" t="s">
        <v>542</v>
      </c>
    </row>
    <row r="58" spans="1:23" ht="20.100000000000001" customHeight="1" x14ac:dyDescent="0.25">
      <c r="A58" s="5" t="str">
        <f>HYPERLINK("#'Constants - Dairy'!A1", "Constants - Dairy")</f>
        <v>Constants - Dairy</v>
      </c>
      <c r="D58" s="76" t="s">
        <v>383</v>
      </c>
      <c r="E58" s="1" t="str" cm="1">
        <f t="array" ref="E58">MMS_Dairy_AtmosphericDeposition_Equations.VEERG_4_3_1_5__1_AnnualAtmosphericDepositionEmissionsFromMMS_Variable()</f>
        <v>E_N2OMMSad</v>
      </c>
    </row>
    <row r="59" spans="1:23" ht="20.100000000000001" customHeight="1" x14ac:dyDescent="0.25">
      <c r="A59" s="5" t="str">
        <f>HYPERLINK("#'Constants - Ag Residue'!A1", "Constants - Ag residue")</f>
        <v>Constants - Ag residue</v>
      </c>
      <c r="D59" s="76" t="s">
        <v>118</v>
      </c>
      <c r="E59" s="9" t="str" cm="1">
        <f t="array" ref="E59">MMS_Dairy_AtmosphericDeposition_Equations.VEERG_4_3_1_5__1_AnnualAtmosphericDepositionEmissionsFromMMS_Unit()</f>
        <v>t N2O</v>
      </c>
    </row>
    <row r="60" spans="1:23" ht="20.100000000000001" customHeight="1" x14ac:dyDescent="0.25">
      <c r="A60" s="5" t="str">
        <f>HYPERLINK("#'Constants - Common Livestock'!A1", "Constants - Common Livestock")</f>
        <v>Constants - Common Livestock</v>
      </c>
    </row>
    <row r="61" spans="1:23" ht="20.100000000000001" customHeight="1" x14ac:dyDescent="0.25">
      <c r="A61" s="5" t="str">
        <f>HYPERLINK("#'Constants - Electricity'!A1", "Constants - Electricity")</f>
        <v>Constants - Electricity</v>
      </c>
      <c r="D61" s="119" t="str" cm="1">
        <f t="array" ref="D61:E66">_xlfn.CHOOSECOLS(MMS_Dairy_AtmosphericDeposition_Equations.VEERG_4_3_1_5__1_AnnualAtmosphericDepositionEmissionsFromMMS_Arguments(),1,2)</f>
        <v>MN_ATMOS</v>
      </c>
      <c r="E61" s="124" t="str">
        <v>mass of N volatilised from MMS</v>
      </c>
      <c r="F61" s="125"/>
      <c r="G61" s="119" t="str" cm="1">
        <f t="array" ref="G61:H66">_xlfn.CHOOSECOLS(MMS_Dairy_AtmosphericDeposition_Equations.VEERG_4_3_1_5__1_AnnualAtmosphericDepositionEmissionsFromMMS_Arguments(),3,4)</f>
        <v>kg N</v>
      </c>
      <c r="H61" s="127" t="str">
        <v>Calculated from 4.3.1.5 (2)</v>
      </c>
      <c r="I61" s="119">
        <f>$E$49</f>
        <v>5101.668293837286</v>
      </c>
      <c r="O61" s="131" t="str">
        <f>D61</f>
        <v>MN_ATMOS</v>
      </c>
      <c r="P61" s="134" t="str">
        <f>E61</f>
        <v>mass of N volatilised from MMS</v>
      </c>
      <c r="Q61" s="137"/>
      <c r="R61" s="131">
        <f>$P$49</f>
        <v>5101.668293837286</v>
      </c>
    </row>
    <row r="62" spans="1:23" ht="20.100000000000001" customHeight="1" x14ac:dyDescent="0.25">
      <c r="A62" s="5" t="str">
        <f>HYPERLINK("#'Constants - Fertiliser'!A1", "Constants - Fertiliser")</f>
        <v>Constants - Fertiliser</v>
      </c>
      <c r="D62" s="119" t="str">
        <v>EF_N2O</v>
      </c>
      <c r="E62" s="124" t="str">
        <v>nitrous oxide emission factor for atmospheric deposition</v>
      </c>
      <c r="F62" s="125"/>
      <c r="G62" s="119" t="str">
        <v>kg N2O-N/kg N</v>
      </c>
      <c r="H62" s="127" t="str">
        <v>Constant</v>
      </c>
      <c r="I62" s="119">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131"/>
      <c r="P62" s="134"/>
      <c r="Q62" s="137"/>
      <c r="R62" s="131"/>
    </row>
    <row r="63" spans="1:23" ht="20.100000000000001" customHeight="1" x14ac:dyDescent="0.25">
      <c r="A63" s="5" t="str">
        <f>HYPERLINK("#'Constants - Fuel'!A1", "Constants - Fuel")</f>
        <v>Constants - Fuel</v>
      </c>
      <c r="D63" s="119" t="str">
        <v>C_N2O</v>
      </c>
      <c r="E63" s="124" t="str">
        <v>factor to convert elemental mass of N2O to molecular mass</v>
      </c>
      <c r="F63" s="125"/>
      <c r="G63" s="119" t="str">
        <v/>
      </c>
      <c r="H63" s="127" t="str">
        <v>Constant</v>
      </c>
      <c r="I63" s="119">
        <f>Common_InputFunctions.Utility_LookupValueInTableNumber("N2O",Table_GasToMolecularConversionFactor[Gas],Table_GasToMolecularConversionFactor[Conversion factor combined])</f>
        <v>1.5714285714285714</v>
      </c>
      <c r="O63" s="131"/>
      <c r="P63" s="134"/>
      <c r="Q63" s="137"/>
      <c r="R63" s="131"/>
    </row>
    <row r="64" spans="1:23" ht="20.100000000000001" customHeight="1" x14ac:dyDescent="0.25">
      <c r="A64" s="5" t="str">
        <f>HYPERLINK("#'Constants - Scope 3'!A1", "Constants - Scope 3")</f>
        <v>Constants - Scope 3</v>
      </c>
      <c r="D64" s="119" t="str">
        <v>j</v>
      </c>
      <c r="E64" s="124" t="str">
        <v>production system</v>
      </c>
      <c r="F64" s="125"/>
      <c r="G64" s="119" t="str">
        <v/>
      </c>
      <c r="H64" s="120" t="str">
        <v>Input</v>
      </c>
      <c r="I64" s="119" t="str">
        <f>X_Cell_Dairy_ManureAppliedProductionSystem</f>
        <v>Pasture</v>
      </c>
      <c r="O64" s="131"/>
      <c r="P64" s="134"/>
      <c r="Q64" s="137"/>
      <c r="R64" s="131"/>
    </row>
    <row r="65" spans="1:18" ht="20.100000000000001" customHeight="1" x14ac:dyDescent="0.25">
      <c r="A65" s="5" t="str">
        <f>HYPERLINK("#'Constants - Common'!A1", "Constants - Common")</f>
        <v>Constants - Common</v>
      </c>
      <c r="D65" s="119" t="str">
        <v>ir</v>
      </c>
      <c r="E65" s="124" t="str">
        <v>irrigation method</v>
      </c>
      <c r="F65" s="125"/>
      <c r="G65" s="119" t="str">
        <v/>
      </c>
      <c r="H65" s="120" t="str">
        <v>Input</v>
      </c>
      <c r="I65" s="119" t="str">
        <f>X_Cell_Dairy_ManureAppliedIrrigationMethod</f>
        <v>Sprinkler irrigation</v>
      </c>
      <c r="O65" s="131"/>
      <c r="P65" s="134"/>
      <c r="Q65" s="137"/>
      <c r="R65" s="131"/>
    </row>
    <row r="66" spans="1:18" ht="20.100000000000001" customHeight="1" x14ac:dyDescent="0.25">
      <c r="A66" s="5" t="str">
        <f>HYPERLINK("#'Constants - Refrigerants'!A1", "Constants - Refrigerants")</f>
        <v>Constants - Refrigerants</v>
      </c>
      <c r="D66" s="119" t="str">
        <v>r</v>
      </c>
      <c r="E66" s="124" t="str">
        <v>rainfall region</v>
      </c>
      <c r="F66" s="125"/>
      <c r="G66" s="119" t="str">
        <v/>
      </c>
      <c r="H66" s="120" t="str">
        <v>Input</v>
      </c>
      <c r="I66" s="119" t="str">
        <f>X_Cell_Site_RainfallZone</f>
        <v>High rainfall</v>
      </c>
      <c r="O66" s="131"/>
      <c r="P66" s="134"/>
      <c r="Q66" s="137"/>
      <c r="R66" s="131"/>
    </row>
    <row r="67" spans="1:18" ht="20.100000000000001" customHeight="1" x14ac:dyDescent="0.25">
      <c r="A67" s="5" t="str">
        <f>HYPERLINK("#'Constants - Solid Waste'!A1", "Constants - Solid Waste")</f>
        <v>Constants - Solid Waste</v>
      </c>
    </row>
    <row r="68" spans="1:18" ht="20.100000000000001" customHeight="1" x14ac:dyDescent="0.25">
      <c r="A68" s="5" t="str">
        <f>HYPERLINK("#'Acknowledgements'!A1", "Acknowledgements")</f>
        <v>Acknowledgements</v>
      </c>
      <c r="D68" s="87" t="s">
        <v>543</v>
      </c>
      <c r="E68" s="90" cm="1">
        <f t="array" ref="E68">MMS_Dairy_AtmosphericDeposition_Equations.VEERG_4_3_1_5__1_AnnualAtmosphericDepositionEmissionsFromMMS($I$61,$I$62,$I$63)</f>
        <v>4.7299753181434263E-2</v>
      </c>
      <c r="F68" s="89" t="str">
        <f>$E$59</f>
        <v>t N2O</v>
      </c>
      <c r="O68" s="87" t="s">
        <v>543</v>
      </c>
      <c r="P68" s="90" cm="1">
        <f t="array" ref="P68">MMS_Dairy_AtmosphericDeposition_Equations.VEERG_4_3_1_5__1_AnnualAtmosphericDepositionEmissionsFromMMS($R$61,$I$62,$I$63)</f>
        <v>4.7299753181434263E-2</v>
      </c>
      <c r="Q68" s="89" t="str">
        <f>$E$59</f>
        <v>t N2O</v>
      </c>
    </row>
    <row r="69" spans="1:18" ht="20.100000000000001" customHeight="1" x14ac:dyDescent="0.25"/>
    <row r="70" spans="1:18" ht="20.100000000000001" customHeight="1" x14ac:dyDescent="0.25">
      <c r="D70" s="131" t="str" cm="1">
        <f t="array" ref="D70:E71">Common_Equations.Common_ConvertN2OToCO2e_Arguments()</f>
        <v>EN2O</v>
      </c>
      <c r="E70" s="134" t="str">
        <v>Nitrous oxide emissions (t N2O)</v>
      </c>
      <c r="F70" s="135"/>
      <c r="G70" s="15">
        <f>VEERG_4_3_1_5__1_AnnualAtmosphericDepositionEmissionsFromMMS_Result_Method1</f>
        <v>4.7299753181434263E-2</v>
      </c>
      <c r="O70" s="131" t="str" cm="1">
        <f t="array" ref="O70:P71">Common_Equations.Common_ConvertN2OToCO2e_Arguments()</f>
        <v>EN2O</v>
      </c>
      <c r="P70" s="134" t="str">
        <v>Nitrous oxide emissions (t N2O)</v>
      </c>
      <c r="Q70" s="135"/>
      <c r="R70" s="15">
        <f>VEERG_4_3_1_5__1_AnnualAtmosphericDepositionEmissionsFromMMS_Result_Method2</f>
        <v>4.7299753181434263E-2</v>
      </c>
    </row>
    <row r="71" spans="1:18" ht="20.100000000000001" customHeight="1" x14ac:dyDescent="0.25">
      <c r="D71" s="131" t="str">
        <v>GWPN2O</v>
      </c>
      <c r="E71" s="134" t="str">
        <v>Global warming potential for nitrous oxide (t CO2-e / t N2O)</v>
      </c>
      <c r="F71" s="135"/>
      <c r="G71" s="15">
        <f>Common_InputFunctions.Utility_LookupValueInTableNumber("N2O",Table_GWPData[Gas],Table_GWPData[CO2-e factor])</f>
        <v>265</v>
      </c>
      <c r="O71" s="131" t="str">
        <v>GWPN2O</v>
      </c>
      <c r="P71" s="134" t="str">
        <v>Global warming potential for nitrous oxide (t CO2-e / t N2O)</v>
      </c>
      <c r="Q71" s="135"/>
      <c r="R71" s="15">
        <f>Common_InputFunctions.Utility_LookupValueInTableNumber("N2O",Table_GWPData[Gas],Table_GWPData[CO2-e factor])</f>
        <v>265</v>
      </c>
    </row>
    <row r="72" spans="1:18" ht="20.100000000000001" customHeight="1" x14ac:dyDescent="0.25"/>
    <row r="73" spans="1:18" ht="20.100000000000001" customHeight="1" x14ac:dyDescent="0.25">
      <c r="D73" s="88" t="s">
        <v>532</v>
      </c>
      <c r="E73" s="88" cm="1">
        <f t="array" ref="E73">Common_Equations.Common_ConvertN2OToCO2e(G70,G71)</f>
        <v>12.53443459308008</v>
      </c>
      <c r="F73" s="93" t="str" cm="1">
        <f t="array" ref="F73">Common_Equations.Common_ConvertN2OToCO2e_Unit()</f>
        <v>t CO2e</v>
      </c>
      <c r="O73" s="88" t="s">
        <v>532</v>
      </c>
      <c r="P73" s="88" cm="1">
        <f t="array" ref="P73">Common_Equations.Common_ConvertN2OToCO2e(R70,R71)</f>
        <v>12.53443459308008</v>
      </c>
      <c r="Q73" s="93"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009F4860-AB12-4C50-B71A-61FA45DEE79A}"/>
  </dataValidation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759DF-624F-48A2-B4FC-CB8383D54832}">
  <sheetPr>
    <tabColor rgb="FF008000"/>
  </sheetPr>
  <dimension ref="A1:W165"/>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20" customFormat="1" ht="30" customHeight="1" x14ac:dyDescent="0.35">
      <c r="A1" s="10" t="e" vm="1">
        <v>#VALUE!</v>
      </c>
      <c r="C1" s="20" t="s">
        <v>544</v>
      </c>
    </row>
    <row r="2" spans="1:23" s="3" customFormat="1" ht="20.100000000000001" customHeight="1" x14ac:dyDescent="0.25">
      <c r="A2"/>
    </row>
    <row r="3" spans="1:23" ht="20.100000000000001" customHeight="1" x14ac:dyDescent="0.25">
      <c r="A3" s="5" t="str">
        <f>HYPERLINK("#'Home'!A1", "Home")</f>
        <v>Home</v>
      </c>
      <c r="C3" s="22"/>
      <c r="D3" s="22" t="s">
        <v>129</v>
      </c>
      <c r="E3" s="22"/>
      <c r="F3" s="22"/>
      <c r="G3" s="22"/>
      <c r="H3" s="22"/>
      <c r="I3" s="22"/>
      <c r="J3" s="22"/>
      <c r="K3" s="22"/>
      <c r="L3" s="22"/>
      <c r="N3" s="22"/>
      <c r="O3" s="22" t="s">
        <v>130</v>
      </c>
      <c r="P3" s="22"/>
      <c r="Q3" s="22"/>
      <c r="R3" s="22"/>
      <c r="S3" s="22"/>
      <c r="T3" s="22"/>
      <c r="U3" s="22"/>
      <c r="V3" s="22"/>
      <c r="W3" s="22"/>
    </row>
    <row r="4" spans="1:23" ht="20.100000000000001" customHeight="1" x14ac:dyDescent="0.25">
      <c r="A4" s="5" t="str">
        <f>HYPERLINK("#'Results - Activity period'!A1", "Results - Activity period")</f>
        <v>Results - Activity period</v>
      </c>
    </row>
    <row r="5" spans="1:23" ht="20.100000000000001" customHeight="1" x14ac:dyDescent="0.25">
      <c r="A5" s="5" t="str">
        <f>HYPERLINK("#'Results - Product EI'!A1", "Results - Product Emissions Intensity")</f>
        <v>Results - Product Emissions Intensity</v>
      </c>
      <c r="D5" s="2"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5" t="str">
        <f>HYPERLINK("#'Results'!A1", "Results")</f>
        <v>Results</v>
      </c>
      <c r="D6" s="17" t="str" cm="1">
        <f t="array" ref="D6">MMS_Dairy_LeachingAndRunoff_Equations.VEERG_4_3_1_6__2_MassOfNitrogenLostToLeachingAndRunoffFromSolidStorage_Source()</f>
        <v>VEERG 2026: 4.3.1.6, Equation (2)</v>
      </c>
    </row>
    <row r="7" spans="1:23" ht="20.100000000000001" customHeight="1" x14ac:dyDescent="0.25">
      <c r="D7" s="117" t="s">
        <v>382</v>
      </c>
      <c r="E7" s="117" t="str" cm="1">
        <f t="array" aca="1" ref="E7" ca="1">Common_InputFunctions.Utility_DisplayFunctionName($F$29)</f>
        <v>=MMS_Dairy_LeachingAndRunoff_Equations.VEERG_4_3_1_6__2_MassOfNitrogenLostToLeachingAndRunoffFromSolidStorage</v>
      </c>
    </row>
    <row r="8" spans="1:23" ht="20.100000000000001" customHeight="1" x14ac:dyDescent="0.25"/>
    <row r="9" spans="1:23" ht="20.100000000000001" customHeight="1" x14ac:dyDescent="0.25">
      <c r="A9" s="7" t="s">
        <v>0</v>
      </c>
    </row>
    <row r="10" spans="1:23" ht="20.100000000000001" customHeight="1" x14ac:dyDescent="0.25">
      <c r="A10" s="5" t="str">
        <f>HYPERLINK("#'Input - Enterprise'!A1", "Enterprise")</f>
        <v>Enterprise</v>
      </c>
      <c r="D10" s="76" t="s">
        <v>383</v>
      </c>
      <c r="E10" s="1" t="str" cm="1">
        <f t="array" ref="E10">MMS_Dairy_LeachingAndRunoff_Equations.VEERG_4_3_1_6__2_MassOfNitrogenLostToLeachingAndRunoffFromSolidStorage_Variable()</f>
        <v>MNLeach_jm4</v>
      </c>
    </row>
    <row r="11" spans="1:23" ht="20.100000000000001" customHeight="1" x14ac:dyDescent="0.25">
      <c r="A11" s="5" t="str">
        <f>HYPERLINK("#'Input - Site'!A1", "Site")</f>
        <v>Site</v>
      </c>
      <c r="D11" s="76" t="s">
        <v>118</v>
      </c>
      <c r="E11" s="9" t="str" cm="1">
        <f t="array" ref="E11">MMS_Dairy_LeachingAndRunoff_Equations.VEERG_4_3_1_6__2_MassOfNitrogenLostToLeachingAndRunoffFromSolidStorage_Unit()</f>
        <v>kg N</v>
      </c>
    </row>
    <row r="12" spans="1:23" ht="20.100000000000001" customHeight="1" x14ac:dyDescent="0.25">
      <c r="A12" s="5" t="str">
        <f>HYPERLINK("#'Input - Dairy'!A1", "Dairy")</f>
        <v>Dairy</v>
      </c>
    </row>
    <row r="13" spans="1:23" ht="20.100000000000001" customHeight="1" x14ac:dyDescent="0.25">
      <c r="A13" s="5" t="str">
        <f>HYPERLINK("#'Input - Livestock sales'!A1", "Livestock sales")</f>
        <v>Livestock sales</v>
      </c>
      <c r="D13" s="119" t="str" cm="1">
        <f t="array" ref="D13:E18">_xlfn.CHOOSECOLS(MMS_Dairy_LeachingAndRunoff_Equations.VEERG_4_3_1_6__2_MassOfNitrogenLostToLeachingAndRunoffFromSolidStorage_Arguments(),1,2)</f>
        <v>MN_jm4</v>
      </c>
      <c r="E13" s="124" t="str">
        <v>total nitrogen in solid storage system m=4 (kg N)</v>
      </c>
      <c r="F13" s="132"/>
      <c r="G13" s="125"/>
      <c r="H13" s="119" t="str" cm="1">
        <f t="array" ref="H13:I18">_xlfn.CHOOSECOLS(MMS_Dairy_LeachingAndRunoff_Equations.VEERG_4_3_1_6__2_MassOfNitrogenLostToLeachingAndRunoffFromSolidStorage_Arguments(),3,4)</f>
        <v>kg N</v>
      </c>
      <c r="I13" s="127" t="str">
        <v>Calculated from 4.3.1.3 (2)</v>
      </c>
      <c r="J13" s="126" t="str" cm="1">
        <f t="array" aca="1" ref="J13" ca="1">HYPERLINK(Common_InputFunctions.Utility_SourceHyperlink($D$20),$D$20)</f>
        <v>M1_Table_MN_j_m-4</v>
      </c>
    </row>
    <row r="14" spans="1:23" ht="20.100000000000001" customHeight="1" x14ac:dyDescent="0.25">
      <c r="A14" s="5" t="str">
        <f>HYPERLINK("#'Input - Dairy cattle purchases'!A1", "Dairy cattle purchases")</f>
        <v>Dairy cattle purchases</v>
      </c>
      <c r="D14" s="119" t="str">
        <v>FracWET_i</v>
      </c>
      <c r="E14" s="124" t="str">
        <v>fraction of N that is available for leaching and runoff from the leaching zone z and irrigation type ir</v>
      </c>
      <c r="F14" s="132"/>
      <c r="G14" s="125"/>
      <c r="H14" s="119" t="str">
        <v>fraction</v>
      </c>
      <c r="I14" s="127" t="str">
        <v>Constant</v>
      </c>
      <c r="J14" s="119">
        <f>Common_InputFunctions.CommonCropping_GetFracWET(J16,J18,Table_SourceData_FracWET[Is in leaching zone],Table_SourceData_FracWET[FracWET],Table_SourceData_FracWETIrrigation[Irrigation type i],Table_SourceData_FracWETIrrigation[FracWET])</f>
        <v>1</v>
      </c>
    </row>
    <row r="15" spans="1:23" ht="20.100000000000001" customHeight="1" x14ac:dyDescent="0.25">
      <c r="A15" s="5" t="str">
        <f>HYPERLINK("#'Input - Pasture'!A1", "Pasture")</f>
        <v>Pasture</v>
      </c>
      <c r="D15" s="119" t="str">
        <v>FracLEACH_MS</v>
      </c>
      <c r="E15" s="124" t="str">
        <v>fraction of N that is lost through leaching and runoff</v>
      </c>
      <c r="F15" s="132"/>
      <c r="G15" s="125"/>
      <c r="H15" s="119" t="str">
        <v>fraction</v>
      </c>
      <c r="I15" s="127" t="str">
        <v>Constant</v>
      </c>
      <c r="J15" s="119">
        <f>SourceData_Dairy_FractionOfNitrogenLostThroughLeachingAndRunoffSolidStorage_Data</f>
        <v>0.02</v>
      </c>
    </row>
    <row r="16" spans="1:23" ht="20.100000000000001" customHeight="1" x14ac:dyDescent="0.25">
      <c r="A16" s="5" t="str">
        <f>HYPERLINK("#'Input - Fert Prod System'!A1", "Fert Prod System")</f>
        <v>Fert Prod System</v>
      </c>
      <c r="D16" s="119" t="str">
        <v>z</v>
      </c>
      <c r="E16" s="124" t="str">
        <v>location in leaching zone</v>
      </c>
      <c r="F16" s="132"/>
      <c r="G16" s="125"/>
      <c r="H16" s="119" t="str">
        <v/>
      </c>
      <c r="I16" s="120" t="str">
        <v>Input</v>
      </c>
      <c r="J16" s="119" t="str">
        <f>X_Cell_Site_LeachingZone</f>
        <v>NO - Not in leaching zone</v>
      </c>
    </row>
    <row r="17" spans="1:22" ht="20.100000000000001" customHeight="1" x14ac:dyDescent="0.25">
      <c r="A17" s="5" t="str">
        <f>HYPERLINK("#'Input - Fertiliser'!A1", "Fertiliser")</f>
        <v>Fertiliser</v>
      </c>
      <c r="D17" s="119" t="str">
        <v>j</v>
      </c>
      <c r="E17" s="124" t="str">
        <v>production system</v>
      </c>
      <c r="F17" s="132"/>
      <c r="G17" s="125"/>
      <c r="H17" s="119" t="str">
        <v/>
      </c>
      <c r="I17" s="120" t="str">
        <v>Input</v>
      </c>
      <c r="J17" s="119" t="str">
        <f>X_Cell_Dairy_ManureAppliedProductionSystem</f>
        <v>Pasture</v>
      </c>
    </row>
    <row r="18" spans="1:22" ht="20.100000000000001" customHeight="1" x14ac:dyDescent="0.25">
      <c r="A18" s="5" t="str">
        <f>HYPERLINK("#'Input - Fuel'!A1", "Fuel")</f>
        <v>Fuel</v>
      </c>
      <c r="D18" s="119" t="str">
        <v>ir</v>
      </c>
      <c r="E18" s="124" t="str">
        <v>irrigation method</v>
      </c>
      <c r="F18" s="132"/>
      <c r="G18" s="125"/>
      <c r="H18" s="119" t="str">
        <v/>
      </c>
      <c r="I18" s="120" t="str">
        <v>Input</v>
      </c>
      <c r="J18" s="119" t="str">
        <f>X_Cell_Dairy_ManureAppliedIrrigationMethod</f>
        <v>Sprinkler irrigation</v>
      </c>
    </row>
    <row r="19" spans="1:22" ht="20.100000000000001" customHeight="1" x14ac:dyDescent="0.25">
      <c r="A19" s="5" t="str">
        <f>HYPERLINK("#'Input - Electricity'!A1", "Electricity")</f>
        <v>Electricity</v>
      </c>
    </row>
    <row r="20" spans="1:22" ht="20.100000000000001" customHeight="1" x14ac:dyDescent="0.25">
      <c r="A20" s="5" t="str">
        <f>HYPERLINK("#'Input - Common farm inputs'!A1", "Common farm inputs")</f>
        <v>Common farm inputs</v>
      </c>
      <c r="D20" s="121" t="s">
        <v>545</v>
      </c>
      <c r="O20" s="121" t="s">
        <v>546</v>
      </c>
    </row>
    <row r="21" spans="1:22" ht="20.100000000000001" customHeight="1" x14ac:dyDescent="0.25">
      <c r="A21" s="5" t="str">
        <f>HYPERLINK("#'Input - Crop pasture farm input'!A1", "Crop pasture farm input")</f>
        <v>Crop pasture farm input</v>
      </c>
      <c r="D21" s="122" t="s">
        <v>547</v>
      </c>
      <c r="O21" s="122" t="s">
        <v>548</v>
      </c>
    </row>
    <row r="22" spans="1:22" ht="20.100000000000001" customHeight="1" x14ac:dyDescent="0.25">
      <c r="A22" s="5" t="str">
        <f>HYPERLINK("#'Input - Livestock farm Inputs'!A1", "Livestock farm Inputs")</f>
        <v>Livestock farm Inputs</v>
      </c>
      <c r="D22" s="123" t="s">
        <v>159</v>
      </c>
      <c r="E22" s="123" t="s">
        <v>427</v>
      </c>
      <c r="F22" s="123" t="s">
        <v>334</v>
      </c>
      <c r="G22" s="123" t="s">
        <v>335</v>
      </c>
      <c r="H22" s="123" t="s">
        <v>336</v>
      </c>
      <c r="I22" s="123" t="s">
        <v>337</v>
      </c>
      <c r="J22" s="123" t="s">
        <v>338</v>
      </c>
      <c r="O22" s="123" t="s">
        <v>159</v>
      </c>
      <c r="P22" s="123" t="s">
        <v>427</v>
      </c>
      <c r="Q22" s="123" t="s">
        <v>334</v>
      </c>
      <c r="R22" s="123" t="s">
        <v>335</v>
      </c>
      <c r="S22" s="123" t="s">
        <v>336</v>
      </c>
      <c r="T22" s="123" t="s">
        <v>337</v>
      </c>
      <c r="U22" s="123" t="s">
        <v>338</v>
      </c>
    </row>
    <row r="23" spans="1:22" ht="20.100000000000001" customHeight="1" x14ac:dyDescent="0.25">
      <c r="A23" s="5" t="str">
        <f>HYPERLINK("#'Input - Freight'!A1", "Freight")</f>
        <v>Freight</v>
      </c>
      <c r="D23" s="15" t="str">
        <f>INDEX(X_Table_Dairy_ProductionSystems_Method1,3,1)</f>
        <v>Milking shed</v>
      </c>
      <c r="E23" s="15" t="s">
        <v>75</v>
      </c>
      <c r="F23" s="15">
        <f>INDEX(M1_Table_MN_j_m,5,3)</f>
        <v>798.49211369493332</v>
      </c>
      <c r="G23" s="15">
        <f>INDEX(M1_Table_MN_j_m,5,4)</f>
        <v>364.71580535564152</v>
      </c>
      <c r="H23" s="15">
        <f>INDEX(M1_Table_MN_j_m,5,5)</f>
        <v>145.26244824768682</v>
      </c>
      <c r="I23" s="15">
        <f>INDEX(M1_Table_MN_j_m,5,6)</f>
        <v>458.46219147973682</v>
      </c>
      <c r="J23" s="15">
        <f>INDEX(M1_Table_MN_j_m,5,7)</f>
        <v>191.92571415811079</v>
      </c>
      <c r="K23" s="16" t="str">
        <f>$H$13</f>
        <v>kg N</v>
      </c>
      <c r="O23" s="15" t="str">
        <f>INDEX(X_Table_Dairy_ProductionSystems_Method1,3,1)</f>
        <v>Milking shed</v>
      </c>
      <c r="P23" s="15" t="s">
        <v>75</v>
      </c>
      <c r="Q23" s="15">
        <f>INDEX(M2_Table_MN_j_m,5,3)</f>
        <v>798.49211369493332</v>
      </c>
      <c r="R23" s="15">
        <f>INDEX(M2_Table_MN_j_m,5,4)</f>
        <v>364.71580535564152</v>
      </c>
      <c r="S23" s="15">
        <f>INDEX(M2_Table_MN_j_m,5,5)</f>
        <v>145.26244824768682</v>
      </c>
      <c r="T23" s="15">
        <f>INDEX(M2_Table_MN_j_m,5,6)</f>
        <v>458.46219147973682</v>
      </c>
      <c r="U23" s="15">
        <f>INDEX(M2_Table_MN_j_m,5,7)</f>
        <v>191.92571415811079</v>
      </c>
      <c r="V23" s="16" t="str">
        <f>$H$13</f>
        <v>kg N</v>
      </c>
    </row>
    <row r="24" spans="1:22" ht="20.100000000000001" customHeight="1" x14ac:dyDescent="0.25">
      <c r="A24" s="5" t="str">
        <f>HYPERLINK("#'Input - Solid waste'!A1", "Solid waste")</f>
        <v>Solid waste</v>
      </c>
      <c r="D24" s="15" t="str">
        <f>INDEX(X_Table_Dairy_ProductionSystems_Method1,4,1)</f>
        <v>Feed pad</v>
      </c>
      <c r="E24" s="15" t="s">
        <v>75</v>
      </c>
      <c r="F24" s="15">
        <f>INDEX(M1_Table_MN_j_m,9,3)</f>
        <v>2261.1844855997429</v>
      </c>
      <c r="G24" s="15">
        <f>INDEX(M1_Table_MN_j_m,9,4)</f>
        <v>1032.8088488025667</v>
      </c>
      <c r="H24" s="15">
        <f>INDEX(M1_Table_MN_j_m,9,5)</f>
        <v>411.35684208322226</v>
      </c>
      <c r="I24" s="15">
        <f>INDEX(M1_Table_MN_j_m,9,6)</f>
        <v>1298.2815695085274</v>
      </c>
      <c r="J24" s="15">
        <f>INDEX(M1_Table_MN_j_m,9,7)</f>
        <v>543.49872691137739</v>
      </c>
      <c r="K24" s="16"/>
      <c r="O24" s="15" t="str">
        <f>INDEX(X_Table_Dairy_ProductionSystems_Method1,4,1)</f>
        <v>Feed pad</v>
      </c>
      <c r="P24" s="15" t="s">
        <v>75</v>
      </c>
      <c r="Q24" s="15">
        <f>INDEX(M2_Table_MN_j_m,9,3)</f>
        <v>2261.1844855997429</v>
      </c>
      <c r="R24" s="15">
        <f>INDEX(M2_Table_MN_j_m,9,4)</f>
        <v>1032.8088488025667</v>
      </c>
      <c r="S24" s="15">
        <f>INDEX(M2_Table_MN_j_m,9,5)</f>
        <v>411.35684208322226</v>
      </c>
      <c r="T24" s="15">
        <f>INDEX(M2_Table_MN_j_m,9,6)</f>
        <v>1298.2815695085274</v>
      </c>
      <c r="U24" s="15">
        <f>INDEX(M2_Table_MN_j_m,9,7)</f>
        <v>543.49872691137739</v>
      </c>
      <c r="V24" s="16"/>
    </row>
    <row r="25" spans="1:22" ht="20.100000000000001" customHeight="1" x14ac:dyDescent="0.25">
      <c r="A25" s="5" t="str">
        <f>HYPERLINK("#'Input - Manure sent off-site'!A1", "Manure sent off-site")</f>
        <v>Manure sent off-site</v>
      </c>
    </row>
    <row r="26" spans="1:22" ht="20.100000000000001" customHeight="1" x14ac:dyDescent="0.25">
      <c r="A26" s="5" t="str">
        <f>HYPERLINK("#'Input - Refrigerants'!A1", "Refrigerants")</f>
        <v>Refrigerants</v>
      </c>
      <c r="D26" s="121" t="s">
        <v>549</v>
      </c>
      <c r="O26" s="121" t="s">
        <v>550</v>
      </c>
    </row>
    <row r="27" spans="1:22" ht="20.100000000000001" customHeight="1" x14ac:dyDescent="0.25">
      <c r="A27" s="5" t="str">
        <f>HYPERLINK("#'Input - Data quality'!A1", "Data quality")</f>
        <v>Data quality</v>
      </c>
      <c r="D27" s="122" t="s">
        <v>551</v>
      </c>
      <c r="O27" s="122" t="s">
        <v>552</v>
      </c>
    </row>
    <row r="28" spans="1:22" ht="20.100000000000001" customHeight="1" x14ac:dyDescent="0.25">
      <c r="D28" s="123" t="s">
        <v>159</v>
      </c>
      <c r="E28" s="123" t="s">
        <v>427</v>
      </c>
      <c r="F28" s="123" t="s">
        <v>334</v>
      </c>
      <c r="G28" s="123" t="s">
        <v>335</v>
      </c>
      <c r="H28" s="123" t="s">
        <v>336</v>
      </c>
      <c r="I28" s="123" t="s">
        <v>337</v>
      </c>
      <c r="J28" s="123" t="s">
        <v>338</v>
      </c>
      <c r="O28" s="123" t="s">
        <v>159</v>
      </c>
      <c r="P28" s="123" t="s">
        <v>427</v>
      </c>
      <c r="Q28" s="123" t="s">
        <v>334</v>
      </c>
      <c r="R28" s="123" t="s">
        <v>335</v>
      </c>
      <c r="S28" s="123" t="s">
        <v>336</v>
      </c>
      <c r="T28" s="123" t="s">
        <v>337</v>
      </c>
      <c r="U28" s="123" t="s">
        <v>338</v>
      </c>
    </row>
    <row r="29" spans="1:22" ht="20.100000000000001" customHeight="1" x14ac:dyDescent="0.25">
      <c r="D29" s="15" t="str">
        <f>INDEX(X_Table_Dairy_ProductionSystems_Method1,3,1)</f>
        <v>Milking shed</v>
      </c>
      <c r="E29" s="15" t="s">
        <v>75</v>
      </c>
      <c r="F29" s="15" cm="1">
        <f t="array" ref="F29">MMS_Dairy_LeachingAndRunoff_Equations.VEERG_4_3_1_6__2_MassOfNitrogenLostToLeachingAndRunoffFromSolidStorage(F23,$J$14,$J$15)</f>
        <v>15.969842273898667</v>
      </c>
      <c r="G29" s="15" cm="1">
        <f t="array" ref="G29">MMS_Dairy_LeachingAndRunoff_Equations.VEERG_4_3_1_6__2_MassOfNitrogenLostToLeachingAndRunoffFromSolidStorage(G23,$J$14,$J$15)</f>
        <v>7.2943161071128308</v>
      </c>
      <c r="H29" s="15" cm="1">
        <f t="array" ref="H29">MMS_Dairy_LeachingAndRunoff_Equations.VEERG_4_3_1_6__2_MassOfNitrogenLostToLeachingAndRunoffFromSolidStorage(H23,$J$14,$J$15)</f>
        <v>2.9052489649537363</v>
      </c>
      <c r="I29" s="15" cm="1">
        <f t="array" ref="I29">MMS_Dairy_LeachingAndRunoff_Equations.VEERG_4_3_1_6__2_MassOfNitrogenLostToLeachingAndRunoffFromSolidStorage(I23,$J$14,$J$15)</f>
        <v>9.1692438295947358</v>
      </c>
      <c r="J29" s="15" cm="1">
        <f t="array" ref="J29">MMS_Dairy_LeachingAndRunoff_Equations.VEERG_4_3_1_6__2_MassOfNitrogenLostToLeachingAndRunoffFromSolidStorage(J23,$J$14,$J$15)</f>
        <v>3.8385142831622159</v>
      </c>
      <c r="K29" s="16" t="str">
        <f>$E$11</f>
        <v>kg N</v>
      </c>
      <c r="O29" s="15" t="str">
        <f>INDEX(X_Table_Dairy_ProductionSystems_Method1,3,1)</f>
        <v>Milking shed</v>
      </c>
      <c r="P29" s="15" t="s">
        <v>75</v>
      </c>
      <c r="Q29" s="15" cm="1">
        <f t="array" ref="Q29">MMS_Dairy_LeachingAndRunoff_Equations.VEERG_4_3_1_6__2_MassOfNitrogenLostToLeachingAndRunoffFromSolidStorage(Q23,$J$14,$J$15)</f>
        <v>15.969842273898667</v>
      </c>
      <c r="R29" s="15" cm="1">
        <f t="array" ref="R29">MMS_Dairy_LeachingAndRunoff_Equations.VEERG_4_3_1_6__2_MassOfNitrogenLostToLeachingAndRunoffFromSolidStorage(R23,$J$14,$J$15)</f>
        <v>7.2943161071128308</v>
      </c>
      <c r="S29" s="15" cm="1">
        <f t="array" ref="S29">MMS_Dairy_LeachingAndRunoff_Equations.VEERG_4_3_1_6__2_MassOfNitrogenLostToLeachingAndRunoffFromSolidStorage(S23,$J$14,$J$15)</f>
        <v>2.9052489649537363</v>
      </c>
      <c r="T29" s="15" cm="1">
        <f t="array" ref="T29">MMS_Dairy_LeachingAndRunoff_Equations.VEERG_4_3_1_6__2_MassOfNitrogenLostToLeachingAndRunoffFromSolidStorage(T23,$J$14,$J$15)</f>
        <v>9.1692438295947358</v>
      </c>
      <c r="U29" s="15" cm="1">
        <f t="array" ref="U29">MMS_Dairy_LeachingAndRunoff_Equations.VEERG_4_3_1_6__2_MassOfNitrogenLostToLeachingAndRunoffFromSolidStorage(U23,$J$14,$J$15)</f>
        <v>3.8385142831622159</v>
      </c>
      <c r="V29" s="16" t="str">
        <f>$E$11</f>
        <v>kg N</v>
      </c>
    </row>
    <row r="30" spans="1:22" ht="20.100000000000001" customHeight="1" x14ac:dyDescent="0.25">
      <c r="A30" s="6" t="s">
        <v>2</v>
      </c>
      <c r="D30" s="15" t="str">
        <f>INDEX(X_Table_Dairy_ProductionSystems_Method1,4,1)</f>
        <v>Feed pad</v>
      </c>
      <c r="E30" s="15" t="s">
        <v>75</v>
      </c>
      <c r="F30" s="15" cm="1">
        <f t="array" ref="F30">MMS_Dairy_LeachingAndRunoff_Equations.VEERG_4_3_1_6__2_MassOfNitrogenLostToLeachingAndRunoffFromSolidStorage(F24,$J$14,$J$15)</f>
        <v>45.223689711994858</v>
      </c>
      <c r="G30" s="15" cm="1">
        <f t="array" ref="G30">MMS_Dairy_LeachingAndRunoff_Equations.VEERG_4_3_1_6__2_MassOfNitrogenLostToLeachingAndRunoffFromSolidStorage(G24,$J$14,$J$15)</f>
        <v>20.656176976051334</v>
      </c>
      <c r="H30" s="15" cm="1">
        <f t="array" ref="H30">MMS_Dairy_LeachingAndRunoff_Equations.VEERG_4_3_1_6__2_MassOfNitrogenLostToLeachingAndRunoffFromSolidStorage(H24,$J$14,$J$15)</f>
        <v>8.2271368416644446</v>
      </c>
      <c r="I30" s="15" cm="1">
        <f t="array" ref="I30">MMS_Dairy_LeachingAndRunoff_Equations.VEERG_4_3_1_6__2_MassOfNitrogenLostToLeachingAndRunoffFromSolidStorage(I24,$J$14,$J$15)</f>
        <v>25.965631390170547</v>
      </c>
      <c r="J30" s="15" cm="1">
        <f t="array" ref="J30">MMS_Dairy_LeachingAndRunoff_Equations.VEERG_4_3_1_6__2_MassOfNitrogenLostToLeachingAndRunoffFromSolidStorage(J24,$J$14,$J$15)</f>
        <v>10.869974538227549</v>
      </c>
      <c r="K30" s="16"/>
      <c r="O30" s="15" t="str">
        <f>INDEX(X_Table_Dairy_ProductionSystems_Method1,4,1)</f>
        <v>Feed pad</v>
      </c>
      <c r="P30" s="15" t="s">
        <v>75</v>
      </c>
      <c r="Q30" s="15" cm="1">
        <f t="array" ref="Q30">MMS_Dairy_LeachingAndRunoff_Equations.VEERG_4_3_1_6__2_MassOfNitrogenLostToLeachingAndRunoffFromSolidStorage(Q24,$J$14,$J$15)</f>
        <v>45.223689711994858</v>
      </c>
      <c r="R30" s="15" cm="1">
        <f t="array" ref="R30">MMS_Dairy_LeachingAndRunoff_Equations.VEERG_4_3_1_6__2_MassOfNitrogenLostToLeachingAndRunoffFromSolidStorage(R24,$J$14,$J$15)</f>
        <v>20.656176976051334</v>
      </c>
      <c r="S30" s="15" cm="1">
        <f t="array" ref="S30">MMS_Dairy_LeachingAndRunoff_Equations.VEERG_4_3_1_6__2_MassOfNitrogenLostToLeachingAndRunoffFromSolidStorage(S24,$J$14,$J$15)</f>
        <v>8.2271368416644446</v>
      </c>
      <c r="T30" s="15" cm="1">
        <f t="array" ref="T30">MMS_Dairy_LeachingAndRunoff_Equations.VEERG_4_3_1_6__2_MassOfNitrogenLostToLeachingAndRunoffFromSolidStorage(T24,$J$14,$J$15)</f>
        <v>25.965631390170547</v>
      </c>
      <c r="U30" s="15" cm="1">
        <f t="array" ref="U30">MMS_Dairy_LeachingAndRunoff_Equations.VEERG_4_3_1_6__2_MassOfNitrogenLostToLeachingAndRunoffFromSolidStorage(U24,$J$14,$J$15)</f>
        <v>10.869974538227549</v>
      </c>
      <c r="V30" s="16"/>
    </row>
    <row r="31" spans="1:22" ht="20.100000000000001" customHeight="1" x14ac:dyDescent="0.25">
      <c r="A31" s="5" t="str">
        <f>HYPERLINK("#'3.3.1.1-2 Enteric Methane'!A1", "3.3.1.1-2 Enteric methane")</f>
        <v>3.3.1.1-2 Enteric methane</v>
      </c>
    </row>
    <row r="32" spans="1:22" ht="20.100000000000001" customHeight="1" x14ac:dyDescent="0.25">
      <c r="A32" s="5" t="str">
        <f>HYPERLINK("#'4.3.1.1-2 Methane'!A1", "4.3.1.1-2 Manure methane")</f>
        <v>4.3.1.1-2 Manure methane</v>
      </c>
    </row>
    <row r="33" spans="1:23" ht="20.100000000000001" customHeight="1" x14ac:dyDescent="0.25">
      <c r="A33" s="5" t="str">
        <f>HYPERLINK("#'4.3.1.3-4 Direct N20'!A1", "4.3.1.3-4 Direct N20")</f>
        <v>4.3.1.3-4 Direct N20</v>
      </c>
      <c r="C33" s="88"/>
      <c r="D33" s="88"/>
      <c r="E33" s="88"/>
      <c r="F33" s="88"/>
      <c r="G33" s="88"/>
      <c r="H33" s="88"/>
      <c r="I33" s="88"/>
      <c r="J33" s="88"/>
      <c r="K33" s="88"/>
      <c r="L33" s="88"/>
      <c r="N33" s="88"/>
      <c r="O33" s="88"/>
      <c r="P33" s="88"/>
      <c r="Q33" s="88"/>
      <c r="R33" s="88"/>
      <c r="S33" s="88"/>
      <c r="T33" s="88"/>
      <c r="U33" s="88"/>
      <c r="V33" s="88"/>
      <c r="W33" s="88"/>
    </row>
    <row r="34" spans="1:23" ht="20.100000000000001" customHeight="1" x14ac:dyDescent="0.25">
      <c r="A34" s="5" t="str">
        <f>HYPERLINK("#'4.3.1.5 Atmos deposition'!A1", "4.3.1.5 Atmos deposition")</f>
        <v>4.3.1.5 Atmos deposition</v>
      </c>
      <c r="D34" s="2" t="str" cm="1">
        <f t="array" ref="D34">MMS_Dairy_LeachingAndRunoff_Equations.VEERG_4_3_1_6__1_AnnualEmissionsFromLeachingAndRunoffFromMMS_Title()</f>
        <v>Annual emissions from leaching and runoff from each MMS</v>
      </c>
    </row>
    <row r="35" spans="1:23" ht="20.100000000000001" customHeight="1" x14ac:dyDescent="0.25">
      <c r="A35" s="118" t="str">
        <f>HYPERLINK("#'4.3.1.6-7 Leaching and runoff'!A1", "4.3.1.6-7 Leaching &amp; runoff")</f>
        <v>4.3.1.6-7 Leaching &amp; runoff</v>
      </c>
      <c r="D35" s="17" t="str" cm="1">
        <f t="array" ref="D35">MMS_Dairy_LeachingAndRunoff_Equations.VEERG_4_3_1_6__1_AnnualEmissionsFromLeachingAndRunoffFromMMS_Source()</f>
        <v>VEERG 2026: 4.3.1.6, Equation (1)</v>
      </c>
    </row>
    <row r="36" spans="1:23" ht="20.100000000000001" customHeight="1" x14ac:dyDescent="0.25">
      <c r="A36" s="5" t="str">
        <f>HYPERLINK("#'4.3.1.8 Manure applied to soils'!A1", "4.3.1.8 Manure applied to soils")</f>
        <v>4.3.1.8 Manure applied to soils</v>
      </c>
      <c r="D36" s="117" t="s">
        <v>382</v>
      </c>
      <c r="E36" s="117" t="str" cm="1">
        <f t="array" aca="1" ref="E36" ca="1">Common_InputFunctions.Utility_DisplayFunctionName(J49)</f>
        <v>=MMS_Dairy_LeachingAndRunoff_Equations.VEERG_4_3_1_6__1_AnnualEmissionsFromLeachingAndRunoffFromMMS</v>
      </c>
    </row>
    <row r="37" spans="1:23" ht="20.100000000000001" customHeight="1" x14ac:dyDescent="0.25">
      <c r="A37" s="5" t="str">
        <f>HYPERLINK("#'4.3.1.9 Soil direct N2O'!A1", "4.3.1.9 Soil direct N2O")</f>
        <v>4.3.1.9 Soil direct N2O</v>
      </c>
    </row>
    <row r="38" spans="1:23" ht="20.100000000000001" customHeight="1" x14ac:dyDescent="0.25">
      <c r="A38" s="5" t="str">
        <f>HYPERLINK("#'4.3.1.10-11 Soil Atmos Dep'!A1", "4.3.1.10-11 Soil Atmos Deposition")</f>
        <v>4.3.1.10-11 Soil Atmos Deposition</v>
      </c>
      <c r="D38" s="2"/>
    </row>
    <row r="39" spans="1:23" ht="20.100000000000001" customHeight="1" x14ac:dyDescent="0.25">
      <c r="A39" s="5" t="str">
        <f>HYPERLINK("#'4.3.1.12-13 Soil leach runoff'!A1", "4.3.1.12-13 Soil leach &amp; runoff")</f>
        <v>4.3.1.12-13 Soil leach &amp; runoff</v>
      </c>
      <c r="D39" s="76" t="s">
        <v>383</v>
      </c>
      <c r="E39" s="1" t="str" cm="1">
        <f t="array" ref="E39">MMS_Dairy_LeachingAndRunoff_Equations.VEERG_4_3_1_6__1_AnnualEmissionsFromLeachingAndRunoffFromMMS_Variable()</f>
        <v>E_N2Oleach</v>
      </c>
    </row>
    <row r="40" spans="1:23" ht="20.100000000000001" customHeight="1" x14ac:dyDescent="0.25">
      <c r="A40" s="5" t="str">
        <f>HYPERLINK("#'5.1.1.1-2 Inorganic fert N2O'!A1", "5.1.1.1-2 Inorganic fert N2O")</f>
        <v>5.1.1.1-2 Inorganic fert N2O</v>
      </c>
      <c r="D40" s="76" t="s">
        <v>118</v>
      </c>
      <c r="E40" s="9" t="str" cm="1">
        <f t="array" ref="E40">MMS_Dairy_LeachingAndRunoff_Equations.VEERG_4_3_1_6__1_AnnualEmissionsFromLeachingAndRunoffFromMMS_Unit()</f>
        <v>t N2O</v>
      </c>
    </row>
    <row r="41" spans="1:23" ht="20.100000000000001" customHeight="1" x14ac:dyDescent="0.25">
      <c r="A41" s="5" t="str">
        <f>HYPERLINK("#'5.1.1.3-4 Inorganic fert CO2'!A1", "5.1.1.3-4 Inorganic fert CO2")</f>
        <v>5.1.1.3-4 Inorganic fert CO2</v>
      </c>
    </row>
    <row r="42" spans="1:23" ht="20.100000000000001" customHeight="1" x14ac:dyDescent="0.25">
      <c r="A42" s="5" t="str">
        <f>HYPERLINK("#'5.2.1.1-2 Organic Fert N2O'!A1", "5.2.1.1-2 Organic fert N2O")</f>
        <v>5.2.1.1-2 Organic fert N2O</v>
      </c>
      <c r="D42" s="119" t="str" cm="1">
        <f t="array" ref="D42:E44">_xlfn.CHOOSECOLS(MMS_Dairy_LeachingAndRunoff_Equations.VEERG_4_3_1_6__1_AnnualEmissionsFromLeachingAndRunoffFromMMS_Arguments(),1,2)</f>
        <v>MNLeach_jm</v>
      </c>
      <c r="E42" s="124" t="str">
        <v>mass of N lost through leaching and runoff</v>
      </c>
      <c r="F42" s="125"/>
      <c r="G42" s="119" t="str" cm="1">
        <f t="array" ref="G42:H44">_xlfn.CHOOSECOLS(MMS_Dairy_LeachingAndRunoff_Equations.VEERG_4_3_1_6__1_AnnualEmissionsFromLeachingAndRunoffFromMMS_Arguments(),3,4)</f>
        <v>kg N</v>
      </c>
      <c r="H42" s="127" t="str">
        <v>Calculated from 4.3.1.6 (2)</v>
      </c>
      <c r="I42" s="126" t="str" cm="1">
        <f t="array" aca="1" ref="I42" ca="1">HYPERLINK(Common_InputFunctions.Utility_SourceHyperlink($D$26),$D$26)</f>
        <v>M1_Table_MN_leach_j_m-4</v>
      </c>
    </row>
    <row r="43" spans="1:23" ht="20.100000000000001" customHeight="1" x14ac:dyDescent="0.25">
      <c r="A43" s="5" t="str">
        <f>HYPERLINK("#'5.3.1.1-2 Lime CO2'!A1", "5.3.1.1-2 Lime CO2")</f>
        <v>5.3.1.1-2 Lime CO2</v>
      </c>
      <c r="D43" s="119" t="str">
        <v>EF_leach</v>
      </c>
      <c r="E43" s="124" t="str">
        <v>nitrous oxide emission factor for leaching and runoff</v>
      </c>
      <c r="F43" s="125"/>
      <c r="G43" s="119" t="str">
        <v>kg N2O-N/kg N</v>
      </c>
      <c r="H43" s="127" t="str">
        <v>Constant</v>
      </c>
      <c r="I43" s="119">
        <f>SourceData_Dairy_EmissionFactorForLeachingAndRunoff_Data</f>
        <v>1.0999999999999999E-2</v>
      </c>
    </row>
    <row r="44" spans="1:23" ht="20.100000000000001" customHeight="1" x14ac:dyDescent="0.25">
      <c r="A44" s="5" t="str">
        <f>HYPERLINK("#'5.4.1.1-4 Atmos deposition'!A1", "5.4.1.1-4 Atmos. deposition")</f>
        <v>5.4.1.1-4 Atmos. deposition</v>
      </c>
      <c r="D44" s="119" t="str">
        <v>C_N2O</v>
      </c>
      <c r="E44" s="124" t="str">
        <v>factor to convert elemental mass of N2O to molecular mass</v>
      </c>
      <c r="F44" s="125"/>
      <c r="G44" s="119" t="str">
        <v/>
      </c>
      <c r="H44" s="127" t="str">
        <v>Constant</v>
      </c>
      <c r="I44" s="119">
        <f>Common_InputFunctions.Utility_LookupValueInTableNumber("N2O",Table_GasToMolecularConversionFactor[Gas],Table_GasToMolecularConversionFactor[Conversion factor combined])</f>
        <v>1.5714285714285714</v>
      </c>
    </row>
    <row r="45" spans="1:23" ht="20.100000000000001" customHeight="1" x14ac:dyDescent="0.25">
      <c r="A45" s="5" t="str">
        <f>HYPERLINK("#'5.5.1.1-2 Leaching and runoff'!A1", "5.5.1.1-2 Leaching &amp; runoff")</f>
        <v>5.5.1.1-2 Leaching &amp; runoff</v>
      </c>
    </row>
    <row r="46" spans="1:23" ht="20.100000000000001" customHeight="1" x14ac:dyDescent="0.25">
      <c r="A46" s="5" t="str">
        <f>HYPERLINK("#'6.2.1.1-2 Pasture residue N2O'!A1", "6.2.1.1-2 Pasture residue N2O")</f>
        <v>6.2.1.1-2 Pasture residue N2O</v>
      </c>
      <c r="D46" s="121" t="s">
        <v>553</v>
      </c>
      <c r="O46" s="121" t="s">
        <v>554</v>
      </c>
    </row>
    <row r="47" spans="1:23" ht="20.100000000000001" customHeight="1" x14ac:dyDescent="0.25">
      <c r="A47" s="5" t="str">
        <f>HYPERLINK("#'6.3.1.1-2 Leach runoff pasture'!A1", "6.3.1.1-2 Leach &amp; runoff (pasture)")</f>
        <v>6.3.1.1-2 Leach &amp; runoff (pasture)</v>
      </c>
      <c r="D47" s="122" t="s">
        <v>555</v>
      </c>
      <c r="O47" s="122" t="s">
        <v>556</v>
      </c>
    </row>
    <row r="48" spans="1:23" ht="20.100000000000001" customHeight="1" x14ac:dyDescent="0.25">
      <c r="A48" s="5" t="str">
        <f>HYPERLINK("#'8.1.1.1-2 Transport fuel'!A1", "8.1.1.1-2 Transport fuel")</f>
        <v>8.1.1.1-2 Transport fuel</v>
      </c>
      <c r="D48" s="123" t="s">
        <v>159</v>
      </c>
      <c r="E48" s="123" t="s">
        <v>427</v>
      </c>
      <c r="F48" s="123" t="s">
        <v>334</v>
      </c>
      <c r="G48" s="123" t="s">
        <v>335</v>
      </c>
      <c r="H48" s="123" t="s">
        <v>336</v>
      </c>
      <c r="I48" s="123" t="s">
        <v>337</v>
      </c>
      <c r="J48" s="123" t="s">
        <v>338</v>
      </c>
      <c r="O48" s="123" t="s">
        <v>159</v>
      </c>
      <c r="P48" s="123" t="s">
        <v>427</v>
      </c>
      <c r="Q48" s="123" t="s">
        <v>334</v>
      </c>
      <c r="R48" s="123" t="s">
        <v>335</v>
      </c>
      <c r="S48" s="123" t="s">
        <v>336</v>
      </c>
      <c r="T48" s="123" t="s">
        <v>337</v>
      </c>
      <c r="U48" s="123" t="s">
        <v>338</v>
      </c>
    </row>
    <row r="49" spans="1:22" ht="20.100000000000001" customHeight="1" x14ac:dyDescent="0.25">
      <c r="A49" s="5" t="str">
        <f>HYPERLINK("#'8.2.1.1-2 Stationary fuel'!A1", "8.2.1.1-2 Stationary fuel")</f>
        <v>8.2.1.1-2 Stationary fuel</v>
      </c>
      <c r="D49" s="15" t="str">
        <f>INDEX(X_Table_Dairy_ProductionSystems_Method1,3,1)</f>
        <v>Milking shed</v>
      </c>
      <c r="E49" s="15" t="s">
        <v>75</v>
      </c>
      <c r="F49" s="15" cm="1">
        <f t="array" ref="F49">MMS_Dairy_LeachingAndRunoff_Equations.VEERG_4_3_1_6__1_AnnualEmissionsFromLeachingAndRunoffFromMMS(F29,$I$43,$I$44)</f>
        <v>2.7605013073453405E-4</v>
      </c>
      <c r="G49" s="15" cm="1">
        <f t="array" ref="G49">MMS_Dairy_LeachingAndRunoff_Equations.VEERG_4_3_1_6__1_AnnualEmissionsFromLeachingAndRunoffFromMMS(G29,$I$43,$I$44)</f>
        <v>1.2608746413723606E-4</v>
      </c>
      <c r="H49" s="15" cm="1">
        <f t="array" ref="H49">MMS_Dairy_LeachingAndRunoff_Equations.VEERG_4_3_1_6__1_AnnualEmissionsFromLeachingAndRunoffFromMMS(H29,$I$43,$I$44)</f>
        <v>5.0219303537057436E-5</v>
      </c>
      <c r="I49" s="15" cm="1">
        <f t="array" ref="I49">MMS_Dairy_LeachingAndRunoff_Equations.VEERG_4_3_1_6__1_AnnualEmissionsFromLeachingAndRunoffFromMMS(I29,$I$43,$I$44)</f>
        <v>1.5849692905442329E-4</v>
      </c>
      <c r="J49" s="15" cm="1">
        <f t="array" ref="J49">MMS_Dairy_LeachingAndRunoff_Equations.VEERG_4_3_1_6__1_AnnualEmissionsFromLeachingAndRunoffFromMMS(J29,$I$43,$I$44)</f>
        <v>6.6351461180375439E-5</v>
      </c>
      <c r="K49" s="16" t="str">
        <f>$E$40</f>
        <v>t N2O</v>
      </c>
      <c r="O49" s="15" t="str">
        <f>INDEX(X_Table_Dairy_ProductionSystems_Method1,3,1)</f>
        <v>Milking shed</v>
      </c>
      <c r="P49" s="15" t="s">
        <v>75</v>
      </c>
      <c r="Q49" s="15" cm="1">
        <f t="array" ref="Q49">MMS_Dairy_LeachingAndRunoff_Equations.VEERG_4_3_1_6__1_AnnualEmissionsFromLeachingAndRunoffFromMMS(Q29,$I$43,$I$44)</f>
        <v>2.7605013073453405E-4</v>
      </c>
      <c r="R49" s="15" cm="1">
        <f t="array" ref="R49">MMS_Dairy_LeachingAndRunoff_Equations.VEERG_4_3_1_6__1_AnnualEmissionsFromLeachingAndRunoffFromMMS(R29,$I$43,$I$44)</f>
        <v>1.2608746413723606E-4</v>
      </c>
      <c r="S49" s="15" cm="1">
        <f t="array" ref="S49">MMS_Dairy_LeachingAndRunoff_Equations.VEERG_4_3_1_6__1_AnnualEmissionsFromLeachingAndRunoffFromMMS(S29,$I$43,$I$44)</f>
        <v>5.0219303537057436E-5</v>
      </c>
      <c r="T49" s="15" cm="1">
        <f t="array" ref="T49">MMS_Dairy_LeachingAndRunoff_Equations.VEERG_4_3_1_6__1_AnnualEmissionsFromLeachingAndRunoffFromMMS(T29,$I$43,$I$44)</f>
        <v>1.5849692905442329E-4</v>
      </c>
      <c r="U49" s="15" cm="1">
        <f t="array" ref="U49">MMS_Dairy_LeachingAndRunoff_Equations.VEERG_4_3_1_6__1_AnnualEmissionsFromLeachingAndRunoffFromMMS(U29,$I$43,$I$44)</f>
        <v>6.6351461180375439E-5</v>
      </c>
      <c r="V49" s="16" t="str">
        <f>$E$40</f>
        <v>t N2O</v>
      </c>
    </row>
    <row r="50" spans="1:22" ht="20.100000000000001" customHeight="1" x14ac:dyDescent="0.25">
      <c r="A50" s="5" t="str">
        <f>HYPERLINK("#'9.1.1.1-2 Refrigerant use'!A1", "9.1.1.1-2 Refrigerant use")</f>
        <v>9.1.1.1-2 Refrigerant use</v>
      </c>
      <c r="D50" s="15" t="str">
        <f>INDEX(X_Table_Dairy_ProductionSystems_Method1,4,1)</f>
        <v>Feed pad</v>
      </c>
      <c r="E50" s="15" t="s">
        <v>75</v>
      </c>
      <c r="F50" s="15" cm="1">
        <f t="array" ref="F50">MMS_Dairy_LeachingAndRunoff_Equations.VEERG_4_3_1_6__1_AnnualEmissionsFromLeachingAndRunoffFromMMS(F30,$I$43,$I$44)</f>
        <v>7.8172377930733959E-4</v>
      </c>
      <c r="G50" s="15" cm="1">
        <f t="array" ref="G50">MMS_Dairy_LeachingAndRunoff_Equations.VEERG_4_3_1_6__1_AnnualEmissionsFromLeachingAndRunoffFromMMS(G30,$I$43,$I$44)</f>
        <v>3.5705677344317308E-4</v>
      </c>
      <c r="H50" s="15" cm="1">
        <f t="array" ref="H50">MMS_Dairy_LeachingAndRunoff_Equations.VEERG_4_3_1_6__1_AnnualEmissionsFromLeachingAndRunoffFromMMS(H30,$I$43,$I$44)</f>
        <v>1.4221193683448539E-4</v>
      </c>
      <c r="I50" s="15" cm="1">
        <f t="array" ref="I50">MMS_Dairy_LeachingAndRunoff_Equations.VEERG_4_3_1_6__1_AnnualEmissionsFromLeachingAndRunoffFromMMS(I30,$I$43,$I$44)</f>
        <v>4.4883448545866232E-4</v>
      </c>
      <c r="J50" s="15" cm="1">
        <f t="array" ref="J50">MMS_Dairy_LeachingAndRunoff_Equations.VEERG_4_3_1_6__1_AnnualEmissionsFromLeachingAndRunoffFromMMS(J30,$I$43,$I$44)</f>
        <v>1.8789527416079047E-4</v>
      </c>
      <c r="K50" s="16"/>
      <c r="O50" s="15" t="str">
        <f>INDEX(X_Table_Dairy_ProductionSystems_Method1,4,1)</f>
        <v>Feed pad</v>
      </c>
      <c r="P50" s="15" t="s">
        <v>75</v>
      </c>
      <c r="Q50" s="15" cm="1">
        <f t="array" ref="Q50">MMS_Dairy_LeachingAndRunoff_Equations.VEERG_4_3_1_6__1_AnnualEmissionsFromLeachingAndRunoffFromMMS(Q30,$I$43,$I$44)</f>
        <v>7.8172377930733959E-4</v>
      </c>
      <c r="R50" s="15" cm="1">
        <f t="array" ref="R50">MMS_Dairy_LeachingAndRunoff_Equations.VEERG_4_3_1_6__1_AnnualEmissionsFromLeachingAndRunoffFromMMS(R30,$I$43,$I$44)</f>
        <v>3.5705677344317308E-4</v>
      </c>
      <c r="S50" s="15" cm="1">
        <f t="array" ref="S50">MMS_Dairy_LeachingAndRunoff_Equations.VEERG_4_3_1_6__1_AnnualEmissionsFromLeachingAndRunoffFromMMS(S30,$I$43,$I$44)</f>
        <v>1.4221193683448539E-4</v>
      </c>
      <c r="T50" s="15" cm="1">
        <f t="array" ref="T50">MMS_Dairy_LeachingAndRunoff_Equations.VEERG_4_3_1_6__1_AnnualEmissionsFromLeachingAndRunoffFromMMS(T30,$I$43,$I$44)</f>
        <v>4.4883448545866232E-4</v>
      </c>
      <c r="U50" s="15" cm="1">
        <f t="array" ref="U50">MMS_Dairy_LeachingAndRunoff_Equations.VEERG_4_3_1_6__1_AnnualEmissionsFromLeachingAndRunoffFromMMS(U30,$I$43,$I$44)</f>
        <v>1.8789527416079047E-4</v>
      </c>
      <c r="V50" s="16"/>
    </row>
    <row r="51" spans="1:22" ht="20.100000000000001" customHeight="1" x14ac:dyDescent="0.25">
      <c r="A51" s="5" t="str">
        <f>HYPERLINK("#'10.1.1-2 Solid waste treatment'!A1", "10.1.1.1-2 Solid waste")</f>
        <v>10.1.1.1-2 Solid waste</v>
      </c>
    </row>
    <row r="52" spans="1:22" ht="20.100000000000001" customHeight="1" x14ac:dyDescent="0.25">
      <c r="A52" s="5" t="str">
        <f>HYPERLINK("#'14.1.1-2 Purchased electricity'!A1", "14.1.1-2 Purchased electricity")</f>
        <v>14.1.1-2 Purchased electricity</v>
      </c>
      <c r="D52" s="87" t="s">
        <v>543</v>
      </c>
      <c r="E52" s="90">
        <f>SUM(F49:J50)</f>
        <v>2.5949275378480772E-3</v>
      </c>
      <c r="F52" s="89" t="str">
        <f>$E$40</f>
        <v>t N2O</v>
      </c>
      <c r="O52" s="87" t="s">
        <v>543</v>
      </c>
      <c r="P52" s="90">
        <f>SUM(Q49:U50)</f>
        <v>2.5949275378480772E-3</v>
      </c>
      <c r="Q52" s="89" t="str">
        <f>$E$40</f>
        <v>t N2O</v>
      </c>
    </row>
    <row r="53" spans="1:22" ht="20.100000000000001" customHeight="1" x14ac:dyDescent="0.25">
      <c r="A53" s="5" t="str">
        <f>HYPERLINK("#'15 Scope 3'!A1", "15 Scope 3")</f>
        <v>15 Scope 3</v>
      </c>
    </row>
    <row r="54" spans="1:22" ht="20.100000000000001" customHeight="1" x14ac:dyDescent="0.25">
      <c r="A54" s="5" t="str">
        <f>HYPERLINK("#'Calcs - Manure sent off-site'!A1", "Calcs - Manure sent off-site")</f>
        <v>Calcs - Manure sent off-site</v>
      </c>
      <c r="D54" s="131" t="str" cm="1">
        <f t="array" ref="D54:E55">Common_Equations.Common_ConvertN2OToCO2e_Arguments()</f>
        <v>EN2O</v>
      </c>
      <c r="E54" s="134" t="str">
        <v>Nitrous oxide emissions (t N2O)</v>
      </c>
      <c r="F54" s="135"/>
      <c r="G54" s="15">
        <f>VEERG_4_3_1_6__1_AnnualEmissionsFromLeachingAndRunoffFromMMS_Result_Method1</f>
        <v>2.5949275378480772E-3</v>
      </c>
      <c r="O54" s="131" t="str" cm="1">
        <f t="array" ref="O54:P55">Common_Equations.Common_ConvertN2OToCO2e_Arguments()</f>
        <v>EN2O</v>
      </c>
      <c r="P54" s="134" t="str">
        <v>Nitrous oxide emissions (t N2O)</v>
      </c>
      <c r="Q54" s="135"/>
      <c r="R54" s="15">
        <f>VEERG_4_3_1_6__1_AnnualEmissionsFromLeachingAndRunoffFromMMS_Result_Method2</f>
        <v>2.5949275378480772E-3</v>
      </c>
    </row>
    <row r="55" spans="1:22" ht="20.100000000000001" customHeight="1" x14ac:dyDescent="0.25">
      <c r="D55" s="131" t="str">
        <v>GWPN2O</v>
      </c>
      <c r="E55" s="134" t="str">
        <v>Global warming potential for nitrous oxide (t CO2-e / t N2O)</v>
      </c>
      <c r="F55" s="135"/>
      <c r="G55" s="15">
        <f>Common_InputFunctions.Utility_LookupValueInTableNumber("N2O",Table_GWPData[Gas],Table_GWPData[CO2-e factor])</f>
        <v>265</v>
      </c>
      <c r="O55" s="131" t="str">
        <v>GWPN2O</v>
      </c>
      <c r="P55" s="134" t="str">
        <v>Global warming potential for nitrous oxide (t CO2-e / t N2O)</v>
      </c>
      <c r="Q55" s="135"/>
      <c r="R55" s="15">
        <f>Common_InputFunctions.Utility_LookupValueInTableNumber("N2O",Table_GWPData[Gas],Table_GWPData[CO2-e factor])</f>
        <v>265</v>
      </c>
    </row>
    <row r="56" spans="1:22" ht="20.100000000000001" customHeight="1" x14ac:dyDescent="0.25"/>
    <row r="57" spans="1:22" ht="20.100000000000001" customHeight="1" x14ac:dyDescent="0.25">
      <c r="A57" s="82" t="s">
        <v>1</v>
      </c>
      <c r="D57" s="88" t="s">
        <v>532</v>
      </c>
      <c r="E57" s="88" cm="1">
        <f t="array" ref="E57">Common_Equations.Common_ConvertN2OToCO2e(G54,G55)</f>
        <v>0.68765579752974049</v>
      </c>
      <c r="F57" s="93" t="str" cm="1">
        <f t="array" ref="F57">Common_Equations.Common_ConvertN2OToCO2e_Unit()</f>
        <v>t CO2e</v>
      </c>
      <c r="O57" s="88" t="s">
        <v>532</v>
      </c>
      <c r="P57" s="88" cm="1">
        <f t="array" ref="P57">Common_Equations.Common_ConvertN2OToCO2e(R54,R55)</f>
        <v>0.68765579752974049</v>
      </c>
      <c r="Q57" s="93" t="str" cm="1">
        <f t="array" ref="Q57">Common_Equations.Common_ConvertN2OToCO2e_Unit()</f>
        <v>t CO2e</v>
      </c>
    </row>
    <row r="58" spans="1:22" ht="20.100000000000001" customHeight="1" x14ac:dyDescent="0.25">
      <c r="A58" s="5" t="str">
        <f>HYPERLINK("#'Constants - Dairy'!A1", "Constants - Dairy")</f>
        <v>Constants - Dairy</v>
      </c>
    </row>
    <row r="59" spans="1:22" ht="20.100000000000001" customHeight="1" x14ac:dyDescent="0.25">
      <c r="A59" s="5" t="str">
        <f>HYPERLINK("#'Constants - Ag Residue'!A1", "Constants - Ag residue")</f>
        <v>Constants - Ag residue</v>
      </c>
    </row>
    <row r="60" spans="1:22" ht="20.100000000000001" customHeight="1" x14ac:dyDescent="0.25">
      <c r="A60" s="5" t="str">
        <f>HYPERLINK("#'Constants - Common Livestock'!A1", "Constants - Common Livestock")</f>
        <v>Constants - Common Livestock</v>
      </c>
    </row>
    <row r="61" spans="1:22" ht="20.100000000000001" customHeight="1" x14ac:dyDescent="0.25">
      <c r="A61" s="5" t="str">
        <f>HYPERLINK("#'Constants - Electricity'!A1", "Constants - Electricity")</f>
        <v>Constants - Electricity</v>
      </c>
    </row>
    <row r="62" spans="1:22" ht="20.100000000000001" customHeight="1" x14ac:dyDescent="0.25">
      <c r="A62" s="5" t="str">
        <f>HYPERLINK("#'Constants - Fertiliser'!A1", "Constants - Fertiliser")</f>
        <v>Constants - Fertiliser</v>
      </c>
    </row>
    <row r="63" spans="1:22" ht="20.100000000000001" customHeight="1" x14ac:dyDescent="0.25">
      <c r="A63" s="5" t="str">
        <f>HYPERLINK("#'Constants - Fuel'!A1", "Constants - Fuel")</f>
        <v>Constants - Fuel</v>
      </c>
    </row>
    <row r="64" spans="1:22" ht="20.100000000000001" customHeight="1" x14ac:dyDescent="0.25">
      <c r="A64" s="5" t="str">
        <f>HYPERLINK("#'Constants - Scope 3'!A1", "Constants - Scope 3")</f>
        <v>Constants - Scope 3</v>
      </c>
    </row>
    <row r="65" spans="1:1" ht="20.100000000000001" customHeight="1" x14ac:dyDescent="0.25">
      <c r="A65" s="5" t="str">
        <f>HYPERLINK("#'Constants - Common'!A1", "Constants - Common")</f>
        <v>Constants - Common</v>
      </c>
    </row>
    <row r="66" spans="1:1" ht="20.100000000000001" customHeight="1" x14ac:dyDescent="0.25">
      <c r="A66" s="5" t="str">
        <f>HYPERLINK("#'Constants - Refrigerants'!A1", "Constants - Refrigerants")</f>
        <v>Constants - Refrigerants</v>
      </c>
    </row>
    <row r="67" spans="1:1" ht="20.100000000000001" customHeight="1" x14ac:dyDescent="0.25">
      <c r="A67" s="5" t="str">
        <f>HYPERLINK("#'Constants - Solid Waste'!A1", "Constants - Solid Waste")</f>
        <v>Constants - Solid Waste</v>
      </c>
    </row>
    <row r="68" spans="1:1" ht="20.100000000000001" customHeight="1" x14ac:dyDescent="0.25">
      <c r="A68" s="5" t="str">
        <f>HYPERLINK("#'Acknowledgements'!A1", "Acknowledgements")</f>
        <v>Acknowledgements</v>
      </c>
    </row>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EC4F3398-FA2A-41C1-B068-84C6FA40DDAD}"/>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9B42E-37CE-44FE-96C6-172C8CFFDC7F}">
  <sheetPr>
    <tabColor rgb="FF008000"/>
  </sheetPr>
  <dimension ref="A1:W207"/>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style="138" customWidth="1"/>
    <col min="14" max="14" width="4.7109375" style="1" customWidth="1"/>
    <col min="15" max="22" width="30.7109375" style="1" customWidth="1"/>
    <col min="23" max="23" width="4.7109375" style="1" customWidth="1"/>
  </cols>
  <sheetData>
    <row r="1" spans="1:23" s="20" customFormat="1" ht="30" customHeight="1" x14ac:dyDescent="0.35">
      <c r="A1" s="10" t="e" vm="1">
        <v>#VALUE!</v>
      </c>
      <c r="C1" s="20" t="s">
        <v>557</v>
      </c>
      <c r="M1" s="138"/>
    </row>
    <row r="2" spans="1:23" s="3" customFormat="1" ht="20.100000000000001" customHeight="1" x14ac:dyDescent="0.25">
      <c r="A2"/>
      <c r="M2" s="138"/>
    </row>
    <row r="3" spans="1:23" ht="20.100000000000001" customHeight="1" x14ac:dyDescent="0.25">
      <c r="A3" s="5" t="str">
        <f>HYPERLINK("#'Home'!A1", "Home")</f>
        <v>Home</v>
      </c>
      <c r="C3" s="22"/>
      <c r="D3" s="22" t="s">
        <v>129</v>
      </c>
      <c r="E3" s="22"/>
      <c r="F3" s="22"/>
      <c r="G3" s="22"/>
      <c r="H3" s="22"/>
      <c r="I3" s="22"/>
      <c r="J3" s="22"/>
      <c r="K3" s="22"/>
      <c r="L3" s="22"/>
      <c r="N3" s="22"/>
      <c r="O3" s="22" t="s">
        <v>130</v>
      </c>
      <c r="P3" s="22"/>
      <c r="Q3" s="22"/>
      <c r="R3" s="22"/>
      <c r="S3" s="22"/>
      <c r="T3" s="22"/>
      <c r="U3" s="22"/>
      <c r="V3" s="22"/>
      <c r="W3" s="22"/>
    </row>
    <row r="4" spans="1:23" ht="20.100000000000001" customHeight="1" x14ac:dyDescent="0.25">
      <c r="A4" s="5" t="str">
        <f>HYPERLINK("#'Results - Activity period'!A1", "Results - Activity period")</f>
        <v>Results - Activity period</v>
      </c>
    </row>
    <row r="5" spans="1:23" ht="20.100000000000001" customHeight="1" x14ac:dyDescent="0.25">
      <c r="A5" s="5" t="str">
        <f>HYPERLINK("#'Results - Product EI'!A1", "Results - Product Emissions Intensity")</f>
        <v>Results - Product Emissions Intensity</v>
      </c>
      <c r="D5" s="2" t="str" cm="1">
        <f t="array" ref="D5">MMS_Dairy_ManureAppliedToSoils_Equations.VEERG_4_3_1_8__1_MassOfNitrogenAppliedToSoilsScope1_Title()</f>
        <v>Mass of nitrogen from manure applied to soils for scope 1 emissions</v>
      </c>
    </row>
    <row r="6" spans="1:23" ht="20.100000000000001" customHeight="1" x14ac:dyDescent="0.25">
      <c r="A6" s="5" t="str">
        <f>HYPERLINK("#'Results'!A1", "Results")</f>
        <v>Results</v>
      </c>
      <c r="D6" s="17" t="str" cm="1">
        <f t="array" ref="D6">MMS_Dairy_ManureAppliedToSoils_Equations.VEERG_4_3_1_8__1_MassOfNitrogenAppliedToSoilsScope1_Source()</f>
        <v>VEERG 2026: 4.3.1.8, Equation (1)</v>
      </c>
    </row>
    <row r="7" spans="1:23" ht="20.100000000000001" customHeight="1" x14ac:dyDescent="0.25">
      <c r="D7" s="117" t="s">
        <v>382</v>
      </c>
      <c r="E7" s="117" t="str" cm="1">
        <f t="array" aca="1" ref="E7" ca="1">Common_InputFunctions.Utility_DisplayFunctionName($F$76)</f>
        <v>=MMS_Dairy_ManureAppliedToSoils_Equations.VEERG_4_3_1_8__1_MassOfNitrogenAppliedToSoilsScope1</v>
      </c>
    </row>
    <row r="8" spans="1:23" ht="20.100000000000001" customHeight="1" x14ac:dyDescent="0.25"/>
    <row r="9" spans="1:23" ht="20.100000000000001" customHeight="1" x14ac:dyDescent="0.25">
      <c r="A9" s="7" t="s">
        <v>0</v>
      </c>
    </row>
    <row r="10" spans="1:23" ht="20.100000000000001" customHeight="1" x14ac:dyDescent="0.25">
      <c r="A10" s="5" t="str">
        <f>HYPERLINK("#'Input - Enterprise'!A1", "Enterprise")</f>
        <v>Enterprise</v>
      </c>
      <c r="D10" s="76" t="s">
        <v>383</v>
      </c>
      <c r="E10" s="1" t="str" cm="1">
        <f t="array" ref="E10">MMS_Dairy_ManureAppliedToSoils_Equations.VEERG_4_3_1_8__1_MassOfNitrogenAppliedToSoilsScope1_Variable()</f>
        <v>MNSoil_scope1</v>
      </c>
    </row>
    <row r="11" spans="1:23" ht="20.100000000000001" customHeight="1" x14ac:dyDescent="0.25">
      <c r="A11" s="5" t="str">
        <f>HYPERLINK("#'Input - Site'!A1", "Site")</f>
        <v>Site</v>
      </c>
      <c r="D11" s="76" t="s">
        <v>118</v>
      </c>
      <c r="E11" s="9" t="str" cm="1">
        <f t="array" ref="E11">MMS_Dairy_ManureAppliedToSoils_Equations.VEERG_4_3_1_8__1_MassOfNitrogenAppliedToSoilsScope1_Unit()</f>
        <v>kg N</v>
      </c>
    </row>
    <row r="12" spans="1:23" ht="20.100000000000001" customHeight="1" x14ac:dyDescent="0.25">
      <c r="A12" s="5" t="str">
        <f>HYPERLINK("#'Input - Dairy'!A1", "Dairy")</f>
        <v>Dairy</v>
      </c>
    </row>
    <row r="13" spans="1:23" ht="20.100000000000001" customHeight="1" x14ac:dyDescent="0.25">
      <c r="A13" s="5" t="str">
        <f>HYPERLINK("#'Input - Livestock sales'!A1", "Livestock sales")</f>
        <v>Livestock sales</v>
      </c>
      <c r="D13" s="119" t="str" cm="1">
        <f t="array" ref="D13:E17">_xlfn.CHOOSECOLS(MMS_Dairy_ManureAppliedToSoils_Equations.VEERG_4_3_1_8__1_MassOfNitrogenAppliedToSoilsScope1_Arguments(),1,2)</f>
        <v>MN_jm</v>
      </c>
      <c r="E13" s="124" t="str">
        <v>total nitrogen in each MMS for dairy cattle classes</v>
      </c>
      <c r="F13" s="125"/>
      <c r="G13" s="119" t="str" cm="1">
        <f t="array" ref="G13:H17">_xlfn.CHOOSECOLS(MMS_Dairy_ManureAppliedToSoils_Equations.VEERG_4_3_1_8__1_MassOfNitrogenAppliedToSoilsScope1_Arguments(),3,4)</f>
        <v>kg N</v>
      </c>
      <c r="H13" s="127" t="str">
        <v>Calculated from 4.3.1.3 (2)</v>
      </c>
      <c r="I13" s="126" t="str" cm="1">
        <f t="array" aca="1" ref="I13" ca="1">HYPERLINK(Common_InputFunctions.Utility_SourceHyperlink($D$37),$D$37)</f>
        <v>M1_Table_MN_j_m</v>
      </c>
    </row>
    <row r="14" spans="1:23" ht="20.100000000000001" customHeight="1" x14ac:dyDescent="0.25">
      <c r="A14" s="5" t="str">
        <f>HYPERLINK("#'Input - Dairy cattle purchases'!A1", "Dairy cattle purchases")</f>
        <v>Dairy cattle purchases</v>
      </c>
      <c r="D14" s="119" t="str">
        <v>EF_m</v>
      </c>
      <c r="E14" s="124" t="str">
        <v>emission factor for nitrous oxide emissions per MMS</v>
      </c>
      <c r="F14" s="125"/>
      <c r="G14" s="119" t="str">
        <v>kg N2O-N/kg N</v>
      </c>
      <c r="H14" s="127" t="str">
        <v>Constant</v>
      </c>
      <c r="I14" s="126" t="str" cm="1">
        <f t="array" aca="1" ref="I14" ca="1">HYPERLINK(Common_InputFunctions.Utility_SourceHyperlink($D$19),$D$19)</f>
        <v>Table_EF_m</v>
      </c>
    </row>
    <row r="15" spans="1:23" ht="20.100000000000001" customHeight="1" x14ac:dyDescent="0.25">
      <c r="A15" s="5" t="str">
        <f>HYPERLINK("#'Input - Pasture'!A1", "Pasture")</f>
        <v>Pasture</v>
      </c>
      <c r="D15" s="119" t="str">
        <v>FracGASM_m</v>
      </c>
      <c r="E15" s="124" t="str">
        <v>fraction of N volatilised from MMS</v>
      </c>
      <c r="F15" s="125"/>
      <c r="G15" s="119" t="str">
        <v>fraction</v>
      </c>
      <c r="H15" s="127" t="str">
        <v>Constant</v>
      </c>
      <c r="I15" s="126" t="str" cm="1">
        <f t="array" aca="1" ref="I15" ca="1">HYPERLINK(Common_InputFunctions.Utility_SourceHyperlink($D$28),$D$28)</f>
        <v>Table_FracGASM_m</v>
      </c>
    </row>
    <row r="16" spans="1:23" ht="20.100000000000001" customHeight="1" x14ac:dyDescent="0.25">
      <c r="A16" s="5" t="str">
        <f>HYPERLINK("#'Input - Fert Prod System'!A1", "Fert Prod System")</f>
        <v>Fert Prod System</v>
      </c>
      <c r="D16" s="119" t="str">
        <v>MNLeach_jm</v>
      </c>
      <c r="E16" s="124" t="str">
        <v>mass of N lost through leaching and runoff from each MMS</v>
      </c>
      <c r="F16" s="125"/>
      <c r="G16" s="119" t="str">
        <v>kg N</v>
      </c>
      <c r="H16" s="127" t="str">
        <v>Calculated from 4.3.1.6 (2)</v>
      </c>
      <c r="I16" s="126" t="str" cm="1">
        <f t="array" aca="1" ref="I16" ca="1">HYPERLINK(Common_InputFunctions.Utility_SourceHyperlink($D$49),$D$49)</f>
        <v>M1_Table_MN_leach_j_m</v>
      </c>
    </row>
    <row r="17" spans="1:9" ht="20.100000000000001" customHeight="1" x14ac:dyDescent="0.25">
      <c r="A17" s="5" t="str">
        <f>HYPERLINK("#'Input - Fertiliser'!A1", "Fertiliser")</f>
        <v>Fertiliser</v>
      </c>
      <c r="D17" s="119" t="str">
        <v>PF_scope</v>
      </c>
      <c r="E17" s="124" t="str">
        <v>fraction of manure applied to soil within farm boundary</v>
      </c>
      <c r="F17" s="125"/>
      <c r="G17" s="119" t="str">
        <v>fraction</v>
      </c>
      <c r="H17" s="120" t="str">
        <v>Input</v>
      </c>
      <c r="I17" s="126" t="str" cm="1">
        <f t="array" aca="1" ref="I17" ca="1">HYPERLINK(Common_InputFunctions.Utility_SourceHyperlink($D$61),$D$61)</f>
        <v>Table_PF_scope</v>
      </c>
    </row>
    <row r="18" spans="1:9" ht="20.100000000000001" customHeight="1" x14ac:dyDescent="0.25">
      <c r="A18" s="5" t="str">
        <f>HYPERLINK("#'Input - Fuel'!A1", "Fuel")</f>
        <v>Fuel</v>
      </c>
    </row>
    <row r="19" spans="1:9" ht="20.100000000000001" customHeight="1" x14ac:dyDescent="0.25">
      <c r="A19" s="5" t="str">
        <f>HYPERLINK("#'Input - Electricity'!A1", "Electricity")</f>
        <v>Electricity</v>
      </c>
      <c r="D19" s="121" t="s">
        <v>524</v>
      </c>
    </row>
    <row r="20" spans="1:9" ht="20.100000000000001" customHeight="1" x14ac:dyDescent="0.25">
      <c r="A20" s="5" t="str">
        <f>HYPERLINK("#'Input - Common farm inputs'!A1", "Common farm inputs")</f>
        <v>Common farm inputs</v>
      </c>
      <c r="D20" s="122" t="s">
        <v>525</v>
      </c>
    </row>
    <row r="21" spans="1:9" ht="20.100000000000001" customHeight="1" x14ac:dyDescent="0.25">
      <c r="A21" s="5" t="str">
        <f>HYPERLINK("#'Input - Crop pasture farm input'!A1", "Crop pasture farm input")</f>
        <v>Crop pasture farm input</v>
      </c>
      <c r="D21" s="123" t="s">
        <v>427</v>
      </c>
      <c r="E21" s="123" t="s">
        <v>526</v>
      </c>
    </row>
    <row r="22" spans="1:9" ht="20.100000000000001" customHeight="1" x14ac:dyDescent="0.25">
      <c r="A22" s="5" t="str">
        <f>HYPERLINK("#'Input - Livestock farm Inputs'!A1", "Livestock farm Inputs")</f>
        <v>Livestock farm Inputs</v>
      </c>
      <c r="D22" s="15" t="str" cm="1">
        <f t="array" ref="D22:D26">Table_SourceData_Dairy_EFmFracGASM[NIR reference]</f>
        <v>Pasture range and paddock</v>
      </c>
      <c r="E22" s="15" cm="1">
        <f t="array" ref="E22:E26">Table_SourceData_Dairy_EFmFracGASM[EFm]</f>
        <v>0</v>
      </c>
    </row>
    <row r="23" spans="1:9" ht="20.100000000000001" customHeight="1" x14ac:dyDescent="0.25">
      <c r="A23" s="5" t="str">
        <f>HYPERLINK("#'Input - Freight'!A1", "Freight")</f>
        <v>Freight</v>
      </c>
      <c r="D23" s="15" t="str">
        <v>Anaerobic lagoon</v>
      </c>
      <c r="E23" s="15">
        <v>0</v>
      </c>
    </row>
    <row r="24" spans="1:9" ht="20.100000000000001" customHeight="1" x14ac:dyDescent="0.25">
      <c r="A24" s="5" t="str">
        <f>HYPERLINK("#'Input - Solid waste'!A1", "Solid waste")</f>
        <v>Solid waste</v>
      </c>
      <c r="D24" s="15" t="str">
        <v>Sump and dispersal system</v>
      </c>
      <c r="E24" s="15">
        <v>0</v>
      </c>
    </row>
    <row r="25" spans="1:9" ht="20.100000000000001" customHeight="1" x14ac:dyDescent="0.25">
      <c r="A25" s="5" t="str">
        <f>HYPERLINK("#'Input - Manure sent off-site'!A1", "Manure sent off-site")</f>
        <v>Manure sent off-site</v>
      </c>
      <c r="D25" s="15" t="str">
        <v>Drains to paddock</v>
      </c>
      <c r="E25" s="15">
        <v>0</v>
      </c>
    </row>
    <row r="26" spans="1:9" ht="20.100000000000001" customHeight="1" x14ac:dyDescent="0.25">
      <c r="A26" s="5" t="str">
        <f>HYPERLINK("#'Input - Refrigerants'!A1", "Refrigerants")</f>
        <v>Refrigerants</v>
      </c>
      <c r="D26" s="15" t="str">
        <v>Solid storage</v>
      </c>
      <c r="E26" s="15">
        <v>5.0000000000000001E-3</v>
      </c>
    </row>
    <row r="27" spans="1:9" ht="20.100000000000001" customHeight="1" x14ac:dyDescent="0.25">
      <c r="A27" s="5" t="str">
        <f>HYPERLINK("#'Input - Data quality'!A1", "Data quality")</f>
        <v>Data quality</v>
      </c>
    </row>
    <row r="28" spans="1:9" ht="20.100000000000001" customHeight="1" x14ac:dyDescent="0.25">
      <c r="D28" s="121" t="s">
        <v>534</v>
      </c>
    </row>
    <row r="29" spans="1:9" ht="20.100000000000001" customHeight="1" x14ac:dyDescent="0.25">
      <c r="D29" s="122" t="s">
        <v>535</v>
      </c>
    </row>
    <row r="30" spans="1:9" ht="20.100000000000001" customHeight="1" x14ac:dyDescent="0.25">
      <c r="A30" s="6" t="s">
        <v>2</v>
      </c>
      <c r="D30" s="123" t="s">
        <v>427</v>
      </c>
      <c r="E30" s="123" t="s">
        <v>536</v>
      </c>
    </row>
    <row r="31" spans="1:9" ht="20.100000000000001" customHeight="1" x14ac:dyDescent="0.25">
      <c r="A31" s="5" t="str">
        <f>HYPERLINK("#'3.3.1.1-2 Enteric Methane'!A1", "3.3.1.1-2 Enteric methane")</f>
        <v>3.3.1.1-2 Enteric methane</v>
      </c>
      <c r="D31" s="15" t="str" cm="1">
        <f t="array" ref="D31:D35">Table_SourceData_Dairy_EFmFracGASM[NIR reference]</f>
        <v>Pasture range and paddock</v>
      </c>
      <c r="E31" s="15" cm="1">
        <f t="array" ref="E31:E35">Table_SourceData_Dairy_EFmFracGASM[FracGASMm]</f>
        <v>0</v>
      </c>
      <c r="F31" s="16" t="str">
        <f>'Constants - Dairy'!$D$84</f>
        <v>kg N2O-N/kg N excreted</v>
      </c>
    </row>
    <row r="32" spans="1:9" ht="20.100000000000001" customHeight="1" x14ac:dyDescent="0.25">
      <c r="A32" s="5" t="str">
        <f>HYPERLINK("#'4.3.1.1-2 Methane'!A1", "4.3.1.1-2 Manure methane")</f>
        <v>4.3.1.1-2 Manure methane</v>
      </c>
      <c r="D32" s="15" t="str">
        <v>Anaerobic lagoon</v>
      </c>
      <c r="E32" s="15">
        <v>0.35</v>
      </c>
      <c r="F32" s="16" t="str">
        <f>'Constants - Dairy'!$D$84</f>
        <v>kg N2O-N/kg N excreted</v>
      </c>
    </row>
    <row r="33" spans="1:22" ht="20.100000000000001" customHeight="1" x14ac:dyDescent="0.25">
      <c r="A33" s="5" t="str">
        <f>HYPERLINK("#'4.3.1.3-4 Direct N20'!A1", "4.3.1.3-4 Direct N20")</f>
        <v>4.3.1.3-4 Direct N20</v>
      </c>
      <c r="D33" s="15" t="str">
        <v>Sump and dispersal system</v>
      </c>
      <c r="E33" s="15">
        <v>7.0000000000000007E-2</v>
      </c>
      <c r="F33" s="16" t="str">
        <f>'Constants - Dairy'!$D$84</f>
        <v>kg N2O-N/kg N excreted</v>
      </c>
    </row>
    <row r="34" spans="1:22" ht="20.100000000000001" customHeight="1" x14ac:dyDescent="0.25">
      <c r="A34" s="5" t="str">
        <f>HYPERLINK("#'4.3.1.5 Atmos deposition'!A1", "4.3.1.5 Atmos deposition")</f>
        <v>4.3.1.5 Atmos deposition</v>
      </c>
      <c r="D34" s="15" t="str">
        <v>Drains to paddock</v>
      </c>
      <c r="E34" s="15">
        <v>0.2</v>
      </c>
      <c r="F34" s="16" t="str">
        <f>'Constants - Dairy'!$D$84</f>
        <v>kg N2O-N/kg N excreted</v>
      </c>
    </row>
    <row r="35" spans="1:22" ht="20.100000000000001" customHeight="1" x14ac:dyDescent="0.25">
      <c r="A35" s="5" t="str">
        <f>HYPERLINK("#'4.3.1.6-7 Leaching and runoff'!A1", "4.3.1.6-7 Leaching &amp; runoff")</f>
        <v>4.3.1.6-7 Leaching &amp; runoff</v>
      </c>
      <c r="D35" s="15" t="str">
        <v>Solid storage</v>
      </c>
      <c r="E35" s="15">
        <v>0.3</v>
      </c>
      <c r="F35" s="16" t="str">
        <f>'Constants - Dairy'!$D$84</f>
        <v>kg N2O-N/kg N excreted</v>
      </c>
    </row>
    <row r="36" spans="1:22" ht="20.100000000000001" customHeight="1" x14ac:dyDescent="0.25">
      <c r="A36" s="118" t="str">
        <f>HYPERLINK("#'4.3.1.8 Manure applied to soils'!A1", "4.3.1.8 Manure applied to soils")</f>
        <v>4.3.1.8 Manure applied to soils</v>
      </c>
    </row>
    <row r="37" spans="1:22" ht="20.100000000000001" customHeight="1" x14ac:dyDescent="0.25">
      <c r="A37" s="5" t="str">
        <f>HYPERLINK("#'4.3.1.9 Soil direct N2O'!A1", "4.3.1.9 Soil direct N2O")</f>
        <v>4.3.1.9 Soil direct N2O</v>
      </c>
      <c r="D37" s="121" t="s">
        <v>520</v>
      </c>
      <c r="M37"/>
      <c r="O37" s="121" t="s">
        <v>521</v>
      </c>
    </row>
    <row r="38" spans="1:22" ht="20.100000000000001" customHeight="1" x14ac:dyDescent="0.25">
      <c r="A38" s="5" t="str">
        <f>HYPERLINK("#'4.3.1.10-11 Soil Atmos Dep'!A1", "4.3.1.10-11 Soil Atmos Deposition")</f>
        <v>4.3.1.10-11 Soil Atmos Deposition</v>
      </c>
      <c r="D38" s="122" t="s">
        <v>522</v>
      </c>
      <c r="M38"/>
      <c r="O38" s="122" t="s">
        <v>523</v>
      </c>
    </row>
    <row r="39" spans="1:22" ht="20.100000000000001" customHeight="1" x14ac:dyDescent="0.25">
      <c r="A39" s="5" t="str">
        <f>HYPERLINK("#'4.3.1.12-13 Soil leach runoff'!A1", "4.3.1.12-13 Soil leach &amp; runoff")</f>
        <v>4.3.1.12-13 Soil leach &amp; runoff</v>
      </c>
      <c r="D39" s="123" t="s">
        <v>159</v>
      </c>
      <c r="E39" s="123" t="s">
        <v>427</v>
      </c>
      <c r="F39" s="123" t="s">
        <v>334</v>
      </c>
      <c r="G39" s="123" t="s">
        <v>335</v>
      </c>
      <c r="H39" s="123" t="s">
        <v>336</v>
      </c>
      <c r="I39" s="123" t="s">
        <v>337</v>
      </c>
      <c r="J39" s="123" t="s">
        <v>338</v>
      </c>
      <c r="M39"/>
      <c r="O39" s="123" t="s">
        <v>159</v>
      </c>
      <c r="P39" s="123" t="s">
        <v>427</v>
      </c>
      <c r="Q39" s="123" t="s">
        <v>334</v>
      </c>
      <c r="R39" s="123" t="s">
        <v>335</v>
      </c>
      <c r="S39" s="123" t="s">
        <v>336</v>
      </c>
      <c r="T39" s="123" t="s">
        <v>337</v>
      </c>
      <c r="U39" s="123" t="s">
        <v>338</v>
      </c>
    </row>
    <row r="40" spans="1:22" ht="20.100000000000001" customHeight="1" x14ac:dyDescent="0.25">
      <c r="A40" s="5" t="str">
        <f>HYPERLINK("#'5.1.1.1-2 Inorganic fert N2O'!A1", "5.1.1.1-2 Inorganic fert N2O")</f>
        <v>5.1.1.1-2 Inorganic fert N2O</v>
      </c>
      <c r="D40" s="15" t="str">
        <f>INDEX(X_Table_Dairy_ProductionSystems_Method1,3,1)</f>
        <v>Milking shed</v>
      </c>
      <c r="E40" s="15" t="str">
        <f>INDEX(X_Table_Dairy_Stage1MMS_1_AnaerobicLagoon,2,1)</f>
        <v>Anaerobic lagoon</v>
      </c>
      <c r="F40" s="15">
        <f>INDEX(M1_Table_MN_j_m,2,3)</f>
        <v>399.24605684746678</v>
      </c>
      <c r="G40" s="15">
        <f>INDEX(M1_Table_MN_j_m,2,4)</f>
        <v>182.35790267782079</v>
      </c>
      <c r="H40" s="15">
        <f>INDEX(M1_Table_MN_j_m,2,5)</f>
        <v>72.631224123843424</v>
      </c>
      <c r="I40" s="15">
        <f>INDEX(M1_Table_MN_j_m,2,6)</f>
        <v>229.23109573986844</v>
      </c>
      <c r="J40" s="15">
        <f>INDEX(M1_Table_MN_j_m,2,7)</f>
        <v>95.962857079055411</v>
      </c>
      <c r="K40" s="16" t="str">
        <f>$G$13</f>
        <v>kg N</v>
      </c>
      <c r="M40"/>
      <c r="O40" s="15" t="str">
        <f>INDEX(X_Table_Dairy_ProductionSystems_Method1,3,1)</f>
        <v>Milking shed</v>
      </c>
      <c r="P40" s="15" t="str">
        <f>INDEX(X_Table_Dairy_Stage1MMS_1_AnaerobicLagoon,2,1)</f>
        <v>Anaerobic lagoon</v>
      </c>
      <c r="Q40" s="15">
        <f>INDEX(M2_Table_MN_j_m,2,3)</f>
        <v>399.24605684746678</v>
      </c>
      <c r="R40" s="15">
        <f>INDEX(M2_Table_MN_j_m,2,4)</f>
        <v>182.35790267782079</v>
      </c>
      <c r="S40" s="15">
        <f>INDEX(M2_Table_MN_j_m,2,5)</f>
        <v>72.631224123843424</v>
      </c>
      <c r="T40" s="15">
        <f>INDEX(M2_Table_MN_j_m,2,6)</f>
        <v>229.23109573986844</v>
      </c>
      <c r="U40" s="15">
        <f>INDEX(M2_Table_MN_j_m,2,7)</f>
        <v>95.962857079055411</v>
      </c>
      <c r="V40" s="16" t="str">
        <f>$G$13</f>
        <v>kg N</v>
      </c>
    </row>
    <row r="41" spans="1:22" ht="20.100000000000001" customHeight="1" x14ac:dyDescent="0.25">
      <c r="A41" s="5" t="str">
        <f>HYPERLINK("#'5.1.1.3-4 Inorganic fert CO2'!A1", "5.1.1.3-4 Inorganic fert CO2")</f>
        <v>5.1.1.3-4 Inorganic fert CO2</v>
      </c>
      <c r="D41" s="15" t="str">
        <f>INDEX(X_Table_Dairy_ProductionSystems_Method1,3,1)</f>
        <v>Milking shed</v>
      </c>
      <c r="E41" s="15" t="str">
        <f>INDEX(X_Table_Dairy_Stage1MMS_1_SumpAndDispersal,2,1)</f>
        <v>Sump and dispersal system</v>
      </c>
      <c r="F41" s="15">
        <f>INDEX(M1_Table_MN_j_m,3,3)</f>
        <v>399.24605684746678</v>
      </c>
      <c r="G41" s="15">
        <f>INDEX(M1_Table_MN_j_m,3,4)</f>
        <v>182.35790267782079</v>
      </c>
      <c r="H41" s="15">
        <f>INDEX(M1_Table_MN_j_m,3,5)</f>
        <v>72.631224123843424</v>
      </c>
      <c r="I41" s="15">
        <f>INDEX(M1_Table_MN_j_m,3,6)</f>
        <v>229.23109573986844</v>
      </c>
      <c r="J41" s="15">
        <f>INDEX(M1_Table_MN_j_m,3,7)</f>
        <v>95.962857079055411</v>
      </c>
      <c r="K41" s="16"/>
      <c r="M41"/>
      <c r="O41" s="15" t="str">
        <f>INDEX(X_Table_Dairy_ProductionSystems_Method1,3,1)</f>
        <v>Milking shed</v>
      </c>
      <c r="P41" s="15" t="str">
        <f>INDEX(X_Table_Dairy_Stage1MMS_1_SumpAndDispersal,2,1)</f>
        <v>Sump and dispersal system</v>
      </c>
      <c r="Q41" s="15">
        <f>INDEX(M2_Table_MN_j_m,3,3)</f>
        <v>399.24605684746678</v>
      </c>
      <c r="R41" s="15">
        <f>INDEX(M2_Table_MN_j_m,3,4)</f>
        <v>182.35790267782079</v>
      </c>
      <c r="S41" s="15">
        <f>INDEX(M2_Table_MN_j_m,3,5)</f>
        <v>72.631224123843424</v>
      </c>
      <c r="T41" s="15">
        <f>INDEX(M2_Table_MN_j_m,3,6)</f>
        <v>229.23109573986844</v>
      </c>
      <c r="U41" s="15">
        <f>INDEX(M2_Table_MN_j_m,3,7)</f>
        <v>95.962857079055411</v>
      </c>
      <c r="V41" s="16"/>
    </row>
    <row r="42" spans="1:22" ht="20.100000000000001" customHeight="1" x14ac:dyDescent="0.25">
      <c r="A42" s="5" t="str">
        <f>HYPERLINK("#'5.2.1.1-2 Organic Fert N2O'!A1", "5.2.1.1-2 Organic fert N2O")</f>
        <v>5.2.1.1-2 Organic fert N2O</v>
      </c>
      <c r="D42" s="15" t="str">
        <f>INDEX(X_Table_Dairy_ProductionSystems_Method1,3,1)</f>
        <v>Milking shed</v>
      </c>
      <c r="E42" s="15" t="str">
        <f>INDEX(X_Table_Dairy_Stage1MMS_1_DrainsToPaddock,2,1)</f>
        <v>Drains to paddock</v>
      </c>
      <c r="F42" s="15">
        <f>INDEX(M1_Table_MN_j_m,4,3)</f>
        <v>399.24605684746678</v>
      </c>
      <c r="G42" s="15">
        <f>INDEX(M1_Table_MN_j_m,4,4)</f>
        <v>182.35790267782079</v>
      </c>
      <c r="H42" s="15">
        <f>INDEX(M1_Table_MN_j_m,4,5)</f>
        <v>72.631224123843424</v>
      </c>
      <c r="I42" s="15">
        <f>INDEX(M1_Table_MN_j_m,4,6)</f>
        <v>229.23109573986844</v>
      </c>
      <c r="J42" s="15">
        <f>INDEX(M1_Table_MN_j_m,4,7)</f>
        <v>95.962857079055411</v>
      </c>
      <c r="K42" s="16"/>
      <c r="M42"/>
      <c r="O42" s="15" t="str">
        <f>INDEX(X_Table_Dairy_ProductionSystems_Method1,3,1)</f>
        <v>Milking shed</v>
      </c>
      <c r="P42" s="15" t="str">
        <f>INDEX(X_Table_Dairy_Stage1MMS_1_DrainsToPaddock,2,1)</f>
        <v>Drains to paddock</v>
      </c>
      <c r="Q42" s="15">
        <f>INDEX(M2_Table_MN_j_m,4,3)</f>
        <v>399.24605684746678</v>
      </c>
      <c r="R42" s="15">
        <f>INDEX(M2_Table_MN_j_m,4,4)</f>
        <v>182.35790267782079</v>
      </c>
      <c r="S42" s="15">
        <f>INDEX(M2_Table_MN_j_m,4,5)</f>
        <v>72.631224123843424</v>
      </c>
      <c r="T42" s="15">
        <f>INDEX(M2_Table_MN_j_m,4,6)</f>
        <v>229.23109573986844</v>
      </c>
      <c r="U42" s="15">
        <f>INDEX(M2_Table_MN_j_m,4,7)</f>
        <v>95.962857079055411</v>
      </c>
      <c r="V42" s="16"/>
    </row>
    <row r="43" spans="1:22" ht="20.100000000000001" customHeight="1" x14ac:dyDescent="0.25">
      <c r="A43" s="5" t="str">
        <f>HYPERLINK("#'5.3.1.1-2 Lime CO2'!A1", "5.3.1.1-2 Lime CO2")</f>
        <v>5.3.1.1-2 Lime CO2</v>
      </c>
      <c r="D43" s="15" t="str">
        <f>INDEX(X_Table_Dairy_ProductionSystems_Method1,3,1)</f>
        <v>Milking shed</v>
      </c>
      <c r="E43" s="15" t="s">
        <v>75</v>
      </c>
      <c r="F43" s="15">
        <f>INDEX(M1_Table_MN_j_m,5,3)</f>
        <v>798.49211369493332</v>
      </c>
      <c r="G43" s="15">
        <f>INDEX(M1_Table_MN_j_m,5,4)</f>
        <v>364.71580535564152</v>
      </c>
      <c r="H43" s="15">
        <f>INDEX(M1_Table_MN_j_m,5,5)</f>
        <v>145.26244824768682</v>
      </c>
      <c r="I43" s="15">
        <f>INDEX(M1_Table_MN_j_m,5,6)</f>
        <v>458.46219147973682</v>
      </c>
      <c r="J43" s="15">
        <f>INDEX(M1_Table_MN_j_m,5,7)</f>
        <v>191.92571415811079</v>
      </c>
      <c r="K43" s="16"/>
      <c r="M43"/>
      <c r="O43" s="15" t="str">
        <f>INDEX(X_Table_Dairy_ProductionSystems_Method1,3,1)</f>
        <v>Milking shed</v>
      </c>
      <c r="P43" s="15" t="s">
        <v>75</v>
      </c>
      <c r="Q43" s="15">
        <f>INDEX(M2_Table_MN_j_m,5,3)</f>
        <v>798.49211369493332</v>
      </c>
      <c r="R43" s="15">
        <f>INDEX(M2_Table_MN_j_m,5,4)</f>
        <v>364.71580535564152</v>
      </c>
      <c r="S43" s="15">
        <f>INDEX(M2_Table_MN_j_m,5,5)</f>
        <v>145.26244824768682</v>
      </c>
      <c r="T43" s="15">
        <f>INDEX(M2_Table_MN_j_m,5,6)</f>
        <v>458.46219147973682</v>
      </c>
      <c r="U43" s="15">
        <f>INDEX(M2_Table_MN_j_m,5,7)</f>
        <v>191.92571415811079</v>
      </c>
      <c r="V43" s="16"/>
    </row>
    <row r="44" spans="1:22" ht="20.100000000000001" customHeight="1" x14ac:dyDescent="0.25">
      <c r="A44" s="5" t="str">
        <f>HYPERLINK("#'5.4.1.1-4 Atmos deposition'!A1", "5.4.1.1-4 Atmos. deposition")</f>
        <v>5.4.1.1-4 Atmos. deposition</v>
      </c>
      <c r="D44" s="15" t="str">
        <f>INDEX(X_Table_Dairy_ProductionSystems_Method1,4,1)</f>
        <v>Feed pad</v>
      </c>
      <c r="E44" s="15" t="str">
        <f>INDEX(X_Table_Dairy_Stage1MMS_2_AnaerobicLagoon,2,1)</f>
        <v>Anaerobic lagoon</v>
      </c>
      <c r="F44" s="15">
        <f>INDEX(M1_Table_MN_j_m,6,3)</f>
        <v>1615.131775428388</v>
      </c>
      <c r="G44" s="15">
        <f>INDEX(M1_Table_MN_j_m,6,4)</f>
        <v>737.72060628754764</v>
      </c>
      <c r="H44" s="15">
        <f>INDEX(M1_Table_MN_j_m,6,5)</f>
        <v>293.82631577373019</v>
      </c>
      <c r="I44" s="15">
        <f>INDEX(M1_Table_MN_j_m,6,6)</f>
        <v>927.34397822037681</v>
      </c>
      <c r="J44" s="15">
        <f>INDEX(M1_Table_MN_j_m,6,7)</f>
        <v>388.21337636526954</v>
      </c>
      <c r="K44" s="16"/>
      <c r="M44"/>
      <c r="O44" s="15" t="str">
        <f>INDEX(X_Table_Dairy_ProductionSystems_Method1,4,1)</f>
        <v>Feed pad</v>
      </c>
      <c r="P44" s="15" t="str">
        <f>INDEX(X_Table_Dairy_Stage1MMS_2_AnaerobicLagoon,2,1)</f>
        <v>Anaerobic lagoon</v>
      </c>
      <c r="Q44" s="15">
        <f>INDEX(M2_Table_MN_j_m,6,3)</f>
        <v>1615.131775428388</v>
      </c>
      <c r="R44" s="15">
        <f>INDEX(M2_Table_MN_j_m,6,4)</f>
        <v>737.72060628754764</v>
      </c>
      <c r="S44" s="15">
        <f>INDEX(M2_Table_MN_j_m,6,5)</f>
        <v>293.82631577373019</v>
      </c>
      <c r="T44" s="15">
        <f>INDEX(M2_Table_MN_j_m,6,6)</f>
        <v>927.34397822037681</v>
      </c>
      <c r="U44" s="15">
        <f>INDEX(M2_Table_MN_j_m,6,7)</f>
        <v>388.21337636526954</v>
      </c>
      <c r="V44" s="16"/>
    </row>
    <row r="45" spans="1:22" ht="20.100000000000001" customHeight="1" x14ac:dyDescent="0.25">
      <c r="A45" s="5" t="str">
        <f>HYPERLINK("#'5.5.1.1-2 Leaching and runoff'!A1", "5.5.1.1-2 Leaching &amp; runoff")</f>
        <v>5.5.1.1-2 Leaching &amp; runoff</v>
      </c>
      <c r="D45" s="15" t="str">
        <f>INDEX(X_Table_Dairy_ProductionSystems_Method1,4,1)</f>
        <v>Feed pad</v>
      </c>
      <c r="E45" s="15" t="str">
        <f>INDEX(X_Table_Dairy_Stage1MMS_2_SumpAndDispersal,2,1)</f>
        <v>Sump and dispersal system</v>
      </c>
      <c r="F45" s="15">
        <f>INDEX(M1_Table_MN_j_m,7,3)</f>
        <v>1292.1054203427104</v>
      </c>
      <c r="G45" s="15">
        <f>INDEX(M1_Table_MN_j_m,7,4)</f>
        <v>590.17648503003818</v>
      </c>
      <c r="H45" s="15">
        <f>INDEX(M1_Table_MN_j_m,7,5)</f>
        <v>235.06105261898415</v>
      </c>
      <c r="I45" s="15">
        <f>INDEX(M1_Table_MN_j_m,7,6)</f>
        <v>741.87518257630143</v>
      </c>
      <c r="J45" s="15">
        <f>INDEX(M1_Table_MN_j_m,7,7)</f>
        <v>310.57070109221564</v>
      </c>
      <c r="K45" s="16"/>
      <c r="M45"/>
      <c r="O45" s="15" t="str">
        <f>INDEX(X_Table_Dairy_ProductionSystems_Method1,4,1)</f>
        <v>Feed pad</v>
      </c>
      <c r="P45" s="15" t="str">
        <f>INDEX(X_Table_Dairy_Stage1MMS_2_SumpAndDispersal,2,1)</f>
        <v>Sump and dispersal system</v>
      </c>
      <c r="Q45" s="15">
        <f>INDEX(M2_Table_MN_j_m,7,3)</f>
        <v>1292.1054203427104</v>
      </c>
      <c r="R45" s="15">
        <f>INDEX(M2_Table_MN_j_m,7,4)</f>
        <v>590.17648503003818</v>
      </c>
      <c r="S45" s="15">
        <f>INDEX(M2_Table_MN_j_m,7,5)</f>
        <v>235.06105261898415</v>
      </c>
      <c r="T45" s="15">
        <f>INDEX(M2_Table_MN_j_m,7,6)</f>
        <v>741.87518257630143</v>
      </c>
      <c r="U45" s="15">
        <f>INDEX(M2_Table_MN_j_m,7,7)</f>
        <v>310.57070109221564</v>
      </c>
      <c r="V45" s="16"/>
    </row>
    <row r="46" spans="1:22" ht="20.100000000000001" customHeight="1" x14ac:dyDescent="0.25">
      <c r="A46" s="5" t="str">
        <f>HYPERLINK("#'6.2.1.1-2 Pasture residue N2O'!A1", "6.2.1.1-2 Pasture residue N2O")</f>
        <v>6.2.1.1-2 Pasture residue N2O</v>
      </c>
      <c r="D46" s="15" t="str">
        <f>INDEX(X_Table_Dairy_ProductionSystems_Method1,4,1)</f>
        <v>Feed pad</v>
      </c>
      <c r="E46" s="15" t="str">
        <f>INDEX(X_Table_Dairy_Stage1MMS_2_DrainsToPaddock,2,1)</f>
        <v>Drains to paddock</v>
      </c>
      <c r="F46" s="15">
        <f>INDEX(M1_Table_MN_j_m,8,3)</f>
        <v>1292.1054203427104</v>
      </c>
      <c r="G46" s="15">
        <f>INDEX(M1_Table_MN_j_m,8,4)</f>
        <v>590.17648503003818</v>
      </c>
      <c r="H46" s="15">
        <f>INDEX(M1_Table_MN_j_m,8,5)</f>
        <v>235.06105261898415</v>
      </c>
      <c r="I46" s="15">
        <f>INDEX(M1_Table_MN_j_m,8,6)</f>
        <v>741.87518257630143</v>
      </c>
      <c r="J46" s="15">
        <f>INDEX(M1_Table_MN_j_m,8,7)</f>
        <v>310.57070109221564</v>
      </c>
      <c r="K46" s="16"/>
      <c r="M46"/>
      <c r="O46" s="15" t="str">
        <f>INDEX(X_Table_Dairy_ProductionSystems_Method1,4,1)</f>
        <v>Feed pad</v>
      </c>
      <c r="P46" s="15" t="str">
        <f>INDEX(X_Table_Dairy_Stage1MMS_2_DrainsToPaddock,2,1)</f>
        <v>Drains to paddock</v>
      </c>
      <c r="Q46" s="15">
        <f>INDEX(M2_Table_MN_j_m,8,3)</f>
        <v>1292.1054203427104</v>
      </c>
      <c r="R46" s="15">
        <f>INDEX(M2_Table_MN_j_m,8,4)</f>
        <v>590.17648503003818</v>
      </c>
      <c r="S46" s="15">
        <f>INDEX(M2_Table_MN_j_m,8,5)</f>
        <v>235.06105261898415</v>
      </c>
      <c r="T46" s="15">
        <f>INDEX(M2_Table_MN_j_m,8,6)</f>
        <v>741.87518257630143</v>
      </c>
      <c r="U46" s="15">
        <f>INDEX(M2_Table_MN_j_m,8,7)</f>
        <v>310.57070109221564</v>
      </c>
      <c r="V46" s="16"/>
    </row>
    <row r="47" spans="1:22" ht="20.100000000000001" customHeight="1" x14ac:dyDescent="0.25">
      <c r="A47" s="5" t="str">
        <f>HYPERLINK("#'6.3.1.1-2 Leach runoff pasture'!A1", "6.3.1.1-2 Leach &amp; runoff (pasture)")</f>
        <v>6.3.1.1-2 Leach &amp; runoff (pasture)</v>
      </c>
      <c r="D47" s="15" t="str">
        <f>INDEX(X_Table_Dairy_ProductionSystems_Method1,4,1)</f>
        <v>Feed pad</v>
      </c>
      <c r="E47" s="15" t="s">
        <v>75</v>
      </c>
      <c r="F47" s="15">
        <f>INDEX(M1_Table_MN_j_m,9,3)</f>
        <v>2261.1844855997429</v>
      </c>
      <c r="G47" s="15">
        <f>INDEX(M1_Table_MN_j_m,9,4)</f>
        <v>1032.8088488025667</v>
      </c>
      <c r="H47" s="15">
        <f>INDEX(M1_Table_MN_j_m,9,5)</f>
        <v>411.35684208322226</v>
      </c>
      <c r="I47" s="15">
        <f>INDEX(M1_Table_MN_j_m,9,6)</f>
        <v>1298.2815695085274</v>
      </c>
      <c r="J47" s="15">
        <f>INDEX(M1_Table_MN_j_m,9,7)</f>
        <v>543.49872691137739</v>
      </c>
      <c r="K47" s="16"/>
      <c r="M47"/>
      <c r="O47" s="15" t="str">
        <f>INDEX(X_Table_Dairy_ProductionSystems_Method1,4,1)</f>
        <v>Feed pad</v>
      </c>
      <c r="P47" s="15" t="s">
        <v>75</v>
      </c>
      <c r="Q47" s="15">
        <f>INDEX(M2_Table_MN_j_m,9,3)</f>
        <v>2261.1844855997429</v>
      </c>
      <c r="R47" s="15">
        <f>INDEX(M2_Table_MN_j_m,9,4)</f>
        <v>1032.8088488025667</v>
      </c>
      <c r="S47" s="15">
        <f>INDEX(M2_Table_MN_j_m,9,5)</f>
        <v>411.35684208322226</v>
      </c>
      <c r="T47" s="15">
        <f>INDEX(M2_Table_MN_j_m,9,6)</f>
        <v>1298.2815695085274</v>
      </c>
      <c r="U47" s="15">
        <f>INDEX(M2_Table_MN_j_m,9,7)</f>
        <v>543.49872691137739</v>
      </c>
      <c r="V47" s="16"/>
    </row>
    <row r="48" spans="1:22" ht="20.100000000000001" customHeight="1" x14ac:dyDescent="0.25">
      <c r="A48" s="5" t="str">
        <f>HYPERLINK("#'8.1.1.1-2 Transport fuel'!A1", "8.1.1.1-2 Transport fuel")</f>
        <v>8.1.1.1-2 Transport fuel</v>
      </c>
    </row>
    <row r="49" spans="1:22" ht="20.100000000000001" customHeight="1" x14ac:dyDescent="0.25">
      <c r="A49" s="5" t="str">
        <f>HYPERLINK("#'8.2.1.1-2 Stationary fuel'!A1", "8.2.1.1-2 Stationary fuel")</f>
        <v>8.2.1.1-2 Stationary fuel</v>
      </c>
      <c r="D49" s="121" t="s">
        <v>558</v>
      </c>
      <c r="O49" s="121" t="s">
        <v>559</v>
      </c>
    </row>
    <row r="50" spans="1:22" ht="20.100000000000001" customHeight="1" x14ac:dyDescent="0.25">
      <c r="A50" s="5" t="str">
        <f>HYPERLINK("#'9.1.1.1-2 Refrigerant use'!A1", "9.1.1.1-2 Refrigerant use")</f>
        <v>9.1.1.1-2 Refrigerant use</v>
      </c>
      <c r="D50" s="122" t="s">
        <v>560</v>
      </c>
      <c r="O50" s="122" t="s">
        <v>561</v>
      </c>
    </row>
    <row r="51" spans="1:22" ht="20.100000000000001" customHeight="1" x14ac:dyDescent="0.25">
      <c r="A51" s="5" t="str">
        <f>HYPERLINK("#'10.1.1-2 Solid waste treatment'!A1", "10.1.1.1-2 Solid waste")</f>
        <v>10.1.1.1-2 Solid waste</v>
      </c>
      <c r="D51" s="123" t="s">
        <v>159</v>
      </c>
      <c r="E51" s="123" t="s">
        <v>427</v>
      </c>
      <c r="F51" s="123" t="s">
        <v>334</v>
      </c>
      <c r="G51" s="123" t="s">
        <v>335</v>
      </c>
      <c r="H51" s="123" t="s">
        <v>336</v>
      </c>
      <c r="I51" s="123" t="s">
        <v>337</v>
      </c>
      <c r="J51" s="123" t="s">
        <v>338</v>
      </c>
      <c r="O51" s="123" t="s">
        <v>159</v>
      </c>
      <c r="P51" s="123" t="s">
        <v>427</v>
      </c>
      <c r="Q51" s="123" t="s">
        <v>334</v>
      </c>
      <c r="R51" s="123" t="s">
        <v>335</v>
      </c>
      <c r="S51" s="123" t="s">
        <v>336</v>
      </c>
      <c r="T51" s="123" t="s">
        <v>337</v>
      </c>
      <c r="U51" s="123" t="s">
        <v>338</v>
      </c>
    </row>
    <row r="52" spans="1:22" ht="20.100000000000001" customHeight="1" x14ac:dyDescent="0.25">
      <c r="A52" s="5" t="str">
        <f>HYPERLINK("#'14.1.1-2 Purchased electricity'!A1", "14.1.1-2 Purchased electricity")</f>
        <v>14.1.1-2 Purchased electricity</v>
      </c>
      <c r="D52" s="15" t="str">
        <f>INDEX(X_Table_Dairy_ProductionSystems_Method1,3,1)</f>
        <v>Milking shed</v>
      </c>
      <c r="E52" s="15" t="str">
        <f>INDEX(X_Table_Dairy_Stage1MMS_1_AnaerobicLagoon,2,1)</f>
        <v>Anaerobic lagoon</v>
      </c>
      <c r="F52" s="15">
        <v>0</v>
      </c>
      <c r="G52" s="15">
        <v>0</v>
      </c>
      <c r="H52" s="15">
        <v>0</v>
      </c>
      <c r="I52" s="15">
        <v>0</v>
      </c>
      <c r="J52" s="15">
        <v>0</v>
      </c>
      <c r="K52" s="16" t="str">
        <f>$G$16</f>
        <v>kg N</v>
      </c>
      <c r="O52" s="15" t="str">
        <f>INDEX(X_Table_Dairy_ProductionSystems_Method1,3,1)</f>
        <v>Milking shed</v>
      </c>
      <c r="P52" s="15" t="str">
        <f>INDEX(X_Table_Dairy_Stage1MMS_1_AnaerobicLagoon,2,1)</f>
        <v>Anaerobic lagoon</v>
      </c>
      <c r="Q52" s="15">
        <v>0</v>
      </c>
      <c r="R52" s="15">
        <v>0</v>
      </c>
      <c r="S52" s="15">
        <v>0</v>
      </c>
      <c r="T52" s="15">
        <v>0</v>
      </c>
      <c r="U52" s="15">
        <v>0</v>
      </c>
      <c r="V52" s="16" t="str">
        <f>$G$16</f>
        <v>kg N</v>
      </c>
    </row>
    <row r="53" spans="1:22" ht="20.100000000000001" customHeight="1" x14ac:dyDescent="0.25">
      <c r="A53" s="5" t="str">
        <f>HYPERLINK("#'15 Scope 3'!A1", "15 Scope 3")</f>
        <v>15 Scope 3</v>
      </c>
      <c r="D53" s="15" t="str">
        <f>INDEX(X_Table_Dairy_ProductionSystems_Method1,3,1)</f>
        <v>Milking shed</v>
      </c>
      <c r="E53" s="15" t="str">
        <f>INDEX(X_Table_Dairy_Stage1MMS_1_SumpAndDispersal,2,1)</f>
        <v>Sump and dispersal system</v>
      </c>
      <c r="F53" s="15">
        <v>0</v>
      </c>
      <c r="G53" s="15">
        <v>0</v>
      </c>
      <c r="H53" s="15">
        <v>0</v>
      </c>
      <c r="I53" s="15">
        <v>0</v>
      </c>
      <c r="J53" s="15">
        <v>0</v>
      </c>
      <c r="K53" s="16"/>
      <c r="O53" s="15" t="str">
        <f>INDEX(X_Table_Dairy_ProductionSystems_Method1,3,1)</f>
        <v>Milking shed</v>
      </c>
      <c r="P53" s="15" t="str">
        <f>INDEX(X_Table_Dairy_Stage1MMS_1_SumpAndDispersal,2,1)</f>
        <v>Sump and dispersal system</v>
      </c>
      <c r="Q53" s="15">
        <v>0</v>
      </c>
      <c r="R53" s="15">
        <v>0</v>
      </c>
      <c r="S53" s="15">
        <v>0</v>
      </c>
      <c r="T53" s="15">
        <v>0</v>
      </c>
      <c r="U53" s="15">
        <v>0</v>
      </c>
      <c r="V53" s="16"/>
    </row>
    <row r="54" spans="1:22" ht="20.100000000000001" customHeight="1" x14ac:dyDescent="0.25">
      <c r="A54" s="5" t="str">
        <f>HYPERLINK("#'Calcs - Manure sent off-site'!A1", "Calcs - Manure sent off-site")</f>
        <v>Calcs - Manure sent off-site</v>
      </c>
      <c r="D54" s="15" t="str">
        <f>INDEX(X_Table_Dairy_ProductionSystems_Method1,3,1)</f>
        <v>Milking shed</v>
      </c>
      <c r="E54" s="15" t="str">
        <f>INDEX(X_Table_Dairy_Stage1MMS_1_DrainsToPaddock,2,1)</f>
        <v>Drains to paddock</v>
      </c>
      <c r="F54" s="15">
        <v>0</v>
      </c>
      <c r="G54" s="15">
        <v>0</v>
      </c>
      <c r="H54" s="15">
        <v>0</v>
      </c>
      <c r="I54" s="15">
        <v>0</v>
      </c>
      <c r="J54" s="15">
        <v>0</v>
      </c>
      <c r="K54" s="16"/>
      <c r="O54" s="15" t="str">
        <f>INDEX(X_Table_Dairy_ProductionSystems_Method1,3,1)</f>
        <v>Milking shed</v>
      </c>
      <c r="P54" s="15" t="str">
        <f>INDEX(X_Table_Dairy_Stage1MMS_1_DrainsToPaddock,2,1)</f>
        <v>Drains to paddock</v>
      </c>
      <c r="Q54" s="15">
        <v>0</v>
      </c>
      <c r="R54" s="15">
        <v>0</v>
      </c>
      <c r="S54" s="15">
        <v>0</v>
      </c>
      <c r="T54" s="15">
        <v>0</v>
      </c>
      <c r="U54" s="15">
        <v>0</v>
      </c>
      <c r="V54" s="16"/>
    </row>
    <row r="55" spans="1:22" ht="20.100000000000001" customHeight="1" x14ac:dyDescent="0.25">
      <c r="D55" s="15" t="str">
        <f>INDEX(X_Table_Dairy_ProductionSystems_Method1,3,1)</f>
        <v>Milking shed</v>
      </c>
      <c r="E55" s="15" t="s">
        <v>75</v>
      </c>
      <c r="F55" s="15">
        <f>INDEX(M1_Table_MN_leach_j_m4,2,3)</f>
        <v>15.969842273898667</v>
      </c>
      <c r="G55" s="15">
        <f>INDEX(M1_Table_MN_leach_j_m4,2,4)</f>
        <v>7.2943161071128308</v>
      </c>
      <c r="H55" s="15">
        <f>INDEX(M1_Table_MN_leach_j_m4,2,5)</f>
        <v>2.9052489649537363</v>
      </c>
      <c r="I55" s="15">
        <f>INDEX(M1_Table_MN_leach_j_m4,2,6)</f>
        <v>9.1692438295947358</v>
      </c>
      <c r="J55" s="15">
        <f>INDEX(M1_Table_MN_leach_j_m4,2,7)</f>
        <v>3.8385142831622159</v>
      </c>
      <c r="K55" s="16"/>
      <c r="O55" s="15" t="str">
        <f>INDEX(X_Table_Dairy_ProductionSystems_Method1,3,1)</f>
        <v>Milking shed</v>
      </c>
      <c r="P55" s="15" t="s">
        <v>75</v>
      </c>
      <c r="Q55" s="15">
        <f>INDEX(M2_Table_MN_leach_j_m4,2,3)</f>
        <v>15.969842273898667</v>
      </c>
      <c r="R55" s="15">
        <f>INDEX(M2_Table_MN_leach_j_m4,2,4)</f>
        <v>7.2943161071128308</v>
      </c>
      <c r="S55" s="15">
        <f>INDEX(M2_Table_MN_leach_j_m4,2,5)</f>
        <v>2.9052489649537363</v>
      </c>
      <c r="T55" s="15">
        <f>INDEX(M2_Table_MN_leach_j_m4,2,6)</f>
        <v>9.1692438295947358</v>
      </c>
      <c r="U55" s="15">
        <f>INDEX(M2_Table_MN_leach_j_m4,2,7)</f>
        <v>3.8385142831622159</v>
      </c>
      <c r="V55" s="16"/>
    </row>
    <row r="56" spans="1:22" ht="20.100000000000001" customHeight="1" x14ac:dyDescent="0.25">
      <c r="D56" s="15" t="str">
        <f>INDEX(X_Table_Dairy_ProductionSystems_Method1,4,1)</f>
        <v>Feed pad</v>
      </c>
      <c r="E56" s="15" t="str">
        <f>INDEX(X_Table_Dairy_Stage1MMS_2_AnaerobicLagoon,2,1)</f>
        <v>Anaerobic lagoon</v>
      </c>
      <c r="F56" s="15">
        <v>0</v>
      </c>
      <c r="G56" s="15">
        <v>0</v>
      </c>
      <c r="H56" s="15">
        <v>0</v>
      </c>
      <c r="I56" s="15">
        <v>0</v>
      </c>
      <c r="J56" s="15">
        <v>0</v>
      </c>
      <c r="K56" s="16"/>
      <c r="O56" s="15" t="str">
        <f>INDEX(X_Table_Dairy_ProductionSystems_Method1,4,1)</f>
        <v>Feed pad</v>
      </c>
      <c r="P56" s="15" t="str">
        <f>INDEX(X_Table_Dairy_Stage1MMS_2_AnaerobicLagoon,2,1)</f>
        <v>Anaerobic lagoon</v>
      </c>
      <c r="Q56" s="15">
        <v>0</v>
      </c>
      <c r="R56" s="15">
        <v>0</v>
      </c>
      <c r="S56" s="15">
        <v>0</v>
      </c>
      <c r="T56" s="15">
        <v>0</v>
      </c>
      <c r="U56" s="15">
        <v>0</v>
      </c>
      <c r="V56" s="16"/>
    </row>
    <row r="57" spans="1:22" ht="20.100000000000001" customHeight="1" x14ac:dyDescent="0.25">
      <c r="A57" s="82" t="s">
        <v>1</v>
      </c>
      <c r="D57" s="15" t="str">
        <f>INDEX(X_Table_Dairy_ProductionSystems_Method1,4,1)</f>
        <v>Feed pad</v>
      </c>
      <c r="E57" s="15" t="str">
        <f>INDEX(X_Table_Dairy_Stage1MMS_2_SumpAndDispersal,2,1)</f>
        <v>Sump and dispersal system</v>
      </c>
      <c r="F57" s="15">
        <v>0</v>
      </c>
      <c r="G57" s="15">
        <v>0</v>
      </c>
      <c r="H57" s="15">
        <v>0</v>
      </c>
      <c r="I57" s="15">
        <v>0</v>
      </c>
      <c r="J57" s="15">
        <v>0</v>
      </c>
      <c r="K57" s="16"/>
      <c r="O57" s="15" t="str">
        <f>INDEX(X_Table_Dairy_ProductionSystems_Method1,4,1)</f>
        <v>Feed pad</v>
      </c>
      <c r="P57" s="15" t="str">
        <f>INDEX(X_Table_Dairy_Stage1MMS_2_SumpAndDispersal,2,1)</f>
        <v>Sump and dispersal system</v>
      </c>
      <c r="Q57" s="15">
        <v>0</v>
      </c>
      <c r="R57" s="15">
        <v>0</v>
      </c>
      <c r="S57" s="15">
        <v>0</v>
      </c>
      <c r="T57" s="15">
        <v>0</v>
      </c>
      <c r="U57" s="15">
        <v>0</v>
      </c>
      <c r="V57" s="16"/>
    </row>
    <row r="58" spans="1:22" ht="20.100000000000001" customHeight="1" x14ac:dyDescent="0.25">
      <c r="A58" s="5" t="str">
        <f>HYPERLINK("#'Constants - Dairy'!A1", "Constants - Dairy")</f>
        <v>Constants - Dairy</v>
      </c>
      <c r="D58" s="15" t="str">
        <f>INDEX(X_Table_Dairy_ProductionSystems_Method1,4,1)</f>
        <v>Feed pad</v>
      </c>
      <c r="E58" s="15" t="str">
        <f>INDEX(X_Table_Dairy_Stage1MMS_2_DrainsToPaddock,2,1)</f>
        <v>Drains to paddock</v>
      </c>
      <c r="F58" s="15">
        <v>0</v>
      </c>
      <c r="G58" s="15">
        <v>0</v>
      </c>
      <c r="H58" s="15">
        <v>0</v>
      </c>
      <c r="I58" s="15">
        <v>0</v>
      </c>
      <c r="J58" s="15">
        <v>0</v>
      </c>
      <c r="K58" s="16"/>
      <c r="O58" s="15" t="str">
        <f>INDEX(X_Table_Dairy_ProductionSystems_Method1,4,1)</f>
        <v>Feed pad</v>
      </c>
      <c r="P58" s="15" t="str">
        <f>INDEX(X_Table_Dairy_Stage1MMS_2_DrainsToPaddock,2,1)</f>
        <v>Drains to paddock</v>
      </c>
      <c r="Q58" s="15">
        <v>0</v>
      </c>
      <c r="R58" s="15">
        <v>0</v>
      </c>
      <c r="S58" s="15">
        <v>0</v>
      </c>
      <c r="T58" s="15">
        <v>0</v>
      </c>
      <c r="U58" s="15">
        <v>0</v>
      </c>
      <c r="V58" s="16"/>
    </row>
    <row r="59" spans="1:22" ht="20.100000000000001" customHeight="1" x14ac:dyDescent="0.25">
      <c r="A59" s="5" t="str">
        <f>HYPERLINK("#'Constants - Ag Residue'!A1", "Constants - Ag residue")</f>
        <v>Constants - Ag residue</v>
      </c>
      <c r="D59" s="15" t="str">
        <f>INDEX(X_Table_Dairy_ProductionSystems_Method1,4,1)</f>
        <v>Feed pad</v>
      </c>
      <c r="E59" s="15" t="s">
        <v>75</v>
      </c>
      <c r="F59" s="15">
        <f>INDEX(M1_Table_MN_leach_j_m4,3,3)</f>
        <v>45.223689711994858</v>
      </c>
      <c r="G59" s="15">
        <f>INDEX(M1_Table_MN_leach_j_m4,3,4)</f>
        <v>20.656176976051334</v>
      </c>
      <c r="H59" s="15">
        <f>INDEX(M1_Table_MN_leach_j_m4,3,5)</f>
        <v>8.2271368416644446</v>
      </c>
      <c r="I59" s="15">
        <f>INDEX(M1_Table_MN_leach_j_m4,3,6)</f>
        <v>25.965631390170547</v>
      </c>
      <c r="J59" s="15">
        <f>INDEX(M1_Table_MN_leach_j_m4,3,7)</f>
        <v>10.869974538227549</v>
      </c>
      <c r="K59" s="16"/>
      <c r="O59" s="15" t="str">
        <f>INDEX(X_Table_Dairy_ProductionSystems_Method1,4,1)</f>
        <v>Feed pad</v>
      </c>
      <c r="P59" s="15" t="s">
        <v>75</v>
      </c>
      <c r="Q59" s="15">
        <f>INDEX(M2_Table_MN_leach_j_m4,3,3)</f>
        <v>45.223689711994858</v>
      </c>
      <c r="R59" s="15">
        <f>INDEX(M2_Table_MN_leach_j_m4,3,4)</f>
        <v>20.656176976051334</v>
      </c>
      <c r="S59" s="15">
        <f>INDEX(M2_Table_MN_leach_j_m4,3,5)</f>
        <v>8.2271368416644446</v>
      </c>
      <c r="T59" s="15">
        <f>INDEX(M2_Table_MN_leach_j_m4,3,6)</f>
        <v>25.965631390170547</v>
      </c>
      <c r="U59" s="15">
        <f>INDEX(M2_Table_MN_leach_j_m4,3,7)</f>
        <v>10.869974538227549</v>
      </c>
      <c r="V59" s="16"/>
    </row>
    <row r="60" spans="1:22" ht="20.100000000000001" customHeight="1" x14ac:dyDescent="0.25">
      <c r="A60" s="5" t="str">
        <f>HYPERLINK("#'Constants - Common Livestock'!A1", "Constants - Common Livestock")</f>
        <v>Constants - Common Livestock</v>
      </c>
    </row>
    <row r="61" spans="1:22" ht="20.100000000000001" customHeight="1" x14ac:dyDescent="0.25">
      <c r="A61" s="5" t="str">
        <f>HYPERLINK("#'Constants - Electricity'!A1", "Constants - Electricity")</f>
        <v>Constants - Electricity</v>
      </c>
      <c r="D61" s="121" t="s">
        <v>562</v>
      </c>
    </row>
    <row r="62" spans="1:22" ht="20.100000000000001" customHeight="1" x14ac:dyDescent="0.25">
      <c r="A62" s="5" t="str">
        <f>HYPERLINK("#'Constants - Fertiliser'!A1", "Constants - Fertiliser")</f>
        <v>Constants - Fertiliser</v>
      </c>
      <c r="D62" s="122" t="s">
        <v>563</v>
      </c>
    </row>
    <row r="63" spans="1:22" ht="20.100000000000001" customHeight="1" x14ac:dyDescent="0.25">
      <c r="A63" s="5" t="str">
        <f>HYPERLINK("#'Constants - Fuel'!A1", "Constants - Fuel")</f>
        <v>Constants - Fuel</v>
      </c>
      <c r="D63" s="81" t="s">
        <v>159</v>
      </c>
      <c r="E63" s="81" t="s">
        <v>427</v>
      </c>
      <c r="F63" s="81" t="s">
        <v>564</v>
      </c>
    </row>
    <row r="64" spans="1:22" ht="20.100000000000001" customHeight="1" x14ac:dyDescent="0.25">
      <c r="A64" s="5" t="str">
        <f>HYPERLINK("#'Constants - Scope 3'!A1", "Constants - Scope 3")</f>
        <v>Constants - Scope 3</v>
      </c>
      <c r="D64" s="15" t="str">
        <f>INDEX(X_Table_Dairy_ProductionSystems_Method1,3,1)</f>
        <v>Milking shed</v>
      </c>
      <c r="E64" s="15" t="str">
        <f>INDEX(X_Table_Dairy_Stage1MMS_1_AnaerobicLagoon,2,1)</f>
        <v>Anaerobic lagoon</v>
      </c>
      <c r="F64" s="15">
        <f ca="1">SUM(OFFSET(X_Table_Dairy_Stage1MMS_1_AnaerobicLagoon_Destinations,1,2,1,2))</f>
        <v>0.75</v>
      </c>
      <c r="G64" s="16" t="str">
        <f>$G$17</f>
        <v>fraction</v>
      </c>
    </row>
    <row r="65" spans="1:22" ht="20.100000000000001" customHeight="1" x14ac:dyDescent="0.25">
      <c r="A65" s="5" t="str">
        <f>HYPERLINK("#'Constants - Common'!A1", "Constants - Common")</f>
        <v>Constants - Common</v>
      </c>
      <c r="D65" s="15" t="str">
        <f>INDEX(X_Table_Dairy_ProductionSystems_Method1,3,1)</f>
        <v>Milking shed</v>
      </c>
      <c r="E65" s="15" t="str">
        <f>INDEX(X_Table_Dairy_Stage1MMS_1_SumpAndDispersal,2,1)</f>
        <v>Sump and dispersal system</v>
      </c>
      <c r="F65" s="15">
        <f ca="1">SUM(OFFSET(X_Table_Dairy_Stage1MMS_1_SumpAndDispersal_Destinations,1,2,1,2))</f>
        <v>0.75</v>
      </c>
      <c r="G65" s="16"/>
    </row>
    <row r="66" spans="1:22" ht="20.100000000000001" customHeight="1" x14ac:dyDescent="0.25">
      <c r="A66" s="5" t="str">
        <f>HYPERLINK("#'Constants - Refrigerants'!A1", "Constants - Refrigerants")</f>
        <v>Constants - Refrigerants</v>
      </c>
      <c r="D66" s="15" t="str">
        <f>INDEX(X_Table_Dairy_ProductionSystems_Method1,3,1)</f>
        <v>Milking shed</v>
      </c>
      <c r="E66" s="15" t="str">
        <f>INDEX(X_Table_Dairy_Stage1MMS_1_DrainsToPaddock,2,1)</f>
        <v>Drains to paddock</v>
      </c>
      <c r="F66" s="15">
        <f ca="1">SUM(OFFSET(X_Table_Dairy_Stage1MMS_1_DrainsToPaddock_Destinations,1,2,1,2))</f>
        <v>0.75</v>
      </c>
      <c r="G66" s="16"/>
    </row>
    <row r="67" spans="1:22" ht="20.100000000000001" customHeight="1" x14ac:dyDescent="0.25">
      <c r="A67" s="5" t="str">
        <f>HYPERLINK("#'Constants - Solid Waste'!A1", "Constants - Solid Waste")</f>
        <v>Constants - Solid Waste</v>
      </c>
      <c r="D67" s="15" t="str">
        <f>INDEX(X_Table_Dairy_ProductionSystems_Method1,3,1)</f>
        <v>Milking shed</v>
      </c>
      <c r="E67" s="15" t="str">
        <f>INDEX(X_Table_Dairy_Stage1MMS_1_SolidStorage,2,1)</f>
        <v>Solid storage (before solid separation)</v>
      </c>
      <c r="F67" s="15">
        <f ca="1">SUM(OFFSET(X_Table_Dairy_Stage1MMS_1_SolidStorage_Destinations,1,2,1,2))</f>
        <v>0.75</v>
      </c>
      <c r="G67" s="16"/>
    </row>
    <row r="68" spans="1:22" ht="20.100000000000001" customHeight="1" x14ac:dyDescent="0.25">
      <c r="A68" s="5" t="str">
        <f>HYPERLINK("#'Acknowledgements'!A1", "Acknowledgements")</f>
        <v>Acknowledgements</v>
      </c>
      <c r="D68" s="15" t="str">
        <f>INDEX(X_Table_Dairy_ProductionSystems_Method1,4,1)</f>
        <v>Feed pad</v>
      </c>
      <c r="E68" s="15" t="str">
        <f>INDEX(X_Table_Dairy_Stage1MMS_2_AnaerobicLagoon,2,1)</f>
        <v>Anaerobic lagoon</v>
      </c>
      <c r="F68" s="15">
        <f ca="1">SUM(OFFSET(X_Table_Dairy_Stage1MMS_2_AnaerobicLagoon_Destinations,1,2,1,2))</f>
        <v>0.75</v>
      </c>
      <c r="G68" s="16"/>
    </row>
    <row r="69" spans="1:22" ht="20.100000000000001" customHeight="1" x14ac:dyDescent="0.25">
      <c r="D69" s="15" t="str">
        <f>INDEX(X_Table_Dairy_ProductionSystems_Method1,4,1)</f>
        <v>Feed pad</v>
      </c>
      <c r="E69" s="15" t="str">
        <f>INDEX(X_Table_Dairy_Stage1MMS_2_SumpAndDispersal,2,1)</f>
        <v>Sump and dispersal system</v>
      </c>
      <c r="F69" s="15">
        <f ca="1">SUM(OFFSET(X_Table_Dairy_Stage1MMS_2_SumpAndDispersal_Destinations,1,2,1,2))</f>
        <v>0.75</v>
      </c>
      <c r="G69" s="16"/>
    </row>
    <row r="70" spans="1:22" ht="20.100000000000001" customHeight="1" x14ac:dyDescent="0.25">
      <c r="D70" s="15" t="str">
        <f>INDEX(X_Table_Dairy_ProductionSystems_Method1,4,1)</f>
        <v>Feed pad</v>
      </c>
      <c r="E70" s="15" t="str">
        <f>INDEX(X_Table_Dairy_Stage1MMS_2_DrainsToPaddock,2,1)</f>
        <v>Drains to paddock</v>
      </c>
      <c r="F70" s="15">
        <f ca="1">SUM(OFFSET(X_Table_Dairy_Stage1MMS_2_DrainsToPaddock_Destinations,1,2,1,2))</f>
        <v>0.75</v>
      </c>
      <c r="G70" s="16"/>
    </row>
    <row r="71" spans="1:22" ht="20.100000000000001" customHeight="1" x14ac:dyDescent="0.25">
      <c r="D71" s="15" t="str">
        <f>INDEX(X_Table_Dairy_ProductionSystems_Method1,4,1)</f>
        <v>Feed pad</v>
      </c>
      <c r="E71" s="15" t="str">
        <f>INDEX(X_Table_Dairy_Stage1MMS_2_SolidStorage,2,1)</f>
        <v>Solid storage (before solid separation)</v>
      </c>
      <c r="F71" s="15">
        <f ca="1">SUM(OFFSET(X_Table_Dairy_Stage1MMS_2_SolidStorage_Destinations,1,2,1,2))</f>
        <v>0.75</v>
      </c>
      <c r="G71" s="16"/>
    </row>
    <row r="72" spans="1:22" ht="20.100000000000001" customHeight="1" x14ac:dyDescent="0.25"/>
    <row r="73" spans="1:22" ht="20.100000000000001" customHeight="1" x14ac:dyDescent="0.25">
      <c r="D73" s="121" t="s">
        <v>565</v>
      </c>
      <c r="O73" s="121" t="s">
        <v>566</v>
      </c>
    </row>
    <row r="74" spans="1:22" ht="20.100000000000001" customHeight="1" x14ac:dyDescent="0.25">
      <c r="D74" s="122" t="s">
        <v>567</v>
      </c>
      <c r="O74" s="122" t="s">
        <v>568</v>
      </c>
    </row>
    <row r="75" spans="1:22" ht="20.100000000000001" customHeight="1" x14ac:dyDescent="0.25">
      <c r="D75" s="123" t="s">
        <v>159</v>
      </c>
      <c r="E75" s="123" t="s">
        <v>427</v>
      </c>
      <c r="F75" s="123" t="s">
        <v>334</v>
      </c>
      <c r="G75" s="123" t="s">
        <v>335</v>
      </c>
      <c r="H75" s="123" t="s">
        <v>336</v>
      </c>
      <c r="I75" s="123" t="s">
        <v>337</v>
      </c>
      <c r="J75" s="123" t="s">
        <v>338</v>
      </c>
      <c r="O75" s="123" t="s">
        <v>159</v>
      </c>
      <c r="P75" s="123" t="s">
        <v>427</v>
      </c>
      <c r="Q75" s="123" t="s">
        <v>334</v>
      </c>
      <c r="R75" s="123" t="s">
        <v>335</v>
      </c>
      <c r="S75" s="123" t="s">
        <v>336</v>
      </c>
      <c r="T75" s="123" t="s">
        <v>337</v>
      </c>
      <c r="U75" s="123" t="s">
        <v>338</v>
      </c>
    </row>
    <row r="76" spans="1:22" ht="20.100000000000001" customHeight="1" x14ac:dyDescent="0.25">
      <c r="D76" s="15" t="str">
        <f>INDEX(X_Table_Dairy_ProductionSystems_Method1,3,1)</f>
        <v>Milking shed</v>
      </c>
      <c r="E76" s="15" t="str">
        <f>INDEX(X_Table_Dairy_Stage1MMS_1_AnaerobicLagoon,2,1)</f>
        <v>Anaerobic lagoon</v>
      </c>
      <c r="F76" s="15" cm="1">
        <f t="array" aca="1" ref="F76" ca="1">MMS_Dairy_ManureAppliedToSoils_Equations.VEERG_4_3_1_8__1_MassOfNitrogenAppliedToSoilsScope1(F40,_xlfn.XLOOKUP($E76,$D$22:$D$26,$E$22:$E$26),_xlfn.XLOOKUP($E76, $D$31:$D$35,$E$31:$E$35),F52,$F64)</f>
        <v>194.63245271314003</v>
      </c>
      <c r="G76" s="15" cm="1">
        <f t="array" aca="1" ref="G76" ca="1">MMS_Dairy_ManureAppliedToSoils_Equations.VEERG_4_3_1_8__1_MassOfNitrogenAppliedToSoilsScope1(G40,_xlfn.XLOOKUP($E76,$D$22:$D$26,$E$22:$E$26),_xlfn.XLOOKUP($E76, $D$31:$D$35,$E$31:$E$35),G52,$F64)</f>
        <v>88.899477555437642</v>
      </c>
      <c r="H76" s="15" cm="1">
        <f t="array" aca="1" ref="H76" ca="1">MMS_Dairy_ManureAppliedToSoils_Equations.VEERG_4_3_1_8__1_MassOfNitrogenAppliedToSoilsScope1(H40,_xlfn.XLOOKUP($E76,$D$22:$D$26,$E$22:$E$26),_xlfn.XLOOKUP($E76, $D$31:$D$35,$E$31:$E$35),H52,$F64)</f>
        <v>35.407721760373668</v>
      </c>
      <c r="I76" s="15" cm="1">
        <f t="array" aca="1" ref="I76" ca="1">MMS_Dairy_ManureAppliedToSoils_Equations.VEERG_4_3_1_8__1_MassOfNitrogenAppliedToSoilsScope1(I40,_xlfn.XLOOKUP($E76,$D$22:$D$26,$E$22:$E$26),_xlfn.XLOOKUP($E76, $D$31:$D$35,$E$31:$E$35),I52,$F64)</f>
        <v>111.75015917318586</v>
      </c>
      <c r="J76" s="15" cm="1">
        <f t="array" aca="1" ref="J76" ca="1">MMS_Dairy_ManureAppliedToSoils_Equations.VEERG_4_3_1_8__1_MassOfNitrogenAppliedToSoilsScope1(J40,_xlfn.XLOOKUP($E76,$D$22:$D$26,$E$22:$E$26),_xlfn.XLOOKUP($E76, $D$31:$D$35,$E$31:$E$35),J52,$F64)</f>
        <v>46.78189282603951</v>
      </c>
      <c r="K76" s="16" t="str">
        <f t="shared" ref="K76" si="0">$E$11</f>
        <v>kg N</v>
      </c>
      <c r="O76" s="15" t="str">
        <f>INDEX(X_Table_Dairy_ProductionSystems_Method1,3,1)</f>
        <v>Milking shed</v>
      </c>
      <c r="P76" s="15" t="str">
        <f>INDEX(X_Table_Dairy_Stage1MMS_1_AnaerobicLagoon,2,1)</f>
        <v>Anaerobic lagoon</v>
      </c>
      <c r="Q76" s="15" cm="1">
        <f t="array" aca="1" ref="Q76" ca="1">MMS_Dairy_ManureAppliedToSoils_Equations.VEERG_4_3_1_8__1_MassOfNitrogenAppliedToSoilsScope1(Q40,_xlfn.XLOOKUP($P76,$D$22:$D$26,$E$22:$E$26),_xlfn.XLOOKUP($P76, $D$31:$D$35,$E$31:$E$35),Q52,$F64)</f>
        <v>194.63245271314003</v>
      </c>
      <c r="R76" s="15" cm="1">
        <f t="array" aca="1" ref="R76" ca="1">MMS_Dairy_ManureAppliedToSoils_Equations.VEERG_4_3_1_8__1_MassOfNitrogenAppliedToSoilsScope1(R40,_xlfn.XLOOKUP($P76,$D$22:$D$26,$E$22:$E$26),_xlfn.XLOOKUP($P76, $D$31:$D$35,$E$31:$E$35),R52,$F64)</f>
        <v>88.899477555437642</v>
      </c>
      <c r="S76" s="15" cm="1">
        <f t="array" aca="1" ref="S76" ca="1">MMS_Dairy_ManureAppliedToSoils_Equations.VEERG_4_3_1_8__1_MassOfNitrogenAppliedToSoilsScope1(S40,_xlfn.XLOOKUP($P76,$D$22:$D$26,$E$22:$E$26),_xlfn.XLOOKUP($P76, $D$31:$D$35,$E$31:$E$35),S52,$F64)</f>
        <v>35.407721760373668</v>
      </c>
      <c r="T76" s="15" cm="1">
        <f t="array" aca="1" ref="T76" ca="1">MMS_Dairy_ManureAppliedToSoils_Equations.VEERG_4_3_1_8__1_MassOfNitrogenAppliedToSoilsScope1(T40,_xlfn.XLOOKUP($P76,$D$22:$D$26,$E$22:$E$26),_xlfn.XLOOKUP($P76, $D$31:$D$35,$E$31:$E$35),T52,$F64)</f>
        <v>111.75015917318586</v>
      </c>
      <c r="U76" s="15" cm="1">
        <f t="array" aca="1" ref="U76" ca="1">MMS_Dairy_ManureAppliedToSoils_Equations.VEERG_4_3_1_8__1_MassOfNitrogenAppliedToSoilsScope1(U40,_xlfn.XLOOKUP($P76,$D$22:$D$26,$E$22:$E$26),_xlfn.XLOOKUP($P76, $D$31:$D$35,$E$31:$E$35),U52,$F64)</f>
        <v>46.78189282603951</v>
      </c>
      <c r="V76" s="16" t="str">
        <f t="shared" ref="V76" si="1">$E$11</f>
        <v>kg N</v>
      </c>
    </row>
    <row r="77" spans="1:22" ht="20.100000000000001" customHeight="1" x14ac:dyDescent="0.25">
      <c r="D77" s="15" t="str">
        <f>INDEX(X_Table_Dairy_ProductionSystems_Method1,3,1)</f>
        <v>Milking shed</v>
      </c>
      <c r="E77" s="15" t="str">
        <f>INDEX(X_Table_Dairy_Stage1MMS_1_SumpAndDispersal,2,1)</f>
        <v>Sump and dispersal system</v>
      </c>
      <c r="F77" s="15" cm="1">
        <f t="array" aca="1" ref="F77" ca="1">MMS_Dairy_ManureAppliedToSoils_Equations.VEERG_4_3_1_8__1_MassOfNitrogenAppliedToSoilsScope1(F41,_xlfn.XLOOKUP($E77,$D$22:$D$26,$E$22:$E$26),_xlfn.XLOOKUP($E77, $D$31:$D$35,$E$31:$E$35),F53,$F65)</f>
        <v>278.47412465110807</v>
      </c>
      <c r="G77" s="15" cm="1">
        <f t="array" aca="1" ref="G77" ca="1">MMS_Dairy_ManureAppliedToSoils_Equations.VEERG_4_3_1_8__1_MassOfNitrogenAppliedToSoilsScope1(G41,_xlfn.XLOOKUP($E77,$D$22:$D$26,$E$22:$E$26),_xlfn.XLOOKUP($E77, $D$31:$D$35,$E$31:$E$35),G53,$F65)</f>
        <v>127.19463711777999</v>
      </c>
      <c r="H77" s="15" cm="1">
        <f t="array" aca="1" ref="H77" ca="1">MMS_Dairy_ManureAppliedToSoils_Equations.VEERG_4_3_1_8__1_MassOfNitrogenAppliedToSoilsScope1(H41,_xlfn.XLOOKUP($E77,$D$22:$D$26,$E$22:$E$26),_xlfn.XLOOKUP($E77, $D$31:$D$35,$E$31:$E$35),H53,$F65)</f>
        <v>50.660278826380789</v>
      </c>
      <c r="I77" s="15" cm="1">
        <f t="array" aca="1" ref="I77" ca="1">MMS_Dairy_ManureAppliedToSoils_Equations.VEERG_4_3_1_8__1_MassOfNitrogenAppliedToSoilsScope1(I41,_xlfn.XLOOKUP($E77,$D$22:$D$26,$E$22:$E$26),_xlfn.XLOOKUP($E77, $D$31:$D$35,$E$31:$E$35),I53,$F65)</f>
        <v>159.88868927855822</v>
      </c>
      <c r="J77" s="15" cm="1">
        <f t="array" aca="1" ref="J77" ca="1">MMS_Dairy_ManureAppliedToSoils_Equations.VEERG_4_3_1_8__1_MassOfNitrogenAppliedToSoilsScope1(J41,_xlfn.XLOOKUP($E77,$D$22:$D$26,$E$22:$E$26),_xlfn.XLOOKUP($E77, $D$31:$D$35,$E$31:$E$35),J53,$F65)</f>
        <v>66.934092812641154</v>
      </c>
      <c r="K77" s="16"/>
      <c r="O77" s="15" t="str">
        <f>INDEX(X_Table_Dairy_ProductionSystems_Method1,3,1)</f>
        <v>Milking shed</v>
      </c>
      <c r="P77" s="15" t="str">
        <f>INDEX(X_Table_Dairy_Stage1MMS_1_SumpAndDispersal,2,1)</f>
        <v>Sump and dispersal system</v>
      </c>
      <c r="Q77" s="15" cm="1">
        <f t="array" aca="1" ref="Q77" ca="1">MMS_Dairy_ManureAppliedToSoils_Equations.VEERG_4_3_1_8__1_MassOfNitrogenAppliedToSoilsScope1(Q41,_xlfn.XLOOKUP($P77,$D$22:$D$26,$E$22:$E$26),_xlfn.XLOOKUP($P77, $D$31:$D$35,$E$31:$E$35),Q53,$F65)</f>
        <v>278.47412465110807</v>
      </c>
      <c r="R77" s="15" cm="1">
        <f t="array" aca="1" ref="R77" ca="1">MMS_Dairy_ManureAppliedToSoils_Equations.VEERG_4_3_1_8__1_MassOfNitrogenAppliedToSoilsScope1(R41,_xlfn.XLOOKUP($P77,$D$22:$D$26,$E$22:$E$26),_xlfn.XLOOKUP($P77, $D$31:$D$35,$E$31:$E$35),R53,$F65)</f>
        <v>127.19463711777999</v>
      </c>
      <c r="S77" s="15" cm="1">
        <f t="array" aca="1" ref="S77" ca="1">MMS_Dairy_ManureAppliedToSoils_Equations.VEERG_4_3_1_8__1_MassOfNitrogenAppliedToSoilsScope1(S41,_xlfn.XLOOKUP($P77,$D$22:$D$26,$E$22:$E$26),_xlfn.XLOOKUP($P77, $D$31:$D$35,$E$31:$E$35),S53,$F65)</f>
        <v>50.660278826380789</v>
      </c>
      <c r="T77" s="15" cm="1">
        <f t="array" aca="1" ref="T77" ca="1">MMS_Dairy_ManureAppliedToSoils_Equations.VEERG_4_3_1_8__1_MassOfNitrogenAppliedToSoilsScope1(T41,_xlfn.XLOOKUP($P77,$D$22:$D$26,$E$22:$E$26),_xlfn.XLOOKUP($P77, $D$31:$D$35,$E$31:$E$35),T53,$F65)</f>
        <v>159.88868927855822</v>
      </c>
      <c r="U77" s="15" cm="1">
        <f t="array" aca="1" ref="U77" ca="1">MMS_Dairy_ManureAppliedToSoils_Equations.VEERG_4_3_1_8__1_MassOfNitrogenAppliedToSoilsScope1(U41,_xlfn.XLOOKUP($P77,$D$22:$D$26,$E$22:$E$26),_xlfn.XLOOKUP($P77, $D$31:$D$35,$E$31:$E$35),U53,$F65)</f>
        <v>66.934092812641154</v>
      </c>
      <c r="V77" s="16"/>
    </row>
    <row r="78" spans="1:22" ht="20.100000000000001" customHeight="1" x14ac:dyDescent="0.25">
      <c r="D78" s="15" t="str">
        <f>INDEX(X_Table_Dairy_ProductionSystems_Method1,3,1)</f>
        <v>Milking shed</v>
      </c>
      <c r="E78" s="15" t="str">
        <f>INDEX(X_Table_Dairy_Stage1MMS_1_DrainsToPaddock,2,1)</f>
        <v>Drains to paddock</v>
      </c>
      <c r="F78" s="15" cm="1">
        <f t="array" aca="1" ref="F78" ca="1">MMS_Dairy_ManureAppliedToSoils_Equations.VEERG_4_3_1_8__1_MassOfNitrogenAppliedToSoilsScope1(F42,_xlfn.XLOOKUP($E78,$D$22:$D$26,$E$22:$E$26),_xlfn.XLOOKUP($E78, $D$31:$D$35,$E$31:$E$35),F54,$F66)</f>
        <v>239.54763410848008</v>
      </c>
      <c r="G78" s="15" cm="1">
        <f t="array" aca="1" ref="G78" ca="1">MMS_Dairy_ManureAppliedToSoils_Equations.VEERG_4_3_1_8__1_MassOfNitrogenAppliedToSoilsScope1(G42,_xlfn.XLOOKUP($E78,$D$22:$D$26,$E$22:$E$26),_xlfn.XLOOKUP($E78, $D$31:$D$35,$E$31:$E$35),G54,$F66)</f>
        <v>109.41474160669247</v>
      </c>
      <c r="H78" s="15" cm="1">
        <f t="array" aca="1" ref="H78" ca="1">MMS_Dairy_ManureAppliedToSoils_Equations.VEERG_4_3_1_8__1_MassOfNitrogenAppliedToSoilsScope1(H42,_xlfn.XLOOKUP($E78,$D$22:$D$26,$E$22:$E$26),_xlfn.XLOOKUP($E78, $D$31:$D$35,$E$31:$E$35),H54,$F66)</f>
        <v>43.57873447430606</v>
      </c>
      <c r="I78" s="15" cm="1">
        <f t="array" aca="1" ref="I78" ca="1">MMS_Dairy_ManureAppliedToSoils_Equations.VEERG_4_3_1_8__1_MassOfNitrogenAppliedToSoilsScope1(I42,_xlfn.XLOOKUP($E78,$D$22:$D$26,$E$22:$E$26),_xlfn.XLOOKUP($E78, $D$31:$D$35,$E$31:$E$35),I54,$F66)</f>
        <v>137.53865744392107</v>
      </c>
      <c r="J78" s="15" cm="1">
        <f t="array" aca="1" ref="J78" ca="1">MMS_Dairy_ManureAppliedToSoils_Equations.VEERG_4_3_1_8__1_MassOfNitrogenAppliedToSoilsScope1(J42,_xlfn.XLOOKUP($E78,$D$22:$D$26,$E$22:$E$26),_xlfn.XLOOKUP($E78, $D$31:$D$35,$E$31:$E$35),J54,$F66)</f>
        <v>57.577714247433249</v>
      </c>
      <c r="K78" s="16"/>
      <c r="O78" s="15" t="str">
        <f>INDEX(X_Table_Dairy_ProductionSystems_Method1,3,1)</f>
        <v>Milking shed</v>
      </c>
      <c r="P78" s="15" t="str">
        <f>INDEX(X_Table_Dairy_Stage1MMS_1_DrainsToPaddock,2,1)</f>
        <v>Drains to paddock</v>
      </c>
      <c r="Q78" s="15" cm="1">
        <f t="array" aca="1" ref="Q78" ca="1">MMS_Dairy_ManureAppliedToSoils_Equations.VEERG_4_3_1_8__1_MassOfNitrogenAppliedToSoilsScope1(Q42,_xlfn.XLOOKUP($P78,$D$22:$D$26,$E$22:$E$26),_xlfn.XLOOKUP($P78, $D$31:$D$35,$E$31:$E$35),Q54,$F66)</f>
        <v>239.54763410848008</v>
      </c>
      <c r="R78" s="15" cm="1">
        <f t="array" aca="1" ref="R78" ca="1">MMS_Dairy_ManureAppliedToSoils_Equations.VEERG_4_3_1_8__1_MassOfNitrogenAppliedToSoilsScope1(R42,_xlfn.XLOOKUP($P78,$D$22:$D$26,$E$22:$E$26),_xlfn.XLOOKUP($P78, $D$31:$D$35,$E$31:$E$35),R54,$F66)</f>
        <v>109.41474160669247</v>
      </c>
      <c r="S78" s="15" cm="1">
        <f t="array" aca="1" ref="S78" ca="1">MMS_Dairy_ManureAppliedToSoils_Equations.VEERG_4_3_1_8__1_MassOfNitrogenAppliedToSoilsScope1(S42,_xlfn.XLOOKUP($P78,$D$22:$D$26,$E$22:$E$26),_xlfn.XLOOKUP($P78, $D$31:$D$35,$E$31:$E$35),S54,$F66)</f>
        <v>43.57873447430606</v>
      </c>
      <c r="T78" s="15" cm="1">
        <f t="array" aca="1" ref="T78" ca="1">MMS_Dairy_ManureAppliedToSoils_Equations.VEERG_4_3_1_8__1_MassOfNitrogenAppliedToSoilsScope1(T42,_xlfn.XLOOKUP($P78,$D$22:$D$26,$E$22:$E$26),_xlfn.XLOOKUP($P78, $D$31:$D$35,$E$31:$E$35),T54,$F66)</f>
        <v>137.53865744392107</v>
      </c>
      <c r="U78" s="15" cm="1">
        <f t="array" aca="1" ref="U78" ca="1">MMS_Dairy_ManureAppliedToSoils_Equations.VEERG_4_3_1_8__1_MassOfNitrogenAppliedToSoilsScope1(U42,_xlfn.XLOOKUP($P78,$D$22:$D$26,$E$22:$E$26),_xlfn.XLOOKUP($P78, $D$31:$D$35,$E$31:$E$35),U54,$F66)</f>
        <v>57.577714247433249</v>
      </c>
      <c r="V78" s="16"/>
    </row>
    <row r="79" spans="1:22" ht="20.100000000000001" customHeight="1" x14ac:dyDescent="0.25">
      <c r="D79" s="15" t="str">
        <f>INDEX(X_Table_Dairy_ProductionSystems_Method1,3,1)</f>
        <v>Milking shed</v>
      </c>
      <c r="E79" s="15" t="s">
        <v>75</v>
      </c>
      <c r="F79" s="15" cm="1">
        <f t="array" aca="1" ref="F79" ca="1">MMS_Dairy_ManureAppliedToSoils_Equations.VEERG_4_3_1_8__1_MassOfNitrogenAppliedToSoilsScope1(F43,_xlfn.XLOOKUP($E79,$D$22:$D$26,$E$22:$E$26),_xlfn.XLOOKUP($E79, $D$31:$D$35,$E$31:$E$35),F55,$F67)</f>
        <v>404.23663255806008</v>
      </c>
      <c r="G79" s="15" cm="1">
        <f t="array" aca="1" ref="G79" ca="1">MMS_Dairy_ManureAppliedToSoils_Equations.VEERG_4_3_1_8__1_MassOfNitrogenAppliedToSoilsScope1(G43,_xlfn.XLOOKUP($E79,$D$22:$D$26,$E$22:$E$26),_xlfn.XLOOKUP($E79, $D$31:$D$35,$E$31:$E$35),G55,$F67)</f>
        <v>184.63737646129354</v>
      </c>
      <c r="H79" s="15" cm="1">
        <f t="array" aca="1" ref="H79" ca="1">MMS_Dairy_ManureAppliedToSoils_Equations.VEERG_4_3_1_8__1_MassOfNitrogenAppliedToSoilsScope1(H43,_xlfn.XLOOKUP($E79,$D$22:$D$26,$E$22:$E$26),_xlfn.XLOOKUP($E79, $D$31:$D$35,$E$31:$E$35),H55,$F67)</f>
        <v>73.539114425391446</v>
      </c>
      <c r="I79" s="15" cm="1">
        <f t="array" aca="1" ref="I79" ca="1">MMS_Dairy_ManureAppliedToSoils_Equations.VEERG_4_3_1_8__1_MassOfNitrogenAppliedToSoilsScope1(I43,_xlfn.XLOOKUP($E79,$D$22:$D$26,$E$22:$E$26),_xlfn.XLOOKUP($E79, $D$31:$D$35,$E$31:$E$35),I55,$F67)</f>
        <v>232.09648443661678</v>
      </c>
      <c r="J79" s="15" cm="1">
        <f t="array" aca="1" ref="J79" ca="1">MMS_Dairy_ManureAppliedToSoils_Equations.VEERG_4_3_1_8__1_MassOfNitrogenAppliedToSoilsScope1(J43,_xlfn.XLOOKUP($E79,$D$22:$D$26,$E$22:$E$26),_xlfn.XLOOKUP($E79, $D$31:$D$35,$E$31:$E$35),J55,$F67)</f>
        <v>97.162392792543585</v>
      </c>
      <c r="K79" s="16"/>
      <c r="O79" s="15" t="str">
        <f>INDEX(X_Table_Dairy_ProductionSystems_Method1,3,1)</f>
        <v>Milking shed</v>
      </c>
      <c r="P79" s="15" t="s">
        <v>75</v>
      </c>
      <c r="Q79" s="15" cm="1">
        <f t="array" aca="1" ref="Q79" ca="1">MMS_Dairy_ManureAppliedToSoils_Equations.VEERG_4_3_1_8__1_MassOfNitrogenAppliedToSoilsScope1(Q43,_xlfn.XLOOKUP($P79,$D$22:$D$26,$E$22:$E$26),_xlfn.XLOOKUP($P79, $D$31:$D$35,$E$31:$E$35),Q55,$F67)</f>
        <v>404.23663255806008</v>
      </c>
      <c r="R79" s="15" cm="1">
        <f t="array" aca="1" ref="R79" ca="1">MMS_Dairy_ManureAppliedToSoils_Equations.VEERG_4_3_1_8__1_MassOfNitrogenAppliedToSoilsScope1(R43,_xlfn.XLOOKUP($P79,$D$22:$D$26,$E$22:$E$26),_xlfn.XLOOKUP($P79, $D$31:$D$35,$E$31:$E$35),R55,$F67)</f>
        <v>184.63737646129354</v>
      </c>
      <c r="S79" s="15" cm="1">
        <f t="array" aca="1" ref="S79" ca="1">MMS_Dairy_ManureAppliedToSoils_Equations.VEERG_4_3_1_8__1_MassOfNitrogenAppliedToSoilsScope1(S43,_xlfn.XLOOKUP($P79,$D$22:$D$26,$E$22:$E$26),_xlfn.XLOOKUP($P79, $D$31:$D$35,$E$31:$E$35),S55,$F67)</f>
        <v>73.539114425391446</v>
      </c>
      <c r="T79" s="15" cm="1">
        <f t="array" aca="1" ref="T79" ca="1">MMS_Dairy_ManureAppliedToSoils_Equations.VEERG_4_3_1_8__1_MassOfNitrogenAppliedToSoilsScope1(T43,_xlfn.XLOOKUP($P79,$D$22:$D$26,$E$22:$E$26),_xlfn.XLOOKUP($P79, $D$31:$D$35,$E$31:$E$35),T55,$F67)</f>
        <v>232.09648443661678</v>
      </c>
      <c r="U79" s="15" cm="1">
        <f t="array" aca="1" ref="U79" ca="1">MMS_Dairy_ManureAppliedToSoils_Equations.VEERG_4_3_1_8__1_MassOfNitrogenAppliedToSoilsScope1(U43,_xlfn.XLOOKUP($P79,$D$22:$D$26,$E$22:$E$26),_xlfn.XLOOKUP($P79, $D$31:$D$35,$E$31:$E$35),U55,$F67)</f>
        <v>97.162392792543585</v>
      </c>
      <c r="V79" s="16"/>
    </row>
    <row r="80" spans="1:22" ht="20.100000000000001" customHeight="1" x14ac:dyDescent="0.25">
      <c r="D80" s="15" t="str">
        <f>INDEX(X_Table_Dairy_ProductionSystems_Method1,4,1)</f>
        <v>Feed pad</v>
      </c>
      <c r="E80" s="15" t="str">
        <f>INDEX(X_Table_Dairy_Stage1MMS_2_AnaerobicLagoon,2,1)</f>
        <v>Anaerobic lagoon</v>
      </c>
      <c r="F80" s="15" cm="1">
        <f t="array" aca="1" ref="F80" ca="1">MMS_Dairy_ManureAppliedToSoils_Equations.VEERG_4_3_1_8__1_MassOfNitrogenAppliedToSoilsScope1(F44,_xlfn.XLOOKUP($E80,$D$22:$D$26,$E$22:$E$26),_xlfn.XLOOKUP($E80, $D$31:$D$35,$E$31:$E$35),F56,$F68)</f>
        <v>787.37674052133912</v>
      </c>
      <c r="G80" s="15" cm="1">
        <f t="array" aca="1" ref="G80" ca="1">MMS_Dairy_ManureAppliedToSoils_Equations.VEERG_4_3_1_8__1_MassOfNitrogenAppliedToSoilsScope1(G44,_xlfn.XLOOKUP($E80,$D$22:$D$26,$E$22:$E$26),_xlfn.XLOOKUP($E80, $D$31:$D$35,$E$31:$E$35),G56,$F68)</f>
        <v>359.63879556517946</v>
      </c>
      <c r="H80" s="15" cm="1">
        <f t="array" aca="1" ref="H80" ca="1">MMS_Dairy_ManureAppliedToSoils_Equations.VEERG_4_3_1_8__1_MassOfNitrogenAppliedToSoilsScope1(H44,_xlfn.XLOOKUP($E80,$D$22:$D$26,$E$22:$E$26),_xlfn.XLOOKUP($E80, $D$31:$D$35,$E$31:$E$35),H56,$F68)</f>
        <v>143.24032893969348</v>
      </c>
      <c r="I80" s="15" cm="1">
        <f t="array" aca="1" ref="I80" ca="1">MMS_Dairy_ManureAppliedToSoils_Equations.VEERG_4_3_1_8__1_MassOfNitrogenAppliedToSoilsScope1(I44,_xlfn.XLOOKUP($E80,$D$22:$D$26,$E$22:$E$26),_xlfn.XLOOKUP($E80, $D$31:$D$35,$E$31:$E$35),I56,$F68)</f>
        <v>452.08018938243373</v>
      </c>
      <c r="J80" s="15" cm="1">
        <f t="array" aca="1" ref="J80" ca="1">MMS_Dairy_ManureAppliedToSoils_Equations.VEERG_4_3_1_8__1_MassOfNitrogenAppliedToSoilsScope1(J44,_xlfn.XLOOKUP($E80,$D$22:$D$26,$E$22:$E$26),_xlfn.XLOOKUP($E80, $D$31:$D$35,$E$31:$E$35),J56,$F68)</f>
        <v>189.25402097806892</v>
      </c>
      <c r="K80" s="16"/>
      <c r="O80" s="15" t="str">
        <f>INDEX(X_Table_Dairy_ProductionSystems_Method1,4,1)</f>
        <v>Feed pad</v>
      </c>
      <c r="P80" s="15" t="str">
        <f>INDEX(X_Table_Dairy_Stage1MMS_2_AnaerobicLagoon,2,1)</f>
        <v>Anaerobic lagoon</v>
      </c>
      <c r="Q80" s="15" cm="1">
        <f t="array" aca="1" ref="Q80" ca="1">MMS_Dairy_ManureAppliedToSoils_Equations.VEERG_4_3_1_8__1_MassOfNitrogenAppliedToSoilsScope1(Q44,_xlfn.XLOOKUP($P80,$D$22:$D$26,$E$22:$E$26),_xlfn.XLOOKUP($P80, $D$31:$D$35,$E$31:$E$35),Q56,$F68)</f>
        <v>787.37674052133912</v>
      </c>
      <c r="R80" s="15" cm="1">
        <f t="array" aca="1" ref="R80" ca="1">MMS_Dairy_ManureAppliedToSoils_Equations.VEERG_4_3_1_8__1_MassOfNitrogenAppliedToSoilsScope1(R44,_xlfn.XLOOKUP($P80,$D$22:$D$26,$E$22:$E$26),_xlfn.XLOOKUP($P80, $D$31:$D$35,$E$31:$E$35),R56,$F68)</f>
        <v>359.63879556517946</v>
      </c>
      <c r="S80" s="15" cm="1">
        <f t="array" aca="1" ref="S80" ca="1">MMS_Dairy_ManureAppliedToSoils_Equations.VEERG_4_3_1_8__1_MassOfNitrogenAppliedToSoilsScope1(S44,_xlfn.XLOOKUP($P80,$D$22:$D$26,$E$22:$E$26),_xlfn.XLOOKUP($P80, $D$31:$D$35,$E$31:$E$35),S56,$F68)</f>
        <v>143.24032893969348</v>
      </c>
      <c r="T80" s="15" cm="1">
        <f t="array" aca="1" ref="T80" ca="1">MMS_Dairy_ManureAppliedToSoils_Equations.VEERG_4_3_1_8__1_MassOfNitrogenAppliedToSoilsScope1(T44,_xlfn.XLOOKUP($P80,$D$22:$D$26,$E$22:$E$26),_xlfn.XLOOKUP($P80, $D$31:$D$35,$E$31:$E$35),T56,$F68)</f>
        <v>452.08018938243373</v>
      </c>
      <c r="U80" s="15" cm="1">
        <f t="array" aca="1" ref="U80" ca="1">MMS_Dairy_ManureAppliedToSoils_Equations.VEERG_4_3_1_8__1_MassOfNitrogenAppliedToSoilsScope1(U44,_xlfn.XLOOKUP($P80,$D$22:$D$26,$E$22:$E$26),_xlfn.XLOOKUP($P80, $D$31:$D$35,$E$31:$E$35),U56,$F68)</f>
        <v>189.25402097806892</v>
      </c>
      <c r="V80" s="16"/>
    </row>
    <row r="81" spans="3:23" ht="20.100000000000001" customHeight="1" x14ac:dyDescent="0.25">
      <c r="D81" s="15" t="str">
        <f>INDEX(X_Table_Dairy_ProductionSystems_Method1,4,1)</f>
        <v>Feed pad</v>
      </c>
      <c r="E81" s="15" t="str">
        <f>INDEX(X_Table_Dairy_Stage1MMS_2_SumpAndDispersal,2,1)</f>
        <v>Sump and dispersal system</v>
      </c>
      <c r="F81" s="15" cm="1">
        <f t="array" aca="1" ref="F81" ca="1">MMS_Dairy_ManureAppliedToSoils_Equations.VEERG_4_3_1_8__1_MassOfNitrogenAppliedToSoilsScope1(F45,_xlfn.XLOOKUP($E81,$D$22:$D$26,$E$22:$E$26),_xlfn.XLOOKUP($E81, $D$31:$D$35,$E$31:$E$35),F57,$F69)</f>
        <v>901.24353068904043</v>
      </c>
      <c r="G81" s="15" cm="1">
        <f t="array" aca="1" ref="G81" ca="1">MMS_Dairy_ManureAppliedToSoils_Equations.VEERG_4_3_1_8__1_MassOfNitrogenAppliedToSoilsScope1(G45,_xlfn.XLOOKUP($E81,$D$22:$D$26,$E$22:$E$26),_xlfn.XLOOKUP($E81, $D$31:$D$35,$E$31:$E$35),G57,$F69)</f>
        <v>411.64809830845161</v>
      </c>
      <c r="H81" s="15" cm="1">
        <f t="array" aca="1" ref="H81" ca="1">MMS_Dairy_ManureAppliedToSoils_Equations.VEERG_4_3_1_8__1_MassOfNitrogenAppliedToSoilsScope1(H45,_xlfn.XLOOKUP($E81,$D$22:$D$26,$E$22:$E$26),_xlfn.XLOOKUP($E81, $D$31:$D$35,$E$31:$E$35),H57,$F69)</f>
        <v>163.95508420174144</v>
      </c>
      <c r="I81" s="15" cm="1">
        <f t="array" aca="1" ref="I81" ca="1">MMS_Dairy_ManureAppliedToSoils_Equations.VEERG_4_3_1_8__1_MassOfNitrogenAppliedToSoilsScope1(I45,_xlfn.XLOOKUP($E81,$D$22:$D$26,$E$22:$E$26),_xlfn.XLOOKUP($E81, $D$31:$D$35,$E$31:$E$35),I57,$F69)</f>
        <v>517.45793984697025</v>
      </c>
      <c r="J81" s="15" cm="1">
        <f t="array" aca="1" ref="J81" ca="1">MMS_Dairy_ManureAppliedToSoils_Equations.VEERG_4_3_1_8__1_MassOfNitrogenAppliedToSoilsScope1(J45,_xlfn.XLOOKUP($E81,$D$22:$D$26,$E$22:$E$26),_xlfn.XLOOKUP($E81, $D$31:$D$35,$E$31:$E$35),J57,$F69)</f>
        <v>216.62306401182042</v>
      </c>
      <c r="K81" s="16"/>
      <c r="O81" s="15" t="str">
        <f>INDEX(X_Table_Dairy_ProductionSystems_Method1,4,1)</f>
        <v>Feed pad</v>
      </c>
      <c r="P81" s="15" t="str">
        <f>INDEX(X_Table_Dairy_Stage1MMS_2_SumpAndDispersal,2,1)</f>
        <v>Sump and dispersal system</v>
      </c>
      <c r="Q81" s="15" cm="1">
        <f t="array" aca="1" ref="Q81" ca="1">MMS_Dairy_ManureAppliedToSoils_Equations.VEERG_4_3_1_8__1_MassOfNitrogenAppliedToSoilsScope1(Q45,_xlfn.XLOOKUP($P81,$D$22:$D$26,$E$22:$E$26),_xlfn.XLOOKUP($P81, $D$31:$D$35,$E$31:$E$35),Q57,$F69)</f>
        <v>901.24353068904043</v>
      </c>
      <c r="R81" s="15" cm="1">
        <f t="array" aca="1" ref="R81" ca="1">MMS_Dairy_ManureAppliedToSoils_Equations.VEERG_4_3_1_8__1_MassOfNitrogenAppliedToSoilsScope1(R45,_xlfn.XLOOKUP($P81,$D$22:$D$26,$E$22:$E$26),_xlfn.XLOOKUP($P81, $D$31:$D$35,$E$31:$E$35),R57,$F69)</f>
        <v>411.64809830845161</v>
      </c>
      <c r="S81" s="15" cm="1">
        <f t="array" aca="1" ref="S81" ca="1">MMS_Dairy_ManureAppliedToSoils_Equations.VEERG_4_3_1_8__1_MassOfNitrogenAppliedToSoilsScope1(S45,_xlfn.XLOOKUP($P81,$D$22:$D$26,$E$22:$E$26),_xlfn.XLOOKUP($P81, $D$31:$D$35,$E$31:$E$35),S57,$F69)</f>
        <v>163.95508420174144</v>
      </c>
      <c r="T81" s="15" cm="1">
        <f t="array" aca="1" ref="T81" ca="1">MMS_Dairy_ManureAppliedToSoils_Equations.VEERG_4_3_1_8__1_MassOfNitrogenAppliedToSoilsScope1(T45,_xlfn.XLOOKUP($P81,$D$22:$D$26,$E$22:$E$26),_xlfn.XLOOKUP($P81, $D$31:$D$35,$E$31:$E$35),T57,$F69)</f>
        <v>517.45793984697025</v>
      </c>
      <c r="U81" s="15" cm="1">
        <f t="array" aca="1" ref="U81" ca="1">MMS_Dairy_ManureAppliedToSoils_Equations.VEERG_4_3_1_8__1_MassOfNitrogenAppliedToSoilsScope1(U45,_xlfn.XLOOKUP($P81,$D$22:$D$26,$E$22:$E$26),_xlfn.XLOOKUP($P81, $D$31:$D$35,$E$31:$E$35),U57,$F69)</f>
        <v>216.62306401182042</v>
      </c>
      <c r="V81" s="16"/>
    </row>
    <row r="82" spans="3:23" ht="20.100000000000001" customHeight="1" x14ac:dyDescent="0.25">
      <c r="D82" s="15" t="str">
        <f>INDEX(X_Table_Dairy_ProductionSystems_Method1,4,1)</f>
        <v>Feed pad</v>
      </c>
      <c r="E82" s="15" t="str">
        <f>INDEX(X_Table_Dairy_Stage1MMS_2_DrainsToPaddock,2,1)</f>
        <v>Drains to paddock</v>
      </c>
      <c r="F82" s="15" cm="1">
        <f t="array" aca="1" ref="F82" ca="1">MMS_Dairy_ManureAppliedToSoils_Equations.VEERG_4_3_1_8__1_MassOfNitrogenAppliedToSoilsScope1(F46,_xlfn.XLOOKUP($E82,$D$22:$D$26,$E$22:$E$26),_xlfn.XLOOKUP($E82, $D$31:$D$35,$E$31:$E$35),F58,$F70)</f>
        <v>775.26325220562626</v>
      </c>
      <c r="G82" s="15" cm="1">
        <f t="array" aca="1" ref="G82" ca="1">MMS_Dairy_ManureAppliedToSoils_Equations.VEERG_4_3_1_8__1_MassOfNitrogenAppliedToSoilsScope1(G46,_xlfn.XLOOKUP($E82,$D$22:$D$26,$E$22:$E$26),_xlfn.XLOOKUP($E82, $D$31:$D$35,$E$31:$E$35),G58,$F70)</f>
        <v>354.10589101802293</v>
      </c>
      <c r="H82" s="15" cm="1">
        <f t="array" aca="1" ref="H82" ca="1">MMS_Dairy_ManureAppliedToSoils_Equations.VEERG_4_3_1_8__1_MassOfNitrogenAppliedToSoilsScope1(H46,_xlfn.XLOOKUP($E82,$D$22:$D$26,$E$22:$E$26),_xlfn.XLOOKUP($E82, $D$31:$D$35,$E$31:$E$35),H58,$F70)</f>
        <v>141.0366315713905</v>
      </c>
      <c r="I82" s="15" cm="1">
        <f t="array" aca="1" ref="I82" ca="1">MMS_Dairy_ManureAppliedToSoils_Equations.VEERG_4_3_1_8__1_MassOfNitrogenAppliedToSoilsScope1(I46,_xlfn.XLOOKUP($E82,$D$22:$D$26,$E$22:$E$26),_xlfn.XLOOKUP($E82, $D$31:$D$35,$E$31:$E$35),I58,$F70)</f>
        <v>445.1251095457809</v>
      </c>
      <c r="J82" s="15" cm="1">
        <f t="array" aca="1" ref="J82" ca="1">MMS_Dairy_ManureAppliedToSoils_Equations.VEERG_4_3_1_8__1_MassOfNitrogenAppliedToSoilsScope1(J46,_xlfn.XLOOKUP($E82,$D$22:$D$26,$E$22:$E$26),_xlfn.XLOOKUP($E82, $D$31:$D$35,$E$31:$E$35),J58,$F70)</f>
        <v>186.34242065532939</v>
      </c>
      <c r="K82" s="16"/>
      <c r="O82" s="15" t="str">
        <f>INDEX(X_Table_Dairy_ProductionSystems_Method1,4,1)</f>
        <v>Feed pad</v>
      </c>
      <c r="P82" s="15" t="str">
        <f>INDEX(X_Table_Dairy_Stage1MMS_2_DrainsToPaddock,2,1)</f>
        <v>Drains to paddock</v>
      </c>
      <c r="Q82" s="15" cm="1">
        <f t="array" aca="1" ref="Q82" ca="1">MMS_Dairy_ManureAppliedToSoils_Equations.VEERG_4_3_1_8__1_MassOfNitrogenAppliedToSoilsScope1(Q46,_xlfn.XLOOKUP($P82,$D$22:$D$26,$E$22:$E$26),_xlfn.XLOOKUP($P82, $D$31:$D$35,$E$31:$E$35),Q58,$F70)</f>
        <v>775.26325220562626</v>
      </c>
      <c r="R82" s="15" cm="1">
        <f t="array" aca="1" ref="R82" ca="1">MMS_Dairy_ManureAppliedToSoils_Equations.VEERG_4_3_1_8__1_MassOfNitrogenAppliedToSoilsScope1(R46,_xlfn.XLOOKUP($P82,$D$22:$D$26,$E$22:$E$26),_xlfn.XLOOKUP($P82, $D$31:$D$35,$E$31:$E$35),R58,$F70)</f>
        <v>354.10589101802293</v>
      </c>
      <c r="S82" s="15" cm="1">
        <f t="array" aca="1" ref="S82" ca="1">MMS_Dairy_ManureAppliedToSoils_Equations.VEERG_4_3_1_8__1_MassOfNitrogenAppliedToSoilsScope1(S46,_xlfn.XLOOKUP($P82,$D$22:$D$26,$E$22:$E$26),_xlfn.XLOOKUP($P82, $D$31:$D$35,$E$31:$E$35),S58,$F70)</f>
        <v>141.0366315713905</v>
      </c>
      <c r="T82" s="15" cm="1">
        <f t="array" aca="1" ref="T82" ca="1">MMS_Dairy_ManureAppliedToSoils_Equations.VEERG_4_3_1_8__1_MassOfNitrogenAppliedToSoilsScope1(T46,_xlfn.XLOOKUP($P82,$D$22:$D$26,$E$22:$E$26),_xlfn.XLOOKUP($P82, $D$31:$D$35,$E$31:$E$35),T58,$F70)</f>
        <v>445.1251095457809</v>
      </c>
      <c r="U82" s="15" cm="1">
        <f t="array" aca="1" ref="U82" ca="1">MMS_Dairy_ManureAppliedToSoils_Equations.VEERG_4_3_1_8__1_MassOfNitrogenAppliedToSoilsScope1(U46,_xlfn.XLOOKUP($P82,$D$22:$D$26,$E$22:$E$26),_xlfn.XLOOKUP($P82, $D$31:$D$35,$E$31:$E$35),U58,$F70)</f>
        <v>186.34242065532939</v>
      </c>
      <c r="V82" s="16"/>
    </row>
    <row r="83" spans="3:23" ht="20.100000000000001" customHeight="1" x14ac:dyDescent="0.25">
      <c r="D83" s="15" t="str">
        <f>INDEX(X_Table_Dairy_ProductionSystems_Method1,4,1)</f>
        <v>Feed pad</v>
      </c>
      <c r="E83" s="15" t="s">
        <v>75</v>
      </c>
      <c r="F83" s="15" cm="1">
        <f t="array" aca="1" ref="F83" ca="1">MMS_Dairy_ManureAppliedToSoils_Equations.VEERG_4_3_1_8__1_MassOfNitrogenAppliedToSoilsScope1(F47,_xlfn.XLOOKUP($E83,$D$22:$D$26,$E$22:$E$26),_xlfn.XLOOKUP($E83, $D$31:$D$35,$E$31:$E$35),F59,$F71)</f>
        <v>1144.72464583487</v>
      </c>
      <c r="G83" s="15" cm="1">
        <f t="array" aca="1" ref="G83" ca="1">MMS_Dairy_ManureAppliedToSoils_Equations.VEERG_4_3_1_8__1_MassOfNitrogenAppliedToSoilsScope1(G47,_xlfn.XLOOKUP($E83,$D$22:$D$26,$E$22:$E$26),_xlfn.XLOOKUP($E83, $D$31:$D$35,$E$31:$E$35),G59,$F71)</f>
        <v>522.85947970629945</v>
      </c>
      <c r="H83" s="15" cm="1">
        <f t="array" aca="1" ref="H83" ca="1">MMS_Dairy_ManureAppliedToSoils_Equations.VEERG_4_3_1_8__1_MassOfNitrogenAppliedToSoilsScope1(H47,_xlfn.XLOOKUP($E83,$D$22:$D$26,$E$22:$E$26),_xlfn.XLOOKUP($E83, $D$31:$D$35,$E$31:$E$35),H59,$F71)</f>
        <v>208.24940130463128</v>
      </c>
      <c r="I83" s="15" cm="1">
        <f t="array" aca="1" ref="I83" ca="1">MMS_Dairy_ManureAppliedToSoils_Equations.VEERG_4_3_1_8__1_MassOfNitrogenAppliedToSoilsScope1(I47,_xlfn.XLOOKUP($E83,$D$22:$D$26,$E$22:$E$26),_xlfn.XLOOKUP($E83, $D$31:$D$35,$E$31:$E$35),I59,$F71)</f>
        <v>657.25504456369208</v>
      </c>
      <c r="J83" s="15" cm="1">
        <f t="array" aca="1" ref="J83" ca="1">MMS_Dairy_ManureAppliedToSoils_Equations.VEERG_4_3_1_8__1_MassOfNitrogenAppliedToSoilsScope1(J47,_xlfn.XLOOKUP($E83,$D$22:$D$26,$E$22:$E$26),_xlfn.XLOOKUP($E83, $D$31:$D$35,$E$31:$E$35),J59,$F71)</f>
        <v>275.14623049888485</v>
      </c>
      <c r="K83" s="16"/>
      <c r="O83" s="15" t="str">
        <f>INDEX(X_Table_Dairy_ProductionSystems_Method1,4,1)</f>
        <v>Feed pad</v>
      </c>
      <c r="P83" s="15" t="s">
        <v>75</v>
      </c>
      <c r="Q83" s="15" cm="1">
        <f t="array" aca="1" ref="Q83" ca="1">MMS_Dairy_ManureAppliedToSoils_Equations.VEERG_4_3_1_8__1_MassOfNitrogenAppliedToSoilsScope1(Q47,_xlfn.XLOOKUP($P83,$D$22:$D$26,$E$22:$E$26),_xlfn.XLOOKUP($P83, $D$31:$D$35,$E$31:$E$35),Q59,$F71)</f>
        <v>1144.72464583487</v>
      </c>
      <c r="R83" s="15" cm="1">
        <f t="array" aca="1" ref="R83" ca="1">MMS_Dairy_ManureAppliedToSoils_Equations.VEERG_4_3_1_8__1_MassOfNitrogenAppliedToSoilsScope1(R47,_xlfn.XLOOKUP($P83,$D$22:$D$26,$E$22:$E$26),_xlfn.XLOOKUP($P83, $D$31:$D$35,$E$31:$E$35),R59,$F71)</f>
        <v>522.85947970629945</v>
      </c>
      <c r="S83" s="15" cm="1">
        <f t="array" aca="1" ref="S83" ca="1">MMS_Dairy_ManureAppliedToSoils_Equations.VEERG_4_3_1_8__1_MassOfNitrogenAppliedToSoilsScope1(S47,_xlfn.XLOOKUP($P83,$D$22:$D$26,$E$22:$E$26),_xlfn.XLOOKUP($P83, $D$31:$D$35,$E$31:$E$35),S59,$F71)</f>
        <v>208.24940130463128</v>
      </c>
      <c r="T83" s="15" cm="1">
        <f t="array" aca="1" ref="T83" ca="1">MMS_Dairy_ManureAppliedToSoils_Equations.VEERG_4_3_1_8__1_MassOfNitrogenAppliedToSoilsScope1(T47,_xlfn.XLOOKUP($P83,$D$22:$D$26,$E$22:$E$26),_xlfn.XLOOKUP($P83, $D$31:$D$35,$E$31:$E$35),T59,$F71)</f>
        <v>657.25504456369208</v>
      </c>
      <c r="U83" s="15" cm="1">
        <f t="array" aca="1" ref="U83" ca="1">MMS_Dairy_ManureAppliedToSoils_Equations.VEERG_4_3_1_8__1_MassOfNitrogenAppliedToSoilsScope1(U47,_xlfn.XLOOKUP($P83,$D$22:$D$26,$E$22:$E$26),_xlfn.XLOOKUP($P83, $D$31:$D$35,$E$31:$E$35),U59,$F71)</f>
        <v>275.14623049888485</v>
      </c>
      <c r="V83" s="16"/>
    </row>
    <row r="84" spans="3:23" ht="20.100000000000001" customHeight="1" x14ac:dyDescent="0.25"/>
    <row r="85" spans="3:23" ht="20.100000000000001" customHeight="1" x14ac:dyDescent="0.25">
      <c r="D85" s="87" t="s">
        <v>569</v>
      </c>
      <c r="E85" s="90">
        <f ca="1">SUM(F76:J83)</f>
        <v>11592.578908618651</v>
      </c>
      <c r="F85" s="89" t="str">
        <f>$E$11</f>
        <v>kg N</v>
      </c>
      <c r="O85" s="87" t="s">
        <v>569</v>
      </c>
      <c r="P85" s="90">
        <f ca="1">SUM(Q76:U83)</f>
        <v>11592.578908618651</v>
      </c>
      <c r="Q85" s="89" t="str">
        <f>$E$11</f>
        <v>kg N</v>
      </c>
    </row>
    <row r="86" spans="3:23" ht="20.100000000000001" customHeight="1" x14ac:dyDescent="0.25"/>
    <row r="87" spans="3:23" ht="20.100000000000001" customHeight="1" x14ac:dyDescent="0.25"/>
    <row r="88" spans="3:23" ht="20.100000000000001" customHeight="1" x14ac:dyDescent="0.25">
      <c r="C88" s="88"/>
      <c r="D88" s="88"/>
      <c r="E88" s="88"/>
      <c r="F88" s="88"/>
      <c r="G88" s="88"/>
      <c r="H88" s="88"/>
      <c r="I88" s="88"/>
      <c r="J88" s="88"/>
      <c r="K88" s="88"/>
      <c r="L88" s="88"/>
      <c r="N88" s="88"/>
      <c r="O88" s="88"/>
      <c r="P88" s="88"/>
      <c r="Q88" s="88"/>
      <c r="R88" s="88"/>
      <c r="S88" s="88"/>
      <c r="T88" s="88"/>
      <c r="U88" s="88"/>
      <c r="V88" s="88"/>
      <c r="W88" s="88"/>
    </row>
    <row r="89" spans="3:23" ht="20.100000000000001" customHeight="1" x14ac:dyDescent="0.25">
      <c r="D89" s="2" t="str" cm="1">
        <f t="array" ref="D89">MMS_Dairy_ManureAppliedToSoils_Equations.VEERG_4_3_1_8__2_MassOfNitrogenAppliedToSoilsScope3_Title()</f>
        <v>Mass of nitrogen from manure applied to soils for scope 3 emissions</v>
      </c>
    </row>
    <row r="90" spans="3:23" ht="20.100000000000001" customHeight="1" x14ac:dyDescent="0.25">
      <c r="D90" s="17" t="str" cm="1">
        <f t="array" ref="D90">MMS_Dairy_ManureAppliedToSoils_Equations.VEERG_4_3_1_8__2_MassOfNitrogenAppliedToSoilsScope3_Source()</f>
        <v>VEERG 2026: 4.3.1.8, Equation (2)</v>
      </c>
    </row>
    <row r="91" spans="3:23" ht="20.100000000000001" customHeight="1" x14ac:dyDescent="0.25">
      <c r="D91" s="117" t="s">
        <v>382</v>
      </c>
      <c r="E91" s="117" t="str" cm="1">
        <f t="array" aca="1" ref="E91" ca="1">Common_InputFunctions.Utility_DisplayFunctionName($F$106)</f>
        <v>=MMS_Dairy_ManureAppliedToSoils_Equations.VEERG_4_3_1_8__2_MassOfNitrogenAppliedToSoilsScope3</v>
      </c>
    </row>
    <row r="92" spans="3:23" ht="20.100000000000001" customHeight="1" x14ac:dyDescent="0.25"/>
    <row r="93" spans="3:23" ht="20.100000000000001" customHeight="1" x14ac:dyDescent="0.25"/>
    <row r="94" spans="3:23" ht="20.100000000000001" customHeight="1" x14ac:dyDescent="0.25">
      <c r="D94" s="76" t="s">
        <v>383</v>
      </c>
      <c r="E94" s="1" t="str" cm="1">
        <f t="array" ref="E94">MMS_Dairy_ManureAppliedToSoils_Equations.VEERG_4_3_1_8__2_MassOfNitrogenAppliedToSoilsScope3_Variable()</f>
        <v>MNSoil_scope3</v>
      </c>
    </row>
    <row r="95" spans="3:23" ht="20.100000000000001" customHeight="1" x14ac:dyDescent="0.25">
      <c r="D95" s="76" t="s">
        <v>118</v>
      </c>
      <c r="E95" s="9" t="str" cm="1">
        <f t="array" ref="E95">MMS_Dairy_ManureAppliedToSoils_Equations.VEERG_4_3_1_8__2_MassOfNitrogenAppliedToSoilsScope3_Unit()</f>
        <v>kg N</v>
      </c>
    </row>
    <row r="96" spans="3:23" ht="20.100000000000001" customHeight="1" x14ac:dyDescent="0.25"/>
    <row r="97" spans="4:22" ht="20.100000000000001" customHeight="1" x14ac:dyDescent="0.25">
      <c r="D97" s="119" t="str" cm="1">
        <f t="array" ref="D97:E101">_xlfn.CHOOSECOLS(MMS_Dairy_ManureAppliedToSoils_Equations.VEERG_4_3_1_8__2_MassOfNitrogenAppliedToSoilsScope3_Arguments(),1,2)</f>
        <v>MN_jm</v>
      </c>
      <c r="E97" s="124" t="str">
        <v>total nitrogen in each MMS for dairy cattle classes</v>
      </c>
      <c r="F97" s="125"/>
      <c r="G97" s="119" t="str" cm="1">
        <f t="array" ref="G97:H101">_xlfn.CHOOSECOLS(MMS_Dairy_ManureAppliedToSoils_Equations.VEERG_4_3_1_8__2_MassOfNitrogenAppliedToSoilsScope3_Arguments(),3,4)</f>
        <v>kg N</v>
      </c>
      <c r="H97" s="127" t="str">
        <v>Calculated from 4.3.1.3 (2)</v>
      </c>
      <c r="I97" s="126" t="str" cm="1">
        <f t="array" aca="1" ref="I97" ca="1">HYPERLINK(Common_InputFunctions.Utility_SourceHyperlink($D$37),$D$37)</f>
        <v>M1_Table_MN_j_m</v>
      </c>
    </row>
    <row r="98" spans="4:22" ht="20.100000000000001" customHeight="1" x14ac:dyDescent="0.25">
      <c r="D98" s="119" t="str">
        <v>EF_m</v>
      </c>
      <c r="E98" s="124" t="str">
        <v>emission factor for nitrous oxide emissions per MMS</v>
      </c>
      <c r="F98" s="125"/>
      <c r="G98" s="119" t="str">
        <v>kg N2O-N/kg N</v>
      </c>
      <c r="H98" s="127" t="str">
        <v>Constant</v>
      </c>
      <c r="I98" s="126" t="str" cm="1">
        <f t="array" aca="1" ref="I98" ca="1">HYPERLINK(Common_InputFunctions.Utility_SourceHyperlink($D$19),$D$19)</f>
        <v>Table_EF_m</v>
      </c>
    </row>
    <row r="99" spans="4:22" ht="20.100000000000001" customHeight="1" x14ac:dyDescent="0.25">
      <c r="D99" s="119" t="str">
        <v>FracGASM_m</v>
      </c>
      <c r="E99" s="124" t="str">
        <v>fraction of N volatilised from MMS</v>
      </c>
      <c r="F99" s="125"/>
      <c r="G99" s="119" t="str">
        <v>fraction</v>
      </c>
      <c r="H99" s="127" t="str">
        <v>Constant</v>
      </c>
      <c r="I99" s="126" t="str" cm="1">
        <f t="array" aca="1" ref="I99" ca="1">HYPERLINK(Common_InputFunctions.Utility_SourceHyperlink($D$28),$D$28)</f>
        <v>Table_FracGASM_m</v>
      </c>
    </row>
    <row r="100" spans="4:22" ht="20.100000000000001" customHeight="1" x14ac:dyDescent="0.25">
      <c r="D100" s="119" t="str">
        <v>MNLeach_jm</v>
      </c>
      <c r="E100" s="124" t="str">
        <v>mass of N lost through leaching and runoff from each MMS</v>
      </c>
      <c r="F100" s="125"/>
      <c r="G100" s="119" t="str">
        <v>kg N</v>
      </c>
      <c r="H100" s="127" t="str">
        <v>Calculated from 4.3.1.6 (2)</v>
      </c>
      <c r="I100" s="126" t="str" cm="1">
        <f t="array" aca="1" ref="I100" ca="1">HYPERLINK(Common_InputFunctions.Utility_SourceHyperlink($D$49),$D$49)</f>
        <v>M1_Table_MN_leach_j_m</v>
      </c>
    </row>
    <row r="101" spans="4:22" ht="20.100000000000001" customHeight="1" x14ac:dyDescent="0.25">
      <c r="D101" s="119" t="str">
        <v>PF</v>
      </c>
      <c r="E101" s="124" t="str">
        <v>fraction of manure applied to soil within farm boundary</v>
      </c>
      <c r="F101" s="125"/>
      <c r="G101" s="119" t="str">
        <v>fraction</v>
      </c>
      <c r="H101" s="120" t="str">
        <v>Input</v>
      </c>
      <c r="I101" s="126" t="str" cm="1">
        <f t="array" aca="1" ref="I101" ca="1">HYPERLINK(Common_InputFunctions.Utility_SourceHyperlink($D$61),$D$61)</f>
        <v>Table_PF_scope</v>
      </c>
    </row>
    <row r="102" spans="4:22" ht="20.100000000000001" customHeight="1" x14ac:dyDescent="0.25"/>
    <row r="103" spans="4:22" ht="20.100000000000001" customHeight="1" x14ac:dyDescent="0.25">
      <c r="D103" s="121" t="s">
        <v>570</v>
      </c>
      <c r="O103" s="121" t="s">
        <v>571</v>
      </c>
    </row>
    <row r="104" spans="4:22" ht="20.100000000000001" customHeight="1" x14ac:dyDescent="0.25">
      <c r="D104" s="122" t="s">
        <v>572</v>
      </c>
      <c r="O104" s="122" t="s">
        <v>573</v>
      </c>
    </row>
    <row r="105" spans="4:22" ht="20.100000000000001" customHeight="1" x14ac:dyDescent="0.25">
      <c r="D105" s="123" t="s">
        <v>159</v>
      </c>
      <c r="E105" s="123" t="s">
        <v>427</v>
      </c>
      <c r="F105" s="123" t="s">
        <v>334</v>
      </c>
      <c r="G105" s="123" t="s">
        <v>335</v>
      </c>
      <c r="H105" s="123" t="s">
        <v>336</v>
      </c>
      <c r="I105" s="123" t="s">
        <v>337</v>
      </c>
      <c r="J105" s="123" t="s">
        <v>338</v>
      </c>
      <c r="O105" s="123" t="s">
        <v>159</v>
      </c>
      <c r="P105" s="123" t="s">
        <v>427</v>
      </c>
      <c r="Q105" s="123" t="s">
        <v>334</v>
      </c>
      <c r="R105" s="123" t="s">
        <v>335</v>
      </c>
      <c r="S105" s="123" t="s">
        <v>336</v>
      </c>
      <c r="T105" s="123" t="s">
        <v>337</v>
      </c>
      <c r="U105" s="123" t="s">
        <v>338</v>
      </c>
    </row>
    <row r="106" spans="4:22" ht="20.100000000000001" customHeight="1" x14ac:dyDescent="0.25">
      <c r="D106" s="15" t="str">
        <f>INDEX(X_Table_Dairy_ProductionSystems_Method1,3,1)</f>
        <v>Milking shed</v>
      </c>
      <c r="E106" s="15" t="str">
        <f>INDEX(X_Table_Dairy_Stage1MMS_1_AnaerobicLagoon,2,1)</f>
        <v>Anaerobic lagoon</v>
      </c>
      <c r="F106" s="15" cm="1">
        <f t="array" aca="1" ref="F106" ca="1">MMS_Dairy_ManureAppliedToSoils_Equations.VEERG_4_3_1_8__2_MassOfNitrogenAppliedToSoilsScope3(F40, _xlfn.XLOOKUP($E106, $D$22:$D$26,$E$22:$E$26), _xlfn.XLOOKUP($E106,$D$31:$D$35,$E$31:$E$35),F52, $F64)</f>
        <v>64.877484237713347</v>
      </c>
      <c r="G106" s="15" cm="1">
        <f t="array" aca="1" ref="G106" ca="1">MMS_Dairy_ManureAppliedToSoils_Equations.VEERG_4_3_1_8__2_MassOfNitrogenAppliedToSoilsScope3(G40, _xlfn.XLOOKUP($E106, $D$22:$D$26,$E$22:$E$26), _xlfn.XLOOKUP($E106,$D$31:$D$35,$E$31:$E$35),G52, $F64)</f>
        <v>29.633159185145878</v>
      </c>
      <c r="H106" s="15" cm="1">
        <f t="array" aca="1" ref="H106" ca="1">MMS_Dairy_ManureAppliedToSoils_Equations.VEERG_4_3_1_8__2_MassOfNitrogenAppliedToSoilsScope3(H40, _xlfn.XLOOKUP($E106, $D$22:$D$26,$E$22:$E$26), _xlfn.XLOOKUP($E106,$D$31:$D$35,$E$31:$E$35),H52, $F64)</f>
        <v>11.802573920124557</v>
      </c>
      <c r="I106" s="15" cm="1">
        <f t="array" aca="1" ref="I106" ca="1">MMS_Dairy_ManureAppliedToSoils_Equations.VEERG_4_3_1_8__2_MassOfNitrogenAppliedToSoilsScope3(I40, _xlfn.XLOOKUP($E106, $D$22:$D$26,$E$22:$E$26), _xlfn.XLOOKUP($E106,$D$31:$D$35,$E$31:$E$35),I52, $F64)</f>
        <v>37.250053057728621</v>
      </c>
      <c r="J106" s="15" cm="1">
        <f t="array" aca="1" ref="J106" ca="1">MMS_Dairy_ManureAppliedToSoils_Equations.VEERG_4_3_1_8__2_MassOfNitrogenAppliedToSoilsScope3(J40, _xlfn.XLOOKUP($E106, $D$22:$D$26,$E$22:$E$26), _xlfn.XLOOKUP($E106,$D$31:$D$35,$E$31:$E$35),J52, $F64)</f>
        <v>15.593964275346504</v>
      </c>
      <c r="K106" s="16" t="str">
        <f t="shared" ref="K106" si="2">$E$95</f>
        <v>kg N</v>
      </c>
      <c r="O106" s="15" t="str">
        <f>INDEX(X_Table_Dairy_ProductionSystems_Method1,3,1)</f>
        <v>Milking shed</v>
      </c>
      <c r="P106" s="15" t="str">
        <f>INDEX(X_Table_Dairy_Stage1MMS_1_AnaerobicLagoon,2,1)</f>
        <v>Anaerobic lagoon</v>
      </c>
      <c r="Q106" s="15" cm="1">
        <f t="array" aca="1" ref="Q106" ca="1">MMS_Dairy_ManureAppliedToSoils_Equations.VEERG_4_3_1_8__2_MassOfNitrogenAppliedToSoilsScope3(Q40, _xlfn.XLOOKUP($P106, $D$22:$D$26,$E$22:$E$26), _xlfn.XLOOKUP($P106,$D$31:$D$35,$E$31:$E$35),Q52, $F64)</f>
        <v>64.877484237713347</v>
      </c>
      <c r="R106" s="15" cm="1">
        <f t="array" aca="1" ref="R106" ca="1">MMS_Dairy_ManureAppliedToSoils_Equations.VEERG_4_3_1_8__2_MassOfNitrogenAppliedToSoilsScope3(R40, _xlfn.XLOOKUP($P106, $D$22:$D$26,$E$22:$E$26), _xlfn.XLOOKUP($P106,$D$31:$D$35,$E$31:$E$35),R52, $F64)</f>
        <v>29.633159185145878</v>
      </c>
      <c r="S106" s="15" cm="1">
        <f t="array" aca="1" ref="S106" ca="1">MMS_Dairy_ManureAppliedToSoils_Equations.VEERG_4_3_1_8__2_MassOfNitrogenAppliedToSoilsScope3(S40, _xlfn.XLOOKUP($P106, $D$22:$D$26,$E$22:$E$26), _xlfn.XLOOKUP($P106,$D$31:$D$35,$E$31:$E$35),S52, $F64)</f>
        <v>11.802573920124557</v>
      </c>
      <c r="T106" s="15" cm="1">
        <f t="array" aca="1" ref="T106" ca="1">MMS_Dairy_ManureAppliedToSoils_Equations.VEERG_4_3_1_8__2_MassOfNitrogenAppliedToSoilsScope3(T40, _xlfn.XLOOKUP($P106, $D$22:$D$26,$E$22:$E$26), _xlfn.XLOOKUP($P106,$D$31:$D$35,$E$31:$E$35),T52, $F64)</f>
        <v>37.250053057728621</v>
      </c>
      <c r="U106" s="15" cm="1">
        <f t="array" aca="1" ref="U106" ca="1">MMS_Dairy_ManureAppliedToSoils_Equations.VEERG_4_3_1_8__2_MassOfNitrogenAppliedToSoilsScope3(U40, _xlfn.XLOOKUP($P106, $D$22:$D$26,$E$22:$E$26), _xlfn.XLOOKUP($P106,$D$31:$D$35,$E$31:$E$35),U52, $F64)</f>
        <v>15.593964275346504</v>
      </c>
      <c r="V106" s="16" t="str">
        <f t="shared" ref="V106" si="3">$E$95</f>
        <v>kg N</v>
      </c>
    </row>
    <row r="107" spans="4:22" ht="20.100000000000001" customHeight="1" x14ac:dyDescent="0.25">
      <c r="D107" s="15" t="str">
        <f>INDEX(X_Table_Dairy_ProductionSystems_Method1,3,1)</f>
        <v>Milking shed</v>
      </c>
      <c r="E107" s="15" t="str">
        <f>INDEX(X_Table_Dairy_Stage1MMS_1_SumpAndDispersal,2,1)</f>
        <v>Sump and dispersal system</v>
      </c>
      <c r="F107" s="15" cm="1">
        <f t="array" aca="1" ref="F107" ca="1">MMS_Dairy_ManureAppliedToSoils_Equations.VEERG_4_3_1_8__2_MassOfNitrogenAppliedToSoilsScope3(F41, _xlfn.XLOOKUP($E107, $D$22:$D$26,$E$22:$E$26), _xlfn.XLOOKUP($E107,$D$31:$D$35,$E$31:$E$35),F53, $F65)</f>
        <v>92.824708217036019</v>
      </c>
      <c r="G107" s="15" cm="1">
        <f t="array" aca="1" ref="G107" ca="1">MMS_Dairy_ManureAppliedToSoils_Equations.VEERG_4_3_1_8__2_MassOfNitrogenAppliedToSoilsScope3(G41, _xlfn.XLOOKUP($E107, $D$22:$D$26,$E$22:$E$26), _xlfn.XLOOKUP($E107,$D$31:$D$35,$E$31:$E$35),G53, $F65)</f>
        <v>42.398212372593328</v>
      </c>
      <c r="H107" s="15" cm="1">
        <f t="array" aca="1" ref="H107" ca="1">MMS_Dairy_ManureAppliedToSoils_Equations.VEERG_4_3_1_8__2_MassOfNitrogenAppliedToSoilsScope3(H41, _xlfn.XLOOKUP($E107, $D$22:$D$26,$E$22:$E$26), _xlfn.XLOOKUP($E107,$D$31:$D$35,$E$31:$E$35),H53, $F65)</f>
        <v>16.886759608793596</v>
      </c>
      <c r="I107" s="15" cm="1">
        <f t="array" aca="1" ref="I107" ca="1">MMS_Dairy_ManureAppliedToSoils_Equations.VEERG_4_3_1_8__2_MassOfNitrogenAppliedToSoilsScope3(I41, _xlfn.XLOOKUP($E107, $D$22:$D$26,$E$22:$E$26), _xlfn.XLOOKUP($E107,$D$31:$D$35,$E$31:$E$35),I53, $F65)</f>
        <v>53.296229759519406</v>
      </c>
      <c r="J107" s="15" cm="1">
        <f t="array" aca="1" ref="J107" ca="1">MMS_Dairy_ManureAppliedToSoils_Equations.VEERG_4_3_1_8__2_MassOfNitrogenAppliedToSoilsScope3(J41, _xlfn.XLOOKUP($E107, $D$22:$D$26,$E$22:$E$26), _xlfn.XLOOKUP($E107,$D$31:$D$35,$E$31:$E$35),J53, $F65)</f>
        <v>22.311364270880382</v>
      </c>
      <c r="K107" s="16"/>
      <c r="O107" s="15" t="str">
        <f>INDEX(X_Table_Dairy_ProductionSystems_Method1,3,1)</f>
        <v>Milking shed</v>
      </c>
      <c r="P107" s="15" t="str">
        <f>INDEX(X_Table_Dairy_Stage1MMS_1_SumpAndDispersal,2,1)</f>
        <v>Sump and dispersal system</v>
      </c>
      <c r="Q107" s="15" cm="1">
        <f t="array" aca="1" ref="Q107" ca="1">MMS_Dairy_ManureAppliedToSoils_Equations.VEERG_4_3_1_8__2_MassOfNitrogenAppliedToSoilsScope3(Q41, _xlfn.XLOOKUP($P107, $D$22:$D$26,$E$22:$E$26), _xlfn.XLOOKUP($P107,$D$31:$D$35,$E$31:$E$35),Q53, $F65)</f>
        <v>92.824708217036019</v>
      </c>
      <c r="R107" s="15" cm="1">
        <f t="array" aca="1" ref="R107" ca="1">MMS_Dairy_ManureAppliedToSoils_Equations.VEERG_4_3_1_8__2_MassOfNitrogenAppliedToSoilsScope3(R41, _xlfn.XLOOKUP($P107, $D$22:$D$26,$E$22:$E$26), _xlfn.XLOOKUP($P107,$D$31:$D$35,$E$31:$E$35),R53, $F65)</f>
        <v>42.398212372593328</v>
      </c>
      <c r="S107" s="15" cm="1">
        <f t="array" aca="1" ref="S107" ca="1">MMS_Dairy_ManureAppliedToSoils_Equations.VEERG_4_3_1_8__2_MassOfNitrogenAppliedToSoilsScope3(S41, _xlfn.XLOOKUP($P107, $D$22:$D$26,$E$22:$E$26), _xlfn.XLOOKUP($P107,$D$31:$D$35,$E$31:$E$35),S53, $F65)</f>
        <v>16.886759608793596</v>
      </c>
      <c r="T107" s="15" cm="1">
        <f t="array" aca="1" ref="T107" ca="1">MMS_Dairy_ManureAppliedToSoils_Equations.VEERG_4_3_1_8__2_MassOfNitrogenAppliedToSoilsScope3(T41, _xlfn.XLOOKUP($P107, $D$22:$D$26,$E$22:$E$26), _xlfn.XLOOKUP($P107,$D$31:$D$35,$E$31:$E$35),T53, $F65)</f>
        <v>53.296229759519406</v>
      </c>
      <c r="U107" s="15" cm="1">
        <f t="array" aca="1" ref="U107" ca="1">MMS_Dairy_ManureAppliedToSoils_Equations.VEERG_4_3_1_8__2_MassOfNitrogenAppliedToSoilsScope3(U41, _xlfn.XLOOKUP($P107, $D$22:$D$26,$E$22:$E$26), _xlfn.XLOOKUP($P107,$D$31:$D$35,$E$31:$E$35),U53, $F65)</f>
        <v>22.311364270880382</v>
      </c>
      <c r="V107" s="16"/>
    </row>
    <row r="108" spans="4:22" ht="20.100000000000001" customHeight="1" x14ac:dyDescent="0.25">
      <c r="D108" s="15" t="str">
        <f>INDEX(X_Table_Dairy_ProductionSystems_Method1,3,1)</f>
        <v>Milking shed</v>
      </c>
      <c r="E108" s="15" t="str">
        <f>INDEX(X_Table_Dairy_Stage1MMS_1_DrainsToPaddock,2,1)</f>
        <v>Drains to paddock</v>
      </c>
      <c r="F108" s="15" cm="1">
        <f t="array" aca="1" ref="F108" ca="1">MMS_Dairy_ManureAppliedToSoils_Equations.VEERG_4_3_1_8__2_MassOfNitrogenAppliedToSoilsScope3(F42, _xlfn.XLOOKUP($E108, $D$22:$D$26,$E$22:$E$26), _xlfn.XLOOKUP($E108,$D$31:$D$35,$E$31:$E$35),F54, $F66)</f>
        <v>79.849211369493361</v>
      </c>
      <c r="G108" s="15" cm="1">
        <f t="array" aca="1" ref="G108" ca="1">MMS_Dairy_ManureAppliedToSoils_Equations.VEERG_4_3_1_8__2_MassOfNitrogenAppliedToSoilsScope3(G42, _xlfn.XLOOKUP($E108, $D$22:$D$26,$E$22:$E$26), _xlfn.XLOOKUP($E108,$D$31:$D$35,$E$31:$E$35),G54, $F66)</f>
        <v>36.471580535564158</v>
      </c>
      <c r="H108" s="15" cm="1">
        <f t="array" aca="1" ref="H108" ca="1">MMS_Dairy_ManureAppliedToSoils_Equations.VEERG_4_3_1_8__2_MassOfNitrogenAppliedToSoilsScope3(H42, _xlfn.XLOOKUP($E108, $D$22:$D$26,$E$22:$E$26), _xlfn.XLOOKUP($E108,$D$31:$D$35,$E$31:$E$35),H54, $F66)</f>
        <v>14.526244824768686</v>
      </c>
      <c r="I108" s="15" cm="1">
        <f t="array" aca="1" ref="I108" ca="1">MMS_Dairy_ManureAppliedToSoils_Equations.VEERG_4_3_1_8__2_MassOfNitrogenAppliedToSoilsScope3(I42, _xlfn.XLOOKUP($E108, $D$22:$D$26,$E$22:$E$26), _xlfn.XLOOKUP($E108,$D$31:$D$35,$E$31:$E$35),I54, $F66)</f>
        <v>45.846219147973692</v>
      </c>
      <c r="J108" s="15" cm="1">
        <f t="array" aca="1" ref="J108" ca="1">MMS_Dairy_ManureAppliedToSoils_Equations.VEERG_4_3_1_8__2_MassOfNitrogenAppliedToSoilsScope3(J42, _xlfn.XLOOKUP($E108, $D$22:$D$26,$E$22:$E$26), _xlfn.XLOOKUP($E108,$D$31:$D$35,$E$31:$E$35),J54, $F66)</f>
        <v>19.192571415811084</v>
      </c>
      <c r="K108" s="16"/>
      <c r="O108" s="15" t="str">
        <f>INDEX(X_Table_Dairy_ProductionSystems_Method1,3,1)</f>
        <v>Milking shed</v>
      </c>
      <c r="P108" s="15" t="str">
        <f>INDEX(X_Table_Dairy_Stage1MMS_1_DrainsToPaddock,2,1)</f>
        <v>Drains to paddock</v>
      </c>
      <c r="Q108" s="15" cm="1">
        <f t="array" aca="1" ref="Q108" ca="1">MMS_Dairy_ManureAppliedToSoils_Equations.VEERG_4_3_1_8__2_MassOfNitrogenAppliedToSoilsScope3(Q42, _xlfn.XLOOKUP($P108, $D$22:$D$26,$E$22:$E$26), _xlfn.XLOOKUP($P108,$D$31:$D$35,$E$31:$E$35),Q54, $F66)</f>
        <v>79.849211369493361</v>
      </c>
      <c r="R108" s="15" cm="1">
        <f t="array" aca="1" ref="R108" ca="1">MMS_Dairy_ManureAppliedToSoils_Equations.VEERG_4_3_1_8__2_MassOfNitrogenAppliedToSoilsScope3(R42, _xlfn.XLOOKUP($P108, $D$22:$D$26,$E$22:$E$26), _xlfn.XLOOKUP($P108,$D$31:$D$35,$E$31:$E$35),R54, $F66)</f>
        <v>36.471580535564158</v>
      </c>
      <c r="S108" s="15" cm="1">
        <f t="array" aca="1" ref="S108" ca="1">MMS_Dairy_ManureAppliedToSoils_Equations.VEERG_4_3_1_8__2_MassOfNitrogenAppliedToSoilsScope3(S42, _xlfn.XLOOKUP($P108, $D$22:$D$26,$E$22:$E$26), _xlfn.XLOOKUP($P108,$D$31:$D$35,$E$31:$E$35),S54, $F66)</f>
        <v>14.526244824768686</v>
      </c>
      <c r="T108" s="15" cm="1">
        <f t="array" aca="1" ref="T108" ca="1">MMS_Dairy_ManureAppliedToSoils_Equations.VEERG_4_3_1_8__2_MassOfNitrogenAppliedToSoilsScope3(T42, _xlfn.XLOOKUP($P108, $D$22:$D$26,$E$22:$E$26), _xlfn.XLOOKUP($P108,$D$31:$D$35,$E$31:$E$35),T54, $F66)</f>
        <v>45.846219147973692</v>
      </c>
      <c r="U108" s="15" cm="1">
        <f t="array" aca="1" ref="U108" ca="1">MMS_Dairy_ManureAppliedToSoils_Equations.VEERG_4_3_1_8__2_MassOfNitrogenAppliedToSoilsScope3(U42, _xlfn.XLOOKUP($P108, $D$22:$D$26,$E$22:$E$26), _xlfn.XLOOKUP($P108,$D$31:$D$35,$E$31:$E$35),U54, $F66)</f>
        <v>19.192571415811084</v>
      </c>
      <c r="V108" s="16"/>
    </row>
    <row r="109" spans="4:22" ht="20.100000000000001" customHeight="1" x14ac:dyDescent="0.25">
      <c r="D109" s="15" t="str">
        <f>INDEX(X_Table_Dairy_ProductionSystems_Method1,3,1)</f>
        <v>Milking shed</v>
      </c>
      <c r="E109" s="15" t="s">
        <v>75</v>
      </c>
      <c r="F109" s="15" cm="1">
        <f t="array" aca="1" ref="F109" ca="1">MMS_Dairy_ManureAppliedToSoils_Equations.VEERG_4_3_1_8__2_MassOfNitrogenAppliedToSoilsScope3(F43, _xlfn.XLOOKUP($E109, $D$22:$D$26,$E$22:$E$26), _xlfn.XLOOKUP($E109,$D$31:$D$35,$E$31:$E$35),F55, $F67)</f>
        <v>134.74554418602003</v>
      </c>
      <c r="G109" s="15" cm="1">
        <f t="array" aca="1" ref="G109" ca="1">MMS_Dairy_ManureAppliedToSoils_Equations.VEERG_4_3_1_8__2_MassOfNitrogenAppliedToSoilsScope3(G43, _xlfn.XLOOKUP($E109, $D$22:$D$26,$E$22:$E$26), _xlfn.XLOOKUP($E109,$D$31:$D$35,$E$31:$E$35),G55, $F67)</f>
        <v>61.545792153764516</v>
      </c>
      <c r="H109" s="15" cm="1">
        <f t="array" aca="1" ref="H109" ca="1">MMS_Dairy_ManureAppliedToSoils_Equations.VEERG_4_3_1_8__2_MassOfNitrogenAppliedToSoilsScope3(H43, _xlfn.XLOOKUP($E109, $D$22:$D$26,$E$22:$E$26), _xlfn.XLOOKUP($E109,$D$31:$D$35,$E$31:$E$35),H55, $F67)</f>
        <v>24.51303814179715</v>
      </c>
      <c r="I109" s="15" cm="1">
        <f t="array" aca="1" ref="I109" ca="1">MMS_Dairy_ManureAppliedToSoils_Equations.VEERG_4_3_1_8__2_MassOfNitrogenAppliedToSoilsScope3(I43, _xlfn.XLOOKUP($E109, $D$22:$D$26,$E$22:$E$26), _xlfn.XLOOKUP($E109,$D$31:$D$35,$E$31:$E$35),I55, $F67)</f>
        <v>77.365494812205597</v>
      </c>
      <c r="J109" s="15" cm="1">
        <f t="array" aca="1" ref="J109" ca="1">MMS_Dairy_ManureAppliedToSoils_Equations.VEERG_4_3_1_8__2_MassOfNitrogenAppliedToSoilsScope3(J43, _xlfn.XLOOKUP($E109, $D$22:$D$26,$E$22:$E$26), _xlfn.XLOOKUP($E109,$D$31:$D$35,$E$31:$E$35),J55, $F67)</f>
        <v>32.387464264181197</v>
      </c>
      <c r="K109" s="16"/>
      <c r="O109" s="15" t="str">
        <f>INDEX(X_Table_Dairy_ProductionSystems_Method1,3,1)</f>
        <v>Milking shed</v>
      </c>
      <c r="P109" s="15" t="s">
        <v>75</v>
      </c>
      <c r="Q109" s="15" cm="1">
        <f t="array" aca="1" ref="Q109" ca="1">MMS_Dairy_ManureAppliedToSoils_Equations.VEERG_4_3_1_8__2_MassOfNitrogenAppliedToSoilsScope3(Q43, _xlfn.XLOOKUP($P109, $D$22:$D$26,$E$22:$E$26), _xlfn.XLOOKUP($P109,$D$31:$D$35,$E$31:$E$35),Q55, $F67)</f>
        <v>134.74554418602003</v>
      </c>
      <c r="R109" s="15" cm="1">
        <f t="array" aca="1" ref="R109" ca="1">MMS_Dairy_ManureAppliedToSoils_Equations.VEERG_4_3_1_8__2_MassOfNitrogenAppliedToSoilsScope3(R43, _xlfn.XLOOKUP($P109, $D$22:$D$26,$E$22:$E$26), _xlfn.XLOOKUP($P109,$D$31:$D$35,$E$31:$E$35),R55, $F67)</f>
        <v>61.545792153764516</v>
      </c>
      <c r="S109" s="15" cm="1">
        <f t="array" aca="1" ref="S109" ca="1">MMS_Dairy_ManureAppliedToSoils_Equations.VEERG_4_3_1_8__2_MassOfNitrogenAppliedToSoilsScope3(S43, _xlfn.XLOOKUP($P109, $D$22:$D$26,$E$22:$E$26), _xlfn.XLOOKUP($P109,$D$31:$D$35,$E$31:$E$35),S55, $F67)</f>
        <v>24.51303814179715</v>
      </c>
      <c r="T109" s="15" cm="1">
        <f t="array" aca="1" ref="T109" ca="1">MMS_Dairy_ManureAppliedToSoils_Equations.VEERG_4_3_1_8__2_MassOfNitrogenAppliedToSoilsScope3(T43, _xlfn.XLOOKUP($P109, $D$22:$D$26,$E$22:$E$26), _xlfn.XLOOKUP($P109,$D$31:$D$35,$E$31:$E$35),T55, $F67)</f>
        <v>77.365494812205597</v>
      </c>
      <c r="U109" s="15" cm="1">
        <f t="array" aca="1" ref="U109" ca="1">MMS_Dairy_ManureAppliedToSoils_Equations.VEERG_4_3_1_8__2_MassOfNitrogenAppliedToSoilsScope3(U43, _xlfn.XLOOKUP($P109, $D$22:$D$26,$E$22:$E$26), _xlfn.XLOOKUP($P109,$D$31:$D$35,$E$31:$E$35),U55, $F67)</f>
        <v>32.387464264181197</v>
      </c>
      <c r="V109" s="16"/>
    </row>
    <row r="110" spans="4:22" ht="20.100000000000001" customHeight="1" x14ac:dyDescent="0.25">
      <c r="D110" s="15" t="str">
        <f>INDEX(X_Table_Dairy_ProductionSystems_Method1,4,1)</f>
        <v>Feed pad</v>
      </c>
      <c r="E110" s="15" t="str">
        <f>INDEX(X_Table_Dairy_Stage1MMS_2_AnaerobicLagoon,2,1)</f>
        <v>Anaerobic lagoon</v>
      </c>
      <c r="F110" s="15" cm="1">
        <f t="array" aca="1" ref="F110" ca="1">MMS_Dairy_ManureAppliedToSoils_Equations.VEERG_4_3_1_8__2_MassOfNitrogenAppliedToSoilsScope3(F44, _xlfn.XLOOKUP($E110, $D$22:$D$26,$E$22:$E$26), _xlfn.XLOOKUP($E110,$D$31:$D$35,$E$31:$E$35),F56, $F68)</f>
        <v>262.45891350711304</v>
      </c>
      <c r="G110" s="15" cm="1">
        <f t="array" aca="1" ref="G110" ca="1">MMS_Dairy_ManureAppliedToSoils_Equations.VEERG_4_3_1_8__2_MassOfNitrogenAppliedToSoilsScope3(G44, _xlfn.XLOOKUP($E110, $D$22:$D$26,$E$22:$E$26), _xlfn.XLOOKUP($E110,$D$31:$D$35,$E$31:$E$35),G56, $F68)</f>
        <v>119.87959852172649</v>
      </c>
      <c r="H110" s="15" cm="1">
        <f t="array" aca="1" ref="H110" ca="1">MMS_Dairy_ManureAppliedToSoils_Equations.VEERG_4_3_1_8__2_MassOfNitrogenAppliedToSoilsScope3(H44, _xlfn.XLOOKUP($E110, $D$22:$D$26,$E$22:$E$26), _xlfn.XLOOKUP($E110,$D$31:$D$35,$E$31:$E$35),H56, $F68)</f>
        <v>47.746776313231159</v>
      </c>
      <c r="I110" s="15" cm="1">
        <f t="array" aca="1" ref="I110" ca="1">MMS_Dairy_ManureAppliedToSoils_Equations.VEERG_4_3_1_8__2_MassOfNitrogenAppliedToSoilsScope3(I44, _xlfn.XLOOKUP($E110, $D$22:$D$26,$E$22:$E$26), _xlfn.XLOOKUP($E110,$D$31:$D$35,$E$31:$E$35),I56, $F68)</f>
        <v>150.69339646081124</v>
      </c>
      <c r="J110" s="15" cm="1">
        <f t="array" aca="1" ref="J110" ca="1">MMS_Dairy_ManureAppliedToSoils_Equations.VEERG_4_3_1_8__2_MassOfNitrogenAppliedToSoilsScope3(J44, _xlfn.XLOOKUP($E110, $D$22:$D$26,$E$22:$E$26), _xlfn.XLOOKUP($E110,$D$31:$D$35,$E$31:$E$35),J56, $F68)</f>
        <v>63.084673659356305</v>
      </c>
      <c r="K110" s="16"/>
      <c r="O110" s="15" t="str">
        <f>INDEX(X_Table_Dairy_ProductionSystems_Method1,4,1)</f>
        <v>Feed pad</v>
      </c>
      <c r="P110" s="15" t="str">
        <f>INDEX(X_Table_Dairy_Stage1MMS_2_AnaerobicLagoon,2,1)</f>
        <v>Anaerobic lagoon</v>
      </c>
      <c r="Q110" s="15" cm="1">
        <f t="array" aca="1" ref="Q110" ca="1">MMS_Dairy_ManureAppliedToSoils_Equations.VEERG_4_3_1_8__2_MassOfNitrogenAppliedToSoilsScope3(Q44, _xlfn.XLOOKUP($P110, $D$22:$D$26,$E$22:$E$26), _xlfn.XLOOKUP($P110,$D$31:$D$35,$E$31:$E$35),Q56, $F68)</f>
        <v>262.45891350711304</v>
      </c>
      <c r="R110" s="15" cm="1">
        <f t="array" aca="1" ref="R110" ca="1">MMS_Dairy_ManureAppliedToSoils_Equations.VEERG_4_3_1_8__2_MassOfNitrogenAppliedToSoilsScope3(R44, _xlfn.XLOOKUP($P110, $D$22:$D$26,$E$22:$E$26), _xlfn.XLOOKUP($P110,$D$31:$D$35,$E$31:$E$35),R56, $F68)</f>
        <v>119.87959852172649</v>
      </c>
      <c r="S110" s="15" cm="1">
        <f t="array" aca="1" ref="S110" ca="1">MMS_Dairy_ManureAppliedToSoils_Equations.VEERG_4_3_1_8__2_MassOfNitrogenAppliedToSoilsScope3(S44, _xlfn.XLOOKUP($P110, $D$22:$D$26,$E$22:$E$26), _xlfn.XLOOKUP($P110,$D$31:$D$35,$E$31:$E$35),S56, $F68)</f>
        <v>47.746776313231159</v>
      </c>
      <c r="T110" s="15" cm="1">
        <f t="array" aca="1" ref="T110" ca="1">MMS_Dairy_ManureAppliedToSoils_Equations.VEERG_4_3_1_8__2_MassOfNitrogenAppliedToSoilsScope3(T44, _xlfn.XLOOKUP($P110, $D$22:$D$26,$E$22:$E$26), _xlfn.XLOOKUP($P110,$D$31:$D$35,$E$31:$E$35),T56, $F68)</f>
        <v>150.69339646081124</v>
      </c>
      <c r="U110" s="15" cm="1">
        <f t="array" aca="1" ref="U110" ca="1">MMS_Dairy_ManureAppliedToSoils_Equations.VEERG_4_3_1_8__2_MassOfNitrogenAppliedToSoilsScope3(U44, _xlfn.XLOOKUP($P110, $D$22:$D$26,$E$22:$E$26), _xlfn.XLOOKUP($P110,$D$31:$D$35,$E$31:$E$35),U56, $F68)</f>
        <v>63.084673659356305</v>
      </c>
      <c r="V110" s="16"/>
    </row>
    <row r="111" spans="4:22" ht="20.100000000000001" customHeight="1" x14ac:dyDescent="0.25">
      <c r="D111" s="15" t="str">
        <f>INDEX(X_Table_Dairy_ProductionSystems_Method1,4,1)</f>
        <v>Feed pad</v>
      </c>
      <c r="E111" s="15" t="str">
        <f>INDEX(X_Table_Dairy_Stage1MMS_2_SumpAndDispersal,2,1)</f>
        <v>Sump and dispersal system</v>
      </c>
      <c r="F111" s="15" cm="1">
        <f t="array" aca="1" ref="F111" ca="1">MMS_Dairy_ManureAppliedToSoils_Equations.VEERG_4_3_1_8__2_MassOfNitrogenAppliedToSoilsScope3(F45, _xlfn.XLOOKUP($E111, $D$22:$D$26,$E$22:$E$26), _xlfn.XLOOKUP($E111,$D$31:$D$35,$E$31:$E$35),F57, $F69)</f>
        <v>300.41451022968016</v>
      </c>
      <c r="G111" s="15" cm="1">
        <f t="array" aca="1" ref="G111" ca="1">MMS_Dairy_ManureAppliedToSoils_Equations.VEERG_4_3_1_8__2_MassOfNitrogenAppliedToSoilsScope3(G45, _xlfn.XLOOKUP($E111, $D$22:$D$26,$E$22:$E$26), _xlfn.XLOOKUP($E111,$D$31:$D$35,$E$31:$E$35),G57, $F69)</f>
        <v>137.21603276948386</v>
      </c>
      <c r="H111" s="15" cm="1">
        <f t="array" aca="1" ref="H111" ca="1">MMS_Dairy_ManureAppliedToSoils_Equations.VEERG_4_3_1_8__2_MassOfNitrogenAppliedToSoilsScope3(H45, _xlfn.XLOOKUP($E111, $D$22:$D$26,$E$22:$E$26), _xlfn.XLOOKUP($E111,$D$31:$D$35,$E$31:$E$35),H57, $F69)</f>
        <v>54.651694733913814</v>
      </c>
      <c r="I111" s="15" cm="1">
        <f t="array" aca="1" ref="I111" ca="1">MMS_Dairy_ManureAppliedToSoils_Equations.VEERG_4_3_1_8__2_MassOfNitrogenAppliedToSoilsScope3(I45, _xlfn.XLOOKUP($E111, $D$22:$D$26,$E$22:$E$26), _xlfn.XLOOKUP($E111,$D$31:$D$35,$E$31:$E$35),I57, $F69)</f>
        <v>172.48597994899006</v>
      </c>
      <c r="J111" s="15" cm="1">
        <f t="array" aca="1" ref="J111" ca="1">MMS_Dairy_ManureAppliedToSoils_Equations.VEERG_4_3_1_8__2_MassOfNitrogenAppliedToSoilsScope3(J45, _xlfn.XLOOKUP($E111, $D$22:$D$26,$E$22:$E$26), _xlfn.XLOOKUP($E111,$D$31:$D$35,$E$31:$E$35),J57, $F69)</f>
        <v>72.207688003940135</v>
      </c>
      <c r="K111" s="16"/>
      <c r="O111" s="15" t="str">
        <f>INDEX(X_Table_Dairy_ProductionSystems_Method1,4,1)</f>
        <v>Feed pad</v>
      </c>
      <c r="P111" s="15" t="str">
        <f>INDEX(X_Table_Dairy_Stage1MMS_2_SumpAndDispersal,2,1)</f>
        <v>Sump and dispersal system</v>
      </c>
      <c r="Q111" s="15" cm="1">
        <f t="array" aca="1" ref="Q111" ca="1">MMS_Dairy_ManureAppliedToSoils_Equations.VEERG_4_3_1_8__2_MassOfNitrogenAppliedToSoilsScope3(Q45, _xlfn.XLOOKUP($P111, $D$22:$D$26,$E$22:$E$26), _xlfn.XLOOKUP($P111,$D$31:$D$35,$E$31:$E$35),Q57, $F69)</f>
        <v>300.41451022968016</v>
      </c>
      <c r="R111" s="15" cm="1">
        <f t="array" aca="1" ref="R111" ca="1">MMS_Dairy_ManureAppliedToSoils_Equations.VEERG_4_3_1_8__2_MassOfNitrogenAppliedToSoilsScope3(R45, _xlfn.XLOOKUP($P111, $D$22:$D$26,$E$22:$E$26), _xlfn.XLOOKUP($P111,$D$31:$D$35,$E$31:$E$35),R57, $F69)</f>
        <v>137.21603276948386</v>
      </c>
      <c r="S111" s="15" cm="1">
        <f t="array" aca="1" ref="S111" ca="1">MMS_Dairy_ManureAppliedToSoils_Equations.VEERG_4_3_1_8__2_MassOfNitrogenAppliedToSoilsScope3(S45, _xlfn.XLOOKUP($P111, $D$22:$D$26,$E$22:$E$26), _xlfn.XLOOKUP($P111,$D$31:$D$35,$E$31:$E$35),S57, $F69)</f>
        <v>54.651694733913814</v>
      </c>
      <c r="T111" s="15" cm="1">
        <f t="array" aca="1" ref="T111" ca="1">MMS_Dairy_ManureAppliedToSoils_Equations.VEERG_4_3_1_8__2_MassOfNitrogenAppliedToSoilsScope3(T45, _xlfn.XLOOKUP($P111, $D$22:$D$26,$E$22:$E$26), _xlfn.XLOOKUP($P111,$D$31:$D$35,$E$31:$E$35),T57, $F69)</f>
        <v>172.48597994899006</v>
      </c>
      <c r="U111" s="15" cm="1">
        <f t="array" aca="1" ref="U111" ca="1">MMS_Dairy_ManureAppliedToSoils_Equations.VEERG_4_3_1_8__2_MassOfNitrogenAppliedToSoilsScope3(U45, _xlfn.XLOOKUP($P111, $D$22:$D$26,$E$22:$E$26), _xlfn.XLOOKUP($P111,$D$31:$D$35,$E$31:$E$35),U57, $F69)</f>
        <v>72.207688003940135</v>
      </c>
      <c r="V111" s="16"/>
    </row>
    <row r="112" spans="4:22" ht="20.100000000000001" customHeight="1" x14ac:dyDescent="0.25">
      <c r="D112" s="15" t="str">
        <f>INDEX(X_Table_Dairy_ProductionSystems_Method1,4,1)</f>
        <v>Feed pad</v>
      </c>
      <c r="E112" s="15" t="str">
        <f>INDEX(X_Table_Dairy_Stage1MMS_2_DrainsToPaddock,2,1)</f>
        <v>Drains to paddock</v>
      </c>
      <c r="F112" s="15" cm="1">
        <f t="array" aca="1" ref="F112" ca="1">MMS_Dairy_ManureAppliedToSoils_Equations.VEERG_4_3_1_8__2_MassOfNitrogenAppliedToSoilsScope3(F46, _xlfn.XLOOKUP($E112, $D$22:$D$26,$E$22:$E$26), _xlfn.XLOOKUP($E112,$D$31:$D$35,$E$31:$E$35),F58, $F70)</f>
        <v>258.42108406854209</v>
      </c>
      <c r="G112" s="15" cm="1">
        <f t="array" aca="1" ref="G112" ca="1">MMS_Dairy_ManureAppliedToSoils_Equations.VEERG_4_3_1_8__2_MassOfNitrogenAppliedToSoilsScope3(G46, _xlfn.XLOOKUP($E112, $D$22:$D$26,$E$22:$E$26), _xlfn.XLOOKUP($E112,$D$31:$D$35,$E$31:$E$35),G58, $F70)</f>
        <v>118.03529700600764</v>
      </c>
      <c r="H112" s="15" cm="1">
        <f t="array" aca="1" ref="H112" ca="1">MMS_Dairy_ManureAppliedToSoils_Equations.VEERG_4_3_1_8__2_MassOfNitrogenAppliedToSoilsScope3(H46, _xlfn.XLOOKUP($E112, $D$22:$D$26,$E$22:$E$26), _xlfn.XLOOKUP($E112,$D$31:$D$35,$E$31:$E$35),H58, $F70)</f>
        <v>47.012210523796831</v>
      </c>
      <c r="I112" s="15" cm="1">
        <f t="array" aca="1" ref="I112" ca="1">MMS_Dairy_ManureAppliedToSoils_Equations.VEERG_4_3_1_8__2_MassOfNitrogenAppliedToSoilsScope3(I46, _xlfn.XLOOKUP($E112, $D$22:$D$26,$E$22:$E$26), _xlfn.XLOOKUP($E112,$D$31:$D$35,$E$31:$E$35),I58, $F70)</f>
        <v>148.37503651526029</v>
      </c>
      <c r="J112" s="15" cm="1">
        <f t="array" aca="1" ref="J112" ca="1">MMS_Dairy_ManureAppliedToSoils_Equations.VEERG_4_3_1_8__2_MassOfNitrogenAppliedToSoilsScope3(J46, _xlfn.XLOOKUP($E112, $D$22:$D$26,$E$22:$E$26), _xlfn.XLOOKUP($E112,$D$31:$D$35,$E$31:$E$35),J58, $F70)</f>
        <v>62.114140218443133</v>
      </c>
      <c r="K112" s="16"/>
      <c r="O112" s="15" t="str">
        <f>INDEX(X_Table_Dairy_ProductionSystems_Method1,4,1)</f>
        <v>Feed pad</v>
      </c>
      <c r="P112" s="15" t="str">
        <f>INDEX(X_Table_Dairy_Stage1MMS_2_DrainsToPaddock,2,1)</f>
        <v>Drains to paddock</v>
      </c>
      <c r="Q112" s="15" cm="1">
        <f t="array" aca="1" ref="Q112" ca="1">MMS_Dairy_ManureAppliedToSoils_Equations.VEERG_4_3_1_8__2_MassOfNitrogenAppliedToSoilsScope3(Q46, _xlfn.XLOOKUP($P112, $D$22:$D$26,$E$22:$E$26), _xlfn.XLOOKUP($P112,$D$31:$D$35,$E$31:$E$35),Q58, $F70)</f>
        <v>258.42108406854209</v>
      </c>
      <c r="R112" s="15" cm="1">
        <f t="array" aca="1" ref="R112" ca="1">MMS_Dairy_ManureAppliedToSoils_Equations.VEERG_4_3_1_8__2_MassOfNitrogenAppliedToSoilsScope3(R46, _xlfn.XLOOKUP($P112, $D$22:$D$26,$E$22:$E$26), _xlfn.XLOOKUP($P112,$D$31:$D$35,$E$31:$E$35),R58, $F70)</f>
        <v>118.03529700600764</v>
      </c>
      <c r="S112" s="15" cm="1">
        <f t="array" aca="1" ref="S112" ca="1">MMS_Dairy_ManureAppliedToSoils_Equations.VEERG_4_3_1_8__2_MassOfNitrogenAppliedToSoilsScope3(S46, _xlfn.XLOOKUP($P112, $D$22:$D$26,$E$22:$E$26), _xlfn.XLOOKUP($P112,$D$31:$D$35,$E$31:$E$35),S58, $F70)</f>
        <v>47.012210523796831</v>
      </c>
      <c r="T112" s="15" cm="1">
        <f t="array" aca="1" ref="T112" ca="1">MMS_Dairy_ManureAppliedToSoils_Equations.VEERG_4_3_1_8__2_MassOfNitrogenAppliedToSoilsScope3(T46, _xlfn.XLOOKUP($P112, $D$22:$D$26,$E$22:$E$26), _xlfn.XLOOKUP($P112,$D$31:$D$35,$E$31:$E$35),T58, $F70)</f>
        <v>148.37503651526029</v>
      </c>
      <c r="U112" s="15" cm="1">
        <f t="array" aca="1" ref="U112" ca="1">MMS_Dairy_ManureAppliedToSoils_Equations.VEERG_4_3_1_8__2_MassOfNitrogenAppliedToSoilsScope3(U46, _xlfn.XLOOKUP($P112, $D$22:$D$26,$E$22:$E$26), _xlfn.XLOOKUP($P112,$D$31:$D$35,$E$31:$E$35),U58, $F70)</f>
        <v>62.114140218443133</v>
      </c>
      <c r="V112" s="16"/>
    </row>
    <row r="113" spans="3:23" ht="20.100000000000001" customHeight="1" x14ac:dyDescent="0.25">
      <c r="D113" s="15" t="str">
        <f>INDEX(X_Table_Dairy_ProductionSystems_Method1,4,1)</f>
        <v>Feed pad</v>
      </c>
      <c r="E113" s="15" t="s">
        <v>75</v>
      </c>
      <c r="F113" s="15" cm="1">
        <f t="array" aca="1" ref="F113" ca="1">MMS_Dairy_ManureAppliedToSoils_Equations.VEERG_4_3_1_8__2_MassOfNitrogenAppliedToSoilsScope3(F47, _xlfn.XLOOKUP($E113, $D$22:$D$26,$E$22:$E$26), _xlfn.XLOOKUP($E113,$D$31:$D$35,$E$31:$E$35),F59, $F71)</f>
        <v>381.57488194495664</v>
      </c>
      <c r="G113" s="15" cm="1">
        <f t="array" aca="1" ref="G113" ca="1">MMS_Dairy_ManureAppliedToSoils_Equations.VEERG_4_3_1_8__2_MassOfNitrogenAppliedToSoilsScope3(G47, _xlfn.XLOOKUP($E113, $D$22:$D$26,$E$22:$E$26), _xlfn.XLOOKUP($E113,$D$31:$D$35,$E$31:$E$35),G59, $F71)</f>
        <v>174.28649323543314</v>
      </c>
      <c r="H113" s="15" cm="1">
        <f t="array" aca="1" ref="H113" ca="1">MMS_Dairy_ManureAppliedToSoils_Equations.VEERG_4_3_1_8__2_MassOfNitrogenAppliedToSoilsScope3(H47, _xlfn.XLOOKUP($E113, $D$22:$D$26,$E$22:$E$26), _xlfn.XLOOKUP($E113,$D$31:$D$35,$E$31:$E$35),H59, $F71)</f>
        <v>69.416467101543759</v>
      </c>
      <c r="I113" s="15" cm="1">
        <f t="array" aca="1" ref="I113" ca="1">MMS_Dairy_ManureAppliedToSoils_Equations.VEERG_4_3_1_8__2_MassOfNitrogenAppliedToSoilsScope3(I47, _xlfn.XLOOKUP($E113, $D$22:$D$26,$E$22:$E$26), _xlfn.XLOOKUP($E113,$D$31:$D$35,$E$31:$E$35),I59, $F71)</f>
        <v>219.08501485456401</v>
      </c>
      <c r="J113" s="15" cm="1">
        <f t="array" aca="1" ref="J113" ca="1">MMS_Dairy_ManureAppliedToSoils_Equations.VEERG_4_3_1_8__2_MassOfNitrogenAppliedToSoilsScope3(J47, _xlfn.XLOOKUP($E113, $D$22:$D$26,$E$22:$E$26), _xlfn.XLOOKUP($E113,$D$31:$D$35,$E$31:$E$35),J59, $F71)</f>
        <v>91.715410166294944</v>
      </c>
      <c r="K113" s="16"/>
      <c r="O113" s="15" t="str">
        <f>INDEX(X_Table_Dairy_ProductionSystems_Method1,4,1)</f>
        <v>Feed pad</v>
      </c>
      <c r="P113" s="15" t="s">
        <v>75</v>
      </c>
      <c r="Q113" s="15" cm="1">
        <f t="array" aca="1" ref="Q113" ca="1">MMS_Dairy_ManureAppliedToSoils_Equations.VEERG_4_3_1_8__2_MassOfNitrogenAppliedToSoilsScope3(Q47, _xlfn.XLOOKUP($P113, $D$22:$D$26,$E$22:$E$26), _xlfn.XLOOKUP($P113,$D$31:$D$35,$E$31:$E$35),Q59, $F71)</f>
        <v>381.57488194495664</v>
      </c>
      <c r="R113" s="15" cm="1">
        <f t="array" aca="1" ref="R113" ca="1">MMS_Dairy_ManureAppliedToSoils_Equations.VEERG_4_3_1_8__2_MassOfNitrogenAppliedToSoilsScope3(R47, _xlfn.XLOOKUP($P113, $D$22:$D$26,$E$22:$E$26), _xlfn.XLOOKUP($P113,$D$31:$D$35,$E$31:$E$35),R59, $F71)</f>
        <v>174.28649323543314</v>
      </c>
      <c r="S113" s="15" cm="1">
        <f t="array" aca="1" ref="S113" ca="1">MMS_Dairy_ManureAppliedToSoils_Equations.VEERG_4_3_1_8__2_MassOfNitrogenAppliedToSoilsScope3(S47, _xlfn.XLOOKUP($P113, $D$22:$D$26,$E$22:$E$26), _xlfn.XLOOKUP($P113,$D$31:$D$35,$E$31:$E$35),S59, $F71)</f>
        <v>69.416467101543759</v>
      </c>
      <c r="T113" s="15" cm="1">
        <f t="array" aca="1" ref="T113" ca="1">MMS_Dairy_ManureAppliedToSoils_Equations.VEERG_4_3_1_8__2_MassOfNitrogenAppliedToSoilsScope3(T47, _xlfn.XLOOKUP($P113, $D$22:$D$26,$E$22:$E$26), _xlfn.XLOOKUP($P113,$D$31:$D$35,$E$31:$E$35),T59, $F71)</f>
        <v>219.08501485456401</v>
      </c>
      <c r="U113" s="15" cm="1">
        <f t="array" aca="1" ref="U113" ca="1">MMS_Dairy_ManureAppliedToSoils_Equations.VEERG_4_3_1_8__2_MassOfNitrogenAppliedToSoilsScope3(U47, _xlfn.XLOOKUP($P113, $D$22:$D$26,$E$22:$E$26), _xlfn.XLOOKUP($P113,$D$31:$D$35,$E$31:$E$35),U59, $F71)</f>
        <v>91.715410166294944</v>
      </c>
      <c r="V113" s="16"/>
    </row>
    <row r="114" spans="3:23" ht="20.100000000000001" customHeight="1" x14ac:dyDescent="0.25"/>
    <row r="115" spans="3:23" ht="20.100000000000001" customHeight="1" x14ac:dyDescent="0.25">
      <c r="D115" s="87" t="s">
        <v>574</v>
      </c>
      <c r="E115" s="90">
        <f ca="1">SUM(F106:J113)</f>
        <v>3864.1929695395502</v>
      </c>
      <c r="F115" s="89" t="str">
        <f>$E$11</f>
        <v>kg N</v>
      </c>
      <c r="O115" s="87" t="s">
        <v>574</v>
      </c>
      <c r="P115" s="90">
        <f ca="1">SUM(Q106:U113)</f>
        <v>3864.1929695395502</v>
      </c>
      <c r="Q115" s="89" t="str">
        <f>$E$11</f>
        <v>kg N</v>
      </c>
    </row>
    <row r="116" spans="3:23" ht="20.100000000000001" customHeight="1" x14ac:dyDescent="0.25"/>
    <row r="117" spans="3:23" ht="20.100000000000001" customHeight="1" x14ac:dyDescent="0.25"/>
    <row r="118" spans="3:23" ht="20.100000000000001" customHeight="1" x14ac:dyDescent="0.25">
      <c r="C118" s="88"/>
      <c r="D118" s="88"/>
      <c r="E118" s="88"/>
      <c r="F118" s="88"/>
      <c r="G118" s="88"/>
      <c r="H118" s="88"/>
      <c r="I118" s="88"/>
      <c r="J118" s="88"/>
      <c r="K118" s="88"/>
      <c r="L118" s="88"/>
      <c r="N118" s="88"/>
      <c r="O118" s="88"/>
      <c r="P118" s="88"/>
      <c r="Q118" s="88"/>
      <c r="R118" s="88"/>
      <c r="S118" s="88"/>
      <c r="T118" s="88"/>
      <c r="U118" s="88"/>
      <c r="V118" s="88"/>
      <c r="W118" s="88"/>
    </row>
    <row r="119" spans="3:23" ht="20.100000000000001" customHeight="1" x14ac:dyDescent="0.25">
      <c r="D119" s="139" t="str">
        <f>"Below are applications of " &amp; D6 &amp; " that are applied to the following contexts:"</f>
        <v>Below are applications of VEERG 2026: 4.3.1.8, Equation (1) that are applied to the following contexts:</v>
      </c>
      <c r="E119" s="43"/>
      <c r="F119" s="43"/>
      <c r="G119" s="43"/>
      <c r="H119" s="44"/>
    </row>
    <row r="120" spans="3:23" ht="20.100000000000001" customHeight="1" x14ac:dyDescent="0.25">
      <c r="D120" s="45" t="s">
        <v>575</v>
      </c>
      <c r="E120" s="46"/>
      <c r="F120" s="46"/>
      <c r="G120" s="46"/>
      <c r="H120" s="47"/>
    </row>
    <row r="121" spans="3:23" ht="20.100000000000001" customHeight="1" x14ac:dyDescent="0.25"/>
    <row r="122" spans="3:23" ht="20.100000000000001" customHeight="1" x14ac:dyDescent="0.25">
      <c r="D122" s="2" t="s">
        <v>576</v>
      </c>
    </row>
    <row r="123" spans="3:23" ht="20.100000000000001" customHeight="1" x14ac:dyDescent="0.25"/>
    <row r="124" spans="3:23" ht="20.100000000000001" customHeight="1" x14ac:dyDescent="0.25">
      <c r="D124" s="121" t="s">
        <v>577</v>
      </c>
    </row>
    <row r="125" spans="3:23" ht="20.100000000000001" customHeight="1" x14ac:dyDescent="0.25">
      <c r="D125" s="122" t="s">
        <v>578</v>
      </c>
    </row>
    <row r="126" spans="3:23" ht="20.100000000000001" customHeight="1" x14ac:dyDescent="0.25">
      <c r="D126" s="81" t="s">
        <v>159</v>
      </c>
      <c r="E126" s="81" t="s">
        <v>427</v>
      </c>
      <c r="F126" s="81" t="s">
        <v>579</v>
      </c>
    </row>
    <row r="127" spans="3:23" ht="20.100000000000001" customHeight="1" x14ac:dyDescent="0.25">
      <c r="D127" s="15" t="str">
        <f>INDEX(X_Table_Dairy_ProductionSystems_Method1,3,1)</f>
        <v>Milking shed</v>
      </c>
      <c r="E127" s="15" t="str">
        <f>INDEX(X_Table_Dairy_Stage1MMS_1_AnaerobicLagoon,2,1)</f>
        <v>Anaerobic lagoon</v>
      </c>
      <c r="F127" s="15">
        <f>INDEX(X_Table_Dairy_Stage1MMS_1_AnaerobicLagoon_Destinations,2,3)</f>
        <v>0.25</v>
      </c>
      <c r="G127" s="16" t="str">
        <f>G101</f>
        <v>fraction</v>
      </c>
    </row>
    <row r="128" spans="3:23" ht="20.100000000000001" customHeight="1" x14ac:dyDescent="0.25">
      <c r="D128" s="15" t="str">
        <f>INDEX(X_Table_Dairy_ProductionSystems_Method1,3,1)</f>
        <v>Milking shed</v>
      </c>
      <c r="E128" s="15" t="str">
        <f>INDEX(X_Table_Dairy_Stage1MMS_1_SumpAndDispersal,2,1)</f>
        <v>Sump and dispersal system</v>
      </c>
      <c r="F128" s="15">
        <f>INDEX(X_Table_Dairy_Stage1MMS_1_SumpAndDispersal_Destinations,2,3)</f>
        <v>0.25</v>
      </c>
      <c r="G128" s="16"/>
    </row>
    <row r="129" spans="4:22" ht="20.100000000000001" customHeight="1" x14ac:dyDescent="0.25">
      <c r="D129" s="15" t="str">
        <f>INDEX(X_Table_Dairy_ProductionSystems_Method1,3,1)</f>
        <v>Milking shed</v>
      </c>
      <c r="E129" s="15" t="str">
        <f>INDEX(X_Table_Dairy_Stage1MMS_1_DrainsToPaddock,2,1)</f>
        <v>Drains to paddock</v>
      </c>
      <c r="F129" s="15">
        <f>INDEX(X_Table_Dairy_Stage1MMS_1_DrainsToPaddock_Destinations,2,3)</f>
        <v>0.25</v>
      </c>
      <c r="G129" s="16"/>
    </row>
    <row r="130" spans="4:22" ht="20.100000000000001" customHeight="1" x14ac:dyDescent="0.25">
      <c r="D130" s="15" t="str">
        <f>INDEX(X_Table_Dairy_ProductionSystems_Method1,3,1)</f>
        <v>Milking shed</v>
      </c>
      <c r="E130" s="15" t="s">
        <v>75</v>
      </c>
      <c r="F130" s="15">
        <f>INDEX(X_Table_Dairy_Stage1MMS_1_SolidStorage_Destinations,2,3)</f>
        <v>0.25</v>
      </c>
      <c r="G130" s="16"/>
    </row>
    <row r="131" spans="4:22" ht="20.100000000000001" customHeight="1" x14ac:dyDescent="0.25">
      <c r="D131" s="15" t="str">
        <f>INDEX(X_Table_Dairy_ProductionSystems_Method1,4,1)</f>
        <v>Feed pad</v>
      </c>
      <c r="E131" s="15" t="str">
        <f>INDEX(X_Table_Dairy_Stage1MMS_2_AnaerobicLagoon,2,1)</f>
        <v>Anaerobic lagoon</v>
      </c>
      <c r="F131" s="15">
        <f>INDEX(X_Table_Dairy_Stage1MMS_2_AnaerobicLagoon_Destinations,2,3)</f>
        <v>0.25</v>
      </c>
      <c r="G131" s="16"/>
    </row>
    <row r="132" spans="4:22" ht="20.100000000000001" customHeight="1" x14ac:dyDescent="0.25">
      <c r="D132" s="15" t="str">
        <f>INDEX(X_Table_Dairy_ProductionSystems_Method1,4,1)</f>
        <v>Feed pad</v>
      </c>
      <c r="E132" s="15" t="str">
        <f>INDEX(X_Table_Dairy_Stage1MMS_2_SumpAndDispersal,2,1)</f>
        <v>Sump and dispersal system</v>
      </c>
      <c r="F132" s="15">
        <f>INDEX(X_Table_Dairy_Stage1MMS_2_SumpAndDispersal_Destinations,2,3)</f>
        <v>0.25</v>
      </c>
      <c r="G132" s="16"/>
    </row>
    <row r="133" spans="4:22" ht="20.100000000000001" customHeight="1" x14ac:dyDescent="0.25">
      <c r="D133" s="15" t="str">
        <f>INDEX(X_Table_Dairy_ProductionSystems_Method1,4,1)</f>
        <v>Feed pad</v>
      </c>
      <c r="E133" s="15" t="str">
        <f>INDEX(X_Table_Dairy_Stage1MMS_2_DrainsToPaddock,2,1)</f>
        <v>Drains to paddock</v>
      </c>
      <c r="F133" s="15">
        <f>INDEX(X_Table_Dairy_Stage1MMS_2_DrainsToPaddock_Destinations,2,3)</f>
        <v>0.25</v>
      </c>
      <c r="G133" s="16"/>
    </row>
    <row r="134" spans="4:22" ht="20.100000000000001" customHeight="1" x14ac:dyDescent="0.25">
      <c r="D134" s="15" t="str">
        <f>INDEX(X_Table_Dairy_ProductionSystems_Method1,4,1)</f>
        <v>Feed pad</v>
      </c>
      <c r="E134" s="15" t="s">
        <v>75</v>
      </c>
      <c r="F134" s="15">
        <f>INDEX(X_Table_Dairy_Stage1MMS_2_SolidStorage_Destinations,2,3)</f>
        <v>0.25</v>
      </c>
      <c r="G134" s="16"/>
    </row>
    <row r="135" spans="4:22" ht="20.100000000000001" customHeight="1" x14ac:dyDescent="0.25"/>
    <row r="136" spans="4:22" ht="20.100000000000001" customHeight="1" x14ac:dyDescent="0.25">
      <c r="D136" s="121" t="s">
        <v>580</v>
      </c>
      <c r="O136" s="121" t="s">
        <v>581</v>
      </c>
    </row>
    <row r="137" spans="4:22" ht="20.100000000000001" customHeight="1" x14ac:dyDescent="0.25">
      <c r="D137" s="122" t="s">
        <v>582</v>
      </c>
      <c r="O137" s="122" t="s">
        <v>583</v>
      </c>
    </row>
    <row r="138" spans="4:22" ht="20.100000000000001" customHeight="1" x14ac:dyDescent="0.25">
      <c r="D138" s="123" t="s">
        <v>159</v>
      </c>
      <c r="E138" s="123" t="s">
        <v>427</v>
      </c>
      <c r="F138" s="123" t="s">
        <v>334</v>
      </c>
      <c r="G138" s="123" t="s">
        <v>335</v>
      </c>
      <c r="H138" s="123" t="s">
        <v>336</v>
      </c>
      <c r="I138" s="123" t="s">
        <v>337</v>
      </c>
      <c r="J138" s="123" t="s">
        <v>338</v>
      </c>
      <c r="O138" s="123" t="s">
        <v>159</v>
      </c>
      <c r="P138" s="123" t="s">
        <v>427</v>
      </c>
      <c r="Q138" s="123" t="s">
        <v>334</v>
      </c>
      <c r="R138" s="123" t="s">
        <v>335</v>
      </c>
      <c r="S138" s="123" t="s">
        <v>336</v>
      </c>
      <c r="T138" s="123" t="s">
        <v>337</v>
      </c>
      <c r="U138" s="123" t="s">
        <v>338</v>
      </c>
    </row>
    <row r="139" spans="4:22" ht="20.100000000000001" customHeight="1" x14ac:dyDescent="0.25">
      <c r="D139" s="15" t="str">
        <f>INDEX(X_Table_Dairy_ProductionSystems_Method1,3,1)</f>
        <v>Milking shed</v>
      </c>
      <c r="E139" s="15" t="str">
        <f>INDEX(X_Table_Dairy_Stage1MMS_1_AnaerobicLagoon,2,1)</f>
        <v>Anaerobic lagoon</v>
      </c>
      <c r="F139" s="15" cm="1">
        <f t="array" ref="F139">MMS_Dairy_ManureAppliedToSoils_Equations.VEERG_4_3_1_8__1_MassOfNitrogenAppliedToSoilsScope1(F40,_xlfn.XLOOKUP($E139,$D$22:$D$26,$E$22:$E$26),_xlfn.XLOOKUP($E139,$D$31:$D$35,$E$31:$E$35),F52,$F127)</f>
        <v>64.877484237713347</v>
      </c>
      <c r="G139" s="15" cm="1">
        <f t="array" ref="G139">MMS_Dairy_ManureAppliedToSoils_Equations.VEERG_4_3_1_8__1_MassOfNitrogenAppliedToSoilsScope1(G40,_xlfn.XLOOKUP($E139,$D$22:$D$26,$E$22:$E$26),_xlfn.XLOOKUP($E139,$D$31:$D$35,$E$31:$E$35),G52,$F127)</f>
        <v>29.633159185145878</v>
      </c>
      <c r="H139" s="15" cm="1">
        <f t="array" ref="H139">MMS_Dairy_ManureAppliedToSoils_Equations.VEERG_4_3_1_8__1_MassOfNitrogenAppliedToSoilsScope1(H40,_xlfn.XLOOKUP($E139,$D$22:$D$26,$E$22:$E$26),_xlfn.XLOOKUP($E139,$D$31:$D$35,$E$31:$E$35),H52,$F127)</f>
        <v>11.802573920124557</v>
      </c>
      <c r="I139" s="15" cm="1">
        <f t="array" ref="I139">MMS_Dairy_ManureAppliedToSoils_Equations.VEERG_4_3_1_8__1_MassOfNitrogenAppliedToSoilsScope1(I40,_xlfn.XLOOKUP($E139,$D$22:$D$26,$E$22:$E$26),_xlfn.XLOOKUP($E139,$D$31:$D$35,$E$31:$E$35),I52,$F127)</f>
        <v>37.250053057728621</v>
      </c>
      <c r="J139" s="15" cm="1">
        <f t="array" ref="J139">MMS_Dairy_ManureAppliedToSoils_Equations.VEERG_4_3_1_8__1_MassOfNitrogenAppliedToSoilsScope1(J40,_xlfn.XLOOKUP($E139,$D$22:$D$26,$E$22:$E$26),_xlfn.XLOOKUP($E139,$D$31:$D$35,$E$31:$E$35),J52,$F127)</f>
        <v>15.593964275346504</v>
      </c>
      <c r="K139" s="16" t="str">
        <f t="shared" ref="K139:K146" si="4">$E$95</f>
        <v>kg N</v>
      </c>
      <c r="O139" s="15" t="str">
        <f>INDEX(X_Table_Dairy_ProductionSystems_Method1,3,1)</f>
        <v>Milking shed</v>
      </c>
      <c r="P139" s="15" t="str">
        <f>INDEX(X_Table_Dairy_Stage1MMS_1_AnaerobicLagoon,2,1)</f>
        <v>Anaerobic lagoon</v>
      </c>
      <c r="Q139" s="15" cm="1">
        <f t="array" ref="Q139">MMS_Dairy_ManureAppliedToSoils_Equations.VEERG_4_3_1_8__1_MassOfNitrogenAppliedToSoilsScope1(Q40,_xlfn.XLOOKUP($P139,$D$22:$D$26,$E$22:$E$26),_xlfn.XLOOKUP($P139,$D$31:$D$35,$E$31:$E$35),Q52,$F127)</f>
        <v>64.877484237713347</v>
      </c>
      <c r="R139" s="15" cm="1">
        <f t="array" ref="R139">MMS_Dairy_ManureAppliedToSoils_Equations.VEERG_4_3_1_8__1_MassOfNitrogenAppliedToSoilsScope1(R40,_xlfn.XLOOKUP($P139,$D$22:$D$26,$E$22:$E$26),_xlfn.XLOOKUP($P139,$D$31:$D$35,$E$31:$E$35),R52,$F127)</f>
        <v>29.633159185145878</v>
      </c>
      <c r="S139" s="15" cm="1">
        <f t="array" ref="S139">MMS_Dairy_ManureAppliedToSoils_Equations.VEERG_4_3_1_8__1_MassOfNitrogenAppliedToSoilsScope1(S40,_xlfn.XLOOKUP($P139,$D$22:$D$26,$E$22:$E$26),_xlfn.XLOOKUP($P139,$D$31:$D$35,$E$31:$E$35),S52,$F127)</f>
        <v>11.802573920124557</v>
      </c>
      <c r="T139" s="15" cm="1">
        <f t="array" ref="T139">MMS_Dairy_ManureAppliedToSoils_Equations.VEERG_4_3_1_8__1_MassOfNitrogenAppliedToSoilsScope1(T40,_xlfn.XLOOKUP($P139,$D$22:$D$26,$E$22:$E$26),_xlfn.XLOOKUP($P139,$D$31:$D$35,$E$31:$E$35),T52,$F127)</f>
        <v>37.250053057728621</v>
      </c>
      <c r="U139" s="15" cm="1">
        <f t="array" ref="U139">MMS_Dairy_ManureAppliedToSoils_Equations.VEERG_4_3_1_8__1_MassOfNitrogenAppliedToSoilsScope1(U40,_xlfn.XLOOKUP($P139,$D$22:$D$26,$E$22:$E$26),_xlfn.XLOOKUP($P139,$D$31:$D$35,$E$31:$E$35),U52,$F127)</f>
        <v>15.593964275346504</v>
      </c>
      <c r="V139" s="16" t="str">
        <f t="shared" ref="V139" si="5">$E$95</f>
        <v>kg N</v>
      </c>
    </row>
    <row r="140" spans="4:22" ht="20.100000000000001" customHeight="1" x14ac:dyDescent="0.25">
      <c r="D140" s="15" t="str">
        <f>INDEX(X_Table_Dairy_ProductionSystems_Method1,3,1)</f>
        <v>Milking shed</v>
      </c>
      <c r="E140" s="15" t="str">
        <f>INDEX(X_Table_Dairy_Stage1MMS_1_SumpAndDispersal,2,1)</f>
        <v>Sump and dispersal system</v>
      </c>
      <c r="F140" s="15" cm="1">
        <f t="array" ref="F140">MMS_Dairy_ManureAppliedToSoils_Equations.VEERG_4_3_1_8__1_MassOfNitrogenAppliedToSoilsScope1(F41,_xlfn.XLOOKUP($E140,$D$22:$D$26,$E$22:$E$26),_xlfn.XLOOKUP($E140,$D$31:$D$35,$E$31:$E$35),F53,$F128)</f>
        <v>92.824708217036019</v>
      </c>
      <c r="G140" s="15" cm="1">
        <f t="array" ref="G140">MMS_Dairy_ManureAppliedToSoils_Equations.VEERG_4_3_1_8__1_MassOfNitrogenAppliedToSoilsScope1(G41,_xlfn.XLOOKUP($E140,$D$22:$D$26,$E$22:$E$26),_xlfn.XLOOKUP($E140,$D$31:$D$35,$E$31:$E$35),G53,$F128)</f>
        <v>42.398212372593328</v>
      </c>
      <c r="H140" s="15" cm="1">
        <f t="array" ref="H140">MMS_Dairy_ManureAppliedToSoils_Equations.VEERG_4_3_1_8__1_MassOfNitrogenAppliedToSoilsScope1(H41,_xlfn.XLOOKUP($E140,$D$22:$D$26,$E$22:$E$26),_xlfn.XLOOKUP($E140,$D$31:$D$35,$E$31:$E$35),H53,$F128)</f>
        <v>16.886759608793596</v>
      </c>
      <c r="I140" s="15" cm="1">
        <f t="array" ref="I140">MMS_Dairy_ManureAppliedToSoils_Equations.VEERG_4_3_1_8__1_MassOfNitrogenAppliedToSoilsScope1(I41,_xlfn.XLOOKUP($E140,$D$22:$D$26,$E$22:$E$26),_xlfn.XLOOKUP($E140,$D$31:$D$35,$E$31:$E$35),I53,$F128)</f>
        <v>53.296229759519406</v>
      </c>
      <c r="J140" s="15" cm="1">
        <f t="array" ref="J140">MMS_Dairy_ManureAppliedToSoils_Equations.VEERG_4_3_1_8__1_MassOfNitrogenAppliedToSoilsScope1(J41,_xlfn.XLOOKUP($E140,$D$22:$D$26,$E$22:$E$26),_xlfn.XLOOKUP($E140,$D$31:$D$35,$E$31:$E$35),J53,$F128)</f>
        <v>22.311364270880382</v>
      </c>
      <c r="K140" s="16" t="str">
        <f t="shared" si="4"/>
        <v>kg N</v>
      </c>
      <c r="O140" s="15" t="str">
        <f>INDEX(X_Table_Dairy_ProductionSystems_Method1,3,1)</f>
        <v>Milking shed</v>
      </c>
      <c r="P140" s="15" t="str">
        <f>INDEX(X_Table_Dairy_Stage1MMS_1_SumpAndDispersal,2,1)</f>
        <v>Sump and dispersal system</v>
      </c>
      <c r="Q140" s="15" cm="1">
        <f t="array" ref="Q140">MMS_Dairy_ManureAppliedToSoils_Equations.VEERG_4_3_1_8__1_MassOfNitrogenAppliedToSoilsScope1(Q41,_xlfn.XLOOKUP($P140,$D$22:$D$26,$E$22:$E$26),_xlfn.XLOOKUP($P140,$D$31:$D$35,$E$31:$E$35),Q53,$F128)</f>
        <v>92.824708217036019</v>
      </c>
      <c r="R140" s="15" cm="1">
        <f t="array" ref="R140">MMS_Dairy_ManureAppliedToSoils_Equations.VEERG_4_3_1_8__1_MassOfNitrogenAppliedToSoilsScope1(R41,_xlfn.XLOOKUP($P140,$D$22:$D$26,$E$22:$E$26),_xlfn.XLOOKUP($P140,$D$31:$D$35,$E$31:$E$35),R53,$F128)</f>
        <v>42.398212372593328</v>
      </c>
      <c r="S140" s="15" cm="1">
        <f t="array" ref="S140">MMS_Dairy_ManureAppliedToSoils_Equations.VEERG_4_3_1_8__1_MassOfNitrogenAppliedToSoilsScope1(S41,_xlfn.XLOOKUP($P140,$D$22:$D$26,$E$22:$E$26),_xlfn.XLOOKUP($P140,$D$31:$D$35,$E$31:$E$35),S53,$F128)</f>
        <v>16.886759608793596</v>
      </c>
      <c r="T140" s="15" cm="1">
        <f t="array" ref="T140">MMS_Dairy_ManureAppliedToSoils_Equations.VEERG_4_3_1_8__1_MassOfNitrogenAppliedToSoilsScope1(T41,_xlfn.XLOOKUP($P140,$D$22:$D$26,$E$22:$E$26),_xlfn.XLOOKUP($P140,$D$31:$D$35,$E$31:$E$35),T53,$F128)</f>
        <v>53.296229759519406</v>
      </c>
      <c r="U140" s="15" cm="1">
        <f t="array" ref="U140">MMS_Dairy_ManureAppliedToSoils_Equations.VEERG_4_3_1_8__1_MassOfNitrogenAppliedToSoilsScope1(U41,_xlfn.XLOOKUP($P140,$D$22:$D$26,$E$22:$E$26),_xlfn.XLOOKUP($P140,$D$31:$D$35,$E$31:$E$35),U53,$F128)</f>
        <v>22.311364270880382</v>
      </c>
      <c r="V140" s="16"/>
    </row>
    <row r="141" spans="4:22" ht="20.100000000000001" customHeight="1" x14ac:dyDescent="0.25">
      <c r="D141" s="15" t="str">
        <f>INDEX(X_Table_Dairy_ProductionSystems_Method1,3,1)</f>
        <v>Milking shed</v>
      </c>
      <c r="E141" s="15" t="str">
        <f>INDEX(X_Table_Dairy_Stage1MMS_1_DrainsToPaddock,2,1)</f>
        <v>Drains to paddock</v>
      </c>
      <c r="F141" s="15" cm="1">
        <f t="array" ref="F141">MMS_Dairy_ManureAppliedToSoils_Equations.VEERG_4_3_1_8__1_MassOfNitrogenAppliedToSoilsScope1(F42,_xlfn.XLOOKUP($E141,$D$22:$D$26,$E$22:$E$26),_xlfn.XLOOKUP($E141,$D$31:$D$35,$E$31:$E$35),F54,$F129)</f>
        <v>79.849211369493361</v>
      </c>
      <c r="G141" s="15" cm="1">
        <f t="array" ref="G141">MMS_Dairy_ManureAppliedToSoils_Equations.VEERG_4_3_1_8__1_MassOfNitrogenAppliedToSoilsScope1(G42,_xlfn.XLOOKUP($E141,$D$22:$D$26,$E$22:$E$26),_xlfn.XLOOKUP($E141,$D$31:$D$35,$E$31:$E$35),G54,$F129)</f>
        <v>36.471580535564158</v>
      </c>
      <c r="H141" s="15" cm="1">
        <f t="array" ref="H141">MMS_Dairy_ManureAppliedToSoils_Equations.VEERG_4_3_1_8__1_MassOfNitrogenAppliedToSoilsScope1(H42,_xlfn.XLOOKUP($E141,$D$22:$D$26,$E$22:$E$26),_xlfn.XLOOKUP($E141,$D$31:$D$35,$E$31:$E$35),H54,$F129)</f>
        <v>14.526244824768686</v>
      </c>
      <c r="I141" s="15" cm="1">
        <f t="array" ref="I141">MMS_Dairy_ManureAppliedToSoils_Equations.VEERG_4_3_1_8__1_MassOfNitrogenAppliedToSoilsScope1(I42,_xlfn.XLOOKUP($E141,$D$22:$D$26,$E$22:$E$26),_xlfn.XLOOKUP($E141,$D$31:$D$35,$E$31:$E$35),I54,$F129)</f>
        <v>45.846219147973692</v>
      </c>
      <c r="J141" s="15" cm="1">
        <f t="array" ref="J141">MMS_Dairy_ManureAppliedToSoils_Equations.VEERG_4_3_1_8__1_MassOfNitrogenAppliedToSoilsScope1(J42,_xlfn.XLOOKUP($E141,$D$22:$D$26,$E$22:$E$26),_xlfn.XLOOKUP($E141,$D$31:$D$35,$E$31:$E$35),J54,$F129)</f>
        <v>19.192571415811084</v>
      </c>
      <c r="K141" s="16" t="str">
        <f t="shared" si="4"/>
        <v>kg N</v>
      </c>
      <c r="O141" s="15" t="str">
        <f>INDEX(X_Table_Dairy_ProductionSystems_Method1,3,1)</f>
        <v>Milking shed</v>
      </c>
      <c r="P141" s="15" t="str">
        <f>INDEX(X_Table_Dairy_Stage1MMS_1_DrainsToPaddock,2,1)</f>
        <v>Drains to paddock</v>
      </c>
      <c r="Q141" s="15" cm="1">
        <f t="array" ref="Q141">MMS_Dairy_ManureAppliedToSoils_Equations.VEERG_4_3_1_8__1_MassOfNitrogenAppliedToSoilsScope1(Q42,_xlfn.XLOOKUP($P141,$D$22:$D$26,$E$22:$E$26),_xlfn.XLOOKUP($P141,$D$31:$D$35,$E$31:$E$35),Q54,$F129)</f>
        <v>79.849211369493361</v>
      </c>
      <c r="R141" s="15" cm="1">
        <f t="array" ref="R141">MMS_Dairy_ManureAppliedToSoils_Equations.VEERG_4_3_1_8__1_MassOfNitrogenAppliedToSoilsScope1(R42,_xlfn.XLOOKUP($P141,$D$22:$D$26,$E$22:$E$26),_xlfn.XLOOKUP($P141,$D$31:$D$35,$E$31:$E$35),R54,$F129)</f>
        <v>36.471580535564158</v>
      </c>
      <c r="S141" s="15" cm="1">
        <f t="array" ref="S141">MMS_Dairy_ManureAppliedToSoils_Equations.VEERG_4_3_1_8__1_MassOfNitrogenAppliedToSoilsScope1(S42,_xlfn.XLOOKUP($P141,$D$22:$D$26,$E$22:$E$26),_xlfn.XLOOKUP($P141,$D$31:$D$35,$E$31:$E$35),S54,$F129)</f>
        <v>14.526244824768686</v>
      </c>
      <c r="T141" s="15" cm="1">
        <f t="array" ref="T141">MMS_Dairy_ManureAppliedToSoils_Equations.VEERG_4_3_1_8__1_MassOfNitrogenAppliedToSoilsScope1(T42,_xlfn.XLOOKUP($P141,$D$22:$D$26,$E$22:$E$26),_xlfn.XLOOKUP($P141,$D$31:$D$35,$E$31:$E$35),T54,$F129)</f>
        <v>45.846219147973692</v>
      </c>
      <c r="U141" s="15" cm="1">
        <f t="array" ref="U141">MMS_Dairy_ManureAppliedToSoils_Equations.VEERG_4_3_1_8__1_MassOfNitrogenAppliedToSoilsScope1(U42,_xlfn.XLOOKUP($P141,$D$22:$D$26,$E$22:$E$26),_xlfn.XLOOKUP($P141,$D$31:$D$35,$E$31:$E$35),U54,$F129)</f>
        <v>19.192571415811084</v>
      </c>
      <c r="V141" s="16"/>
    </row>
    <row r="142" spans="4:22" ht="20.100000000000001" customHeight="1" x14ac:dyDescent="0.25">
      <c r="D142" s="15" t="str">
        <f>INDEX(X_Table_Dairy_ProductionSystems_Method1,3,1)</f>
        <v>Milking shed</v>
      </c>
      <c r="E142" s="15" t="s">
        <v>75</v>
      </c>
      <c r="F142" s="15" cm="1">
        <f t="array" ref="F142">MMS_Dairy_ManureAppliedToSoils_Equations.VEERG_4_3_1_8__1_MassOfNitrogenAppliedToSoilsScope1(F43,_xlfn.XLOOKUP($E142,$D$22:$D$26,$E$22:$E$26),_xlfn.XLOOKUP($E142,$D$31:$D$35,$E$31:$E$35),F55,$F130)</f>
        <v>134.74554418602003</v>
      </c>
      <c r="G142" s="15" cm="1">
        <f t="array" ref="G142">MMS_Dairy_ManureAppliedToSoils_Equations.VEERG_4_3_1_8__1_MassOfNitrogenAppliedToSoilsScope1(G43,_xlfn.XLOOKUP($E142,$D$22:$D$26,$E$22:$E$26),_xlfn.XLOOKUP($E142,$D$31:$D$35,$E$31:$E$35),G55,$F130)</f>
        <v>61.545792153764516</v>
      </c>
      <c r="H142" s="15" cm="1">
        <f t="array" ref="H142">MMS_Dairy_ManureAppliedToSoils_Equations.VEERG_4_3_1_8__1_MassOfNitrogenAppliedToSoilsScope1(H43,_xlfn.XLOOKUP($E142,$D$22:$D$26,$E$22:$E$26),_xlfn.XLOOKUP($E142,$D$31:$D$35,$E$31:$E$35),H55,$F130)</f>
        <v>24.51303814179715</v>
      </c>
      <c r="I142" s="15" cm="1">
        <f t="array" ref="I142">MMS_Dairy_ManureAppliedToSoils_Equations.VEERG_4_3_1_8__1_MassOfNitrogenAppliedToSoilsScope1(I43,_xlfn.XLOOKUP($E142,$D$22:$D$26,$E$22:$E$26),_xlfn.XLOOKUP($E142,$D$31:$D$35,$E$31:$E$35),I55,$F130)</f>
        <v>77.365494812205597</v>
      </c>
      <c r="J142" s="15" cm="1">
        <f t="array" ref="J142">MMS_Dairy_ManureAppliedToSoils_Equations.VEERG_4_3_1_8__1_MassOfNitrogenAppliedToSoilsScope1(J43,_xlfn.XLOOKUP($E142,$D$22:$D$26,$E$22:$E$26),_xlfn.XLOOKUP($E142,$D$31:$D$35,$E$31:$E$35),J55,$F130)</f>
        <v>32.387464264181197</v>
      </c>
      <c r="K142" s="16" t="str">
        <f t="shared" si="4"/>
        <v>kg N</v>
      </c>
      <c r="O142" s="15" t="str">
        <f>INDEX(X_Table_Dairy_ProductionSystems_Method1,3,1)</f>
        <v>Milking shed</v>
      </c>
      <c r="P142" s="15" t="s">
        <v>75</v>
      </c>
      <c r="Q142" s="15" cm="1">
        <f t="array" ref="Q142">MMS_Dairy_ManureAppliedToSoils_Equations.VEERG_4_3_1_8__1_MassOfNitrogenAppliedToSoilsScope1(Q43,_xlfn.XLOOKUP($P142,$D$22:$D$26,$E$22:$E$26),_xlfn.XLOOKUP($P142,$D$31:$D$35,$E$31:$E$35),Q55,$F130)</f>
        <v>134.74554418602003</v>
      </c>
      <c r="R142" s="15" cm="1">
        <f t="array" ref="R142">MMS_Dairy_ManureAppliedToSoils_Equations.VEERG_4_3_1_8__1_MassOfNitrogenAppliedToSoilsScope1(R43,_xlfn.XLOOKUP($P142,$D$22:$D$26,$E$22:$E$26),_xlfn.XLOOKUP($P142,$D$31:$D$35,$E$31:$E$35),R55,$F130)</f>
        <v>61.545792153764516</v>
      </c>
      <c r="S142" s="15" cm="1">
        <f t="array" ref="S142">MMS_Dairy_ManureAppliedToSoils_Equations.VEERG_4_3_1_8__1_MassOfNitrogenAppliedToSoilsScope1(S43,_xlfn.XLOOKUP($P142,$D$22:$D$26,$E$22:$E$26),_xlfn.XLOOKUP($P142,$D$31:$D$35,$E$31:$E$35),S55,$F130)</f>
        <v>24.51303814179715</v>
      </c>
      <c r="T142" s="15" cm="1">
        <f t="array" ref="T142">MMS_Dairy_ManureAppliedToSoils_Equations.VEERG_4_3_1_8__1_MassOfNitrogenAppliedToSoilsScope1(T43,_xlfn.XLOOKUP($P142,$D$22:$D$26,$E$22:$E$26),_xlfn.XLOOKUP($P142,$D$31:$D$35,$E$31:$E$35),T55,$F130)</f>
        <v>77.365494812205597</v>
      </c>
      <c r="U142" s="15" cm="1">
        <f t="array" ref="U142">MMS_Dairy_ManureAppliedToSoils_Equations.VEERG_4_3_1_8__1_MassOfNitrogenAppliedToSoilsScope1(U43,_xlfn.XLOOKUP($P142,$D$22:$D$26,$E$22:$E$26),_xlfn.XLOOKUP($P142,$D$31:$D$35,$E$31:$E$35),U55,$F130)</f>
        <v>32.387464264181197</v>
      </c>
      <c r="V142" s="16"/>
    </row>
    <row r="143" spans="4:22" ht="20.100000000000001" customHeight="1" x14ac:dyDescent="0.25">
      <c r="D143" s="15" t="str">
        <f>INDEX(X_Table_Dairy_ProductionSystems_Method1,4,1)</f>
        <v>Feed pad</v>
      </c>
      <c r="E143" s="15" t="str">
        <f>INDEX(X_Table_Dairy_Stage1MMS_2_AnaerobicLagoon,2,1)</f>
        <v>Anaerobic lagoon</v>
      </c>
      <c r="F143" s="15" cm="1">
        <f t="array" ref="F143">MMS_Dairy_ManureAppliedToSoils_Equations.VEERG_4_3_1_8__1_MassOfNitrogenAppliedToSoilsScope1(F44,_xlfn.XLOOKUP($E143,$D$22:$D$26,$E$22:$E$26),_xlfn.XLOOKUP($E143,$D$31:$D$35,$E$31:$E$35),F56,$F131)</f>
        <v>262.45891350711304</v>
      </c>
      <c r="G143" s="15" cm="1">
        <f t="array" ref="G143">MMS_Dairy_ManureAppliedToSoils_Equations.VEERG_4_3_1_8__1_MassOfNitrogenAppliedToSoilsScope1(G44,_xlfn.XLOOKUP($E143,$D$22:$D$26,$E$22:$E$26),_xlfn.XLOOKUP($E143,$D$31:$D$35,$E$31:$E$35),G56,$F131)</f>
        <v>119.87959852172649</v>
      </c>
      <c r="H143" s="15" cm="1">
        <f t="array" ref="H143">MMS_Dairy_ManureAppliedToSoils_Equations.VEERG_4_3_1_8__1_MassOfNitrogenAppliedToSoilsScope1(H44,_xlfn.XLOOKUP($E143,$D$22:$D$26,$E$22:$E$26),_xlfn.XLOOKUP($E143,$D$31:$D$35,$E$31:$E$35),H56,$F131)</f>
        <v>47.746776313231159</v>
      </c>
      <c r="I143" s="15" cm="1">
        <f t="array" ref="I143">MMS_Dairy_ManureAppliedToSoils_Equations.VEERG_4_3_1_8__1_MassOfNitrogenAppliedToSoilsScope1(I44,_xlfn.XLOOKUP($E143,$D$22:$D$26,$E$22:$E$26),_xlfn.XLOOKUP($E143,$D$31:$D$35,$E$31:$E$35),I56,$F131)</f>
        <v>150.69339646081124</v>
      </c>
      <c r="J143" s="15" cm="1">
        <f t="array" ref="J143">MMS_Dairy_ManureAppliedToSoils_Equations.VEERG_4_3_1_8__1_MassOfNitrogenAppliedToSoilsScope1(J44,_xlfn.XLOOKUP($E143,$D$22:$D$26,$E$22:$E$26),_xlfn.XLOOKUP($E143,$D$31:$D$35,$E$31:$E$35),J56,$F131)</f>
        <v>63.084673659356305</v>
      </c>
      <c r="K143" s="16" t="str">
        <f t="shared" si="4"/>
        <v>kg N</v>
      </c>
      <c r="O143" s="15" t="str">
        <f>INDEX(X_Table_Dairy_ProductionSystems_Method1,4,1)</f>
        <v>Feed pad</v>
      </c>
      <c r="P143" s="15" t="str">
        <f>INDEX(X_Table_Dairy_Stage1MMS_2_AnaerobicLagoon,2,1)</f>
        <v>Anaerobic lagoon</v>
      </c>
      <c r="Q143" s="15" cm="1">
        <f t="array" ref="Q143">MMS_Dairy_ManureAppliedToSoils_Equations.VEERG_4_3_1_8__1_MassOfNitrogenAppliedToSoilsScope1(Q44,_xlfn.XLOOKUP($P143,$D$22:$D$26,$E$22:$E$26),_xlfn.XLOOKUP($P143,$D$31:$D$35,$E$31:$E$35),Q56,$F131)</f>
        <v>262.45891350711304</v>
      </c>
      <c r="R143" s="15" cm="1">
        <f t="array" ref="R143">MMS_Dairy_ManureAppliedToSoils_Equations.VEERG_4_3_1_8__1_MassOfNitrogenAppliedToSoilsScope1(R44,_xlfn.XLOOKUP($P143,$D$22:$D$26,$E$22:$E$26),_xlfn.XLOOKUP($P143,$D$31:$D$35,$E$31:$E$35),R56,$F131)</f>
        <v>119.87959852172649</v>
      </c>
      <c r="S143" s="15" cm="1">
        <f t="array" ref="S143">MMS_Dairy_ManureAppliedToSoils_Equations.VEERG_4_3_1_8__1_MassOfNitrogenAppliedToSoilsScope1(S44,_xlfn.XLOOKUP($P143,$D$22:$D$26,$E$22:$E$26),_xlfn.XLOOKUP($P143,$D$31:$D$35,$E$31:$E$35),S56,$F131)</f>
        <v>47.746776313231159</v>
      </c>
      <c r="T143" s="15" cm="1">
        <f t="array" ref="T143">MMS_Dairy_ManureAppliedToSoils_Equations.VEERG_4_3_1_8__1_MassOfNitrogenAppliedToSoilsScope1(T44,_xlfn.XLOOKUP($P143,$D$22:$D$26,$E$22:$E$26),_xlfn.XLOOKUP($P143,$D$31:$D$35,$E$31:$E$35),T56,$F131)</f>
        <v>150.69339646081124</v>
      </c>
      <c r="U143" s="15" cm="1">
        <f t="array" ref="U143">MMS_Dairy_ManureAppliedToSoils_Equations.VEERG_4_3_1_8__1_MassOfNitrogenAppliedToSoilsScope1(U44,_xlfn.XLOOKUP($P143,$D$22:$D$26,$E$22:$E$26),_xlfn.XLOOKUP($P143,$D$31:$D$35,$E$31:$E$35),U56,$F131)</f>
        <v>63.084673659356305</v>
      </c>
      <c r="V143" s="16"/>
    </row>
    <row r="144" spans="4:22" ht="20.100000000000001" customHeight="1" x14ac:dyDescent="0.25">
      <c r="D144" s="15" t="str">
        <f>INDEX(X_Table_Dairy_ProductionSystems_Method1,4,1)</f>
        <v>Feed pad</v>
      </c>
      <c r="E144" s="15" t="str">
        <f>INDEX(X_Table_Dairy_Stage1MMS_2_SumpAndDispersal,2,1)</f>
        <v>Sump and dispersal system</v>
      </c>
      <c r="F144" s="15" cm="1">
        <f t="array" ref="F144">MMS_Dairy_ManureAppliedToSoils_Equations.VEERG_4_3_1_8__1_MassOfNitrogenAppliedToSoilsScope1(F45,_xlfn.XLOOKUP($E144,$D$22:$D$26,$E$22:$E$26),_xlfn.XLOOKUP($E144,$D$31:$D$35,$E$31:$E$35),F57,$F132)</f>
        <v>300.41451022968016</v>
      </c>
      <c r="G144" s="15" cm="1">
        <f t="array" ref="G144">MMS_Dairy_ManureAppliedToSoils_Equations.VEERG_4_3_1_8__1_MassOfNitrogenAppliedToSoilsScope1(G45,_xlfn.XLOOKUP($E144,$D$22:$D$26,$E$22:$E$26),_xlfn.XLOOKUP($E144,$D$31:$D$35,$E$31:$E$35),G57,$F132)</f>
        <v>137.21603276948386</v>
      </c>
      <c r="H144" s="15" cm="1">
        <f t="array" ref="H144">MMS_Dairy_ManureAppliedToSoils_Equations.VEERG_4_3_1_8__1_MassOfNitrogenAppliedToSoilsScope1(H45,_xlfn.XLOOKUP($E144,$D$22:$D$26,$E$22:$E$26),_xlfn.XLOOKUP($E144,$D$31:$D$35,$E$31:$E$35),H57,$F132)</f>
        <v>54.651694733913814</v>
      </c>
      <c r="I144" s="15" cm="1">
        <f t="array" ref="I144">MMS_Dairy_ManureAppliedToSoils_Equations.VEERG_4_3_1_8__1_MassOfNitrogenAppliedToSoilsScope1(I45,_xlfn.XLOOKUP($E144,$D$22:$D$26,$E$22:$E$26),_xlfn.XLOOKUP($E144,$D$31:$D$35,$E$31:$E$35),I57,$F132)</f>
        <v>172.48597994899006</v>
      </c>
      <c r="J144" s="15" cm="1">
        <f t="array" ref="J144">MMS_Dairy_ManureAppliedToSoils_Equations.VEERG_4_3_1_8__1_MassOfNitrogenAppliedToSoilsScope1(J45,_xlfn.XLOOKUP($E144,$D$22:$D$26,$E$22:$E$26),_xlfn.XLOOKUP($E144,$D$31:$D$35,$E$31:$E$35),J57,$F132)</f>
        <v>72.207688003940135</v>
      </c>
      <c r="K144" s="16" t="str">
        <f t="shared" si="4"/>
        <v>kg N</v>
      </c>
      <c r="O144" s="15" t="str">
        <f>INDEX(X_Table_Dairy_ProductionSystems_Method1,4,1)</f>
        <v>Feed pad</v>
      </c>
      <c r="P144" s="15" t="str">
        <f>INDEX(X_Table_Dairy_Stage1MMS_2_SumpAndDispersal,2,1)</f>
        <v>Sump and dispersal system</v>
      </c>
      <c r="Q144" s="15" cm="1">
        <f t="array" ref="Q144">MMS_Dairy_ManureAppliedToSoils_Equations.VEERG_4_3_1_8__1_MassOfNitrogenAppliedToSoilsScope1(Q45,_xlfn.XLOOKUP($P144,$D$22:$D$26,$E$22:$E$26),_xlfn.XLOOKUP($P144,$D$31:$D$35,$E$31:$E$35),Q57,$F132)</f>
        <v>300.41451022968016</v>
      </c>
      <c r="R144" s="15" cm="1">
        <f t="array" ref="R144">MMS_Dairy_ManureAppliedToSoils_Equations.VEERG_4_3_1_8__1_MassOfNitrogenAppliedToSoilsScope1(R45,_xlfn.XLOOKUP($P144,$D$22:$D$26,$E$22:$E$26),_xlfn.XLOOKUP($P144,$D$31:$D$35,$E$31:$E$35),R57,$F132)</f>
        <v>137.21603276948386</v>
      </c>
      <c r="S144" s="15" cm="1">
        <f t="array" ref="S144">MMS_Dairy_ManureAppliedToSoils_Equations.VEERG_4_3_1_8__1_MassOfNitrogenAppliedToSoilsScope1(S45,_xlfn.XLOOKUP($P144,$D$22:$D$26,$E$22:$E$26),_xlfn.XLOOKUP($P144,$D$31:$D$35,$E$31:$E$35),S57,$F132)</f>
        <v>54.651694733913814</v>
      </c>
      <c r="T144" s="15" cm="1">
        <f t="array" ref="T144">MMS_Dairy_ManureAppliedToSoils_Equations.VEERG_4_3_1_8__1_MassOfNitrogenAppliedToSoilsScope1(T45,_xlfn.XLOOKUP($P144,$D$22:$D$26,$E$22:$E$26),_xlfn.XLOOKUP($P144,$D$31:$D$35,$E$31:$E$35),T57,$F132)</f>
        <v>172.48597994899006</v>
      </c>
      <c r="U144" s="15" cm="1">
        <f t="array" ref="U144">MMS_Dairy_ManureAppliedToSoils_Equations.VEERG_4_3_1_8__1_MassOfNitrogenAppliedToSoilsScope1(U45,_xlfn.XLOOKUP($P144,$D$22:$D$26,$E$22:$E$26),_xlfn.XLOOKUP($P144,$D$31:$D$35,$E$31:$E$35),U57,$F132)</f>
        <v>72.207688003940135</v>
      </c>
      <c r="V144" s="16"/>
    </row>
    <row r="145" spans="4:22" ht="20.100000000000001" customHeight="1" x14ac:dyDescent="0.25">
      <c r="D145" s="15" t="str">
        <f>INDEX(X_Table_Dairy_ProductionSystems_Method1,4,1)</f>
        <v>Feed pad</v>
      </c>
      <c r="E145" s="15" t="str">
        <f>INDEX(X_Table_Dairy_Stage1MMS_2_DrainsToPaddock,2,1)</f>
        <v>Drains to paddock</v>
      </c>
      <c r="F145" s="15" cm="1">
        <f t="array" ref="F145">MMS_Dairy_ManureAppliedToSoils_Equations.VEERG_4_3_1_8__1_MassOfNitrogenAppliedToSoilsScope1(F46,_xlfn.XLOOKUP($E145,$D$22:$D$26,$E$22:$E$26),_xlfn.XLOOKUP($E145,$D$31:$D$35,$E$31:$E$35),F58,$F133)</f>
        <v>258.42108406854209</v>
      </c>
      <c r="G145" s="15" cm="1">
        <f t="array" ref="G145">MMS_Dairy_ManureAppliedToSoils_Equations.VEERG_4_3_1_8__1_MassOfNitrogenAppliedToSoilsScope1(G46,_xlfn.XLOOKUP($E145,$D$22:$D$26,$E$22:$E$26),_xlfn.XLOOKUP($E145,$D$31:$D$35,$E$31:$E$35),G58,$F133)</f>
        <v>118.03529700600764</v>
      </c>
      <c r="H145" s="15" cm="1">
        <f t="array" ref="H145">MMS_Dairy_ManureAppliedToSoils_Equations.VEERG_4_3_1_8__1_MassOfNitrogenAppliedToSoilsScope1(H46,_xlfn.XLOOKUP($E145,$D$22:$D$26,$E$22:$E$26),_xlfn.XLOOKUP($E145,$D$31:$D$35,$E$31:$E$35),H58,$F133)</f>
        <v>47.012210523796831</v>
      </c>
      <c r="I145" s="15" cm="1">
        <f t="array" ref="I145">MMS_Dairy_ManureAppliedToSoils_Equations.VEERG_4_3_1_8__1_MassOfNitrogenAppliedToSoilsScope1(I46,_xlfn.XLOOKUP($E145,$D$22:$D$26,$E$22:$E$26),_xlfn.XLOOKUP($E145,$D$31:$D$35,$E$31:$E$35),I58,$F133)</f>
        <v>148.37503651526029</v>
      </c>
      <c r="J145" s="15" cm="1">
        <f t="array" ref="J145">MMS_Dairy_ManureAppliedToSoils_Equations.VEERG_4_3_1_8__1_MassOfNitrogenAppliedToSoilsScope1(J46,_xlfn.XLOOKUP($E145,$D$22:$D$26,$E$22:$E$26),_xlfn.XLOOKUP($E145,$D$31:$D$35,$E$31:$E$35),J58,$F133)</f>
        <v>62.114140218443133</v>
      </c>
      <c r="K145" s="16" t="str">
        <f t="shared" si="4"/>
        <v>kg N</v>
      </c>
      <c r="O145" s="15" t="str">
        <f>INDEX(X_Table_Dairy_ProductionSystems_Method1,4,1)</f>
        <v>Feed pad</v>
      </c>
      <c r="P145" s="15" t="str">
        <f>INDEX(X_Table_Dairy_Stage1MMS_2_DrainsToPaddock,2,1)</f>
        <v>Drains to paddock</v>
      </c>
      <c r="Q145" s="15" cm="1">
        <f t="array" ref="Q145">MMS_Dairy_ManureAppliedToSoils_Equations.VEERG_4_3_1_8__1_MassOfNitrogenAppliedToSoilsScope1(Q46,_xlfn.XLOOKUP($P145,$D$22:$D$26,$E$22:$E$26),_xlfn.XLOOKUP($P145,$D$31:$D$35,$E$31:$E$35),Q58,$F133)</f>
        <v>258.42108406854209</v>
      </c>
      <c r="R145" s="15" cm="1">
        <f t="array" ref="R145">MMS_Dairy_ManureAppliedToSoils_Equations.VEERG_4_3_1_8__1_MassOfNitrogenAppliedToSoilsScope1(R46,_xlfn.XLOOKUP($P145,$D$22:$D$26,$E$22:$E$26),_xlfn.XLOOKUP($P145,$D$31:$D$35,$E$31:$E$35),R58,$F133)</f>
        <v>118.03529700600764</v>
      </c>
      <c r="S145" s="15" cm="1">
        <f t="array" ref="S145">MMS_Dairy_ManureAppliedToSoils_Equations.VEERG_4_3_1_8__1_MassOfNitrogenAppliedToSoilsScope1(S46,_xlfn.XLOOKUP($P145,$D$22:$D$26,$E$22:$E$26),_xlfn.XLOOKUP($P145,$D$31:$D$35,$E$31:$E$35),S58,$F133)</f>
        <v>47.012210523796831</v>
      </c>
      <c r="T145" s="15" cm="1">
        <f t="array" ref="T145">MMS_Dairy_ManureAppliedToSoils_Equations.VEERG_4_3_1_8__1_MassOfNitrogenAppliedToSoilsScope1(T46,_xlfn.XLOOKUP($P145,$D$22:$D$26,$E$22:$E$26),_xlfn.XLOOKUP($P145,$D$31:$D$35,$E$31:$E$35),T58,$F133)</f>
        <v>148.37503651526029</v>
      </c>
      <c r="U145" s="15" cm="1">
        <f t="array" ref="U145">MMS_Dairy_ManureAppliedToSoils_Equations.VEERG_4_3_1_8__1_MassOfNitrogenAppliedToSoilsScope1(U46,_xlfn.XLOOKUP($P145,$D$22:$D$26,$E$22:$E$26),_xlfn.XLOOKUP($P145,$D$31:$D$35,$E$31:$E$35),U58,$F133)</f>
        <v>62.114140218443133</v>
      </c>
      <c r="V145" s="16"/>
    </row>
    <row r="146" spans="4:22" ht="20.100000000000001" customHeight="1" x14ac:dyDescent="0.25">
      <c r="D146" s="15" t="str">
        <f>INDEX(X_Table_Dairy_ProductionSystems_Method1,4,1)</f>
        <v>Feed pad</v>
      </c>
      <c r="E146" s="15" t="s">
        <v>75</v>
      </c>
      <c r="F146" s="15" cm="1">
        <f t="array" ref="F146">MMS_Dairy_ManureAppliedToSoils_Equations.VEERG_4_3_1_8__1_MassOfNitrogenAppliedToSoilsScope1(F47,_xlfn.XLOOKUP($E146,$D$22:$D$26,$E$22:$E$26),_xlfn.XLOOKUP($E146,$D$31:$D$35,$E$31:$E$35),F59,$F134)</f>
        <v>381.57488194495664</v>
      </c>
      <c r="G146" s="15" cm="1">
        <f t="array" ref="G146">MMS_Dairy_ManureAppliedToSoils_Equations.VEERG_4_3_1_8__1_MassOfNitrogenAppliedToSoilsScope1(G47,_xlfn.XLOOKUP($E146,$D$22:$D$26,$E$22:$E$26),_xlfn.XLOOKUP($E146,$D$31:$D$35,$E$31:$E$35),G59,$F134)</f>
        <v>174.28649323543314</v>
      </c>
      <c r="H146" s="15" cm="1">
        <f t="array" ref="H146">MMS_Dairy_ManureAppliedToSoils_Equations.VEERG_4_3_1_8__1_MassOfNitrogenAppliedToSoilsScope1(H47,_xlfn.XLOOKUP($E146,$D$22:$D$26,$E$22:$E$26),_xlfn.XLOOKUP($E146,$D$31:$D$35,$E$31:$E$35),H59,$F134)</f>
        <v>69.416467101543759</v>
      </c>
      <c r="I146" s="15" cm="1">
        <f t="array" ref="I146">MMS_Dairy_ManureAppliedToSoils_Equations.VEERG_4_3_1_8__1_MassOfNitrogenAppliedToSoilsScope1(I47,_xlfn.XLOOKUP($E146,$D$22:$D$26,$E$22:$E$26),_xlfn.XLOOKUP($E146,$D$31:$D$35,$E$31:$E$35),I59,$F134)</f>
        <v>219.08501485456401</v>
      </c>
      <c r="J146" s="15" cm="1">
        <f t="array" ref="J146">MMS_Dairy_ManureAppliedToSoils_Equations.VEERG_4_3_1_8__1_MassOfNitrogenAppliedToSoilsScope1(J47,_xlfn.XLOOKUP($E146,$D$22:$D$26,$E$22:$E$26),_xlfn.XLOOKUP($E146,$D$31:$D$35,$E$31:$E$35),J59,$F134)</f>
        <v>91.715410166294944</v>
      </c>
      <c r="K146" s="16" t="str">
        <f t="shared" si="4"/>
        <v>kg N</v>
      </c>
      <c r="O146" s="15" t="str">
        <f>INDEX(X_Table_Dairy_ProductionSystems_Method1,4,1)</f>
        <v>Feed pad</v>
      </c>
      <c r="P146" s="15" t="s">
        <v>75</v>
      </c>
      <c r="Q146" s="15" cm="1">
        <f t="array" ref="Q146">MMS_Dairy_ManureAppliedToSoils_Equations.VEERG_4_3_1_8__1_MassOfNitrogenAppliedToSoilsScope1(Q47,_xlfn.XLOOKUP($P146,$D$22:$D$26,$E$22:$E$26),_xlfn.XLOOKUP($P146,$D$31:$D$35,$E$31:$E$35),Q59,$F134)</f>
        <v>381.57488194495664</v>
      </c>
      <c r="R146" s="15" cm="1">
        <f t="array" ref="R146">MMS_Dairy_ManureAppliedToSoils_Equations.VEERG_4_3_1_8__1_MassOfNitrogenAppliedToSoilsScope1(R47,_xlfn.XLOOKUP($P146,$D$22:$D$26,$E$22:$E$26),_xlfn.XLOOKUP($P146,$D$31:$D$35,$E$31:$E$35),R59,$F134)</f>
        <v>174.28649323543314</v>
      </c>
      <c r="S146" s="15" cm="1">
        <f t="array" ref="S146">MMS_Dairy_ManureAppliedToSoils_Equations.VEERG_4_3_1_8__1_MassOfNitrogenAppliedToSoilsScope1(S47,_xlfn.XLOOKUP($P146,$D$22:$D$26,$E$22:$E$26),_xlfn.XLOOKUP($P146,$D$31:$D$35,$E$31:$E$35),S59,$F134)</f>
        <v>69.416467101543759</v>
      </c>
      <c r="T146" s="15" cm="1">
        <f t="array" ref="T146">MMS_Dairy_ManureAppliedToSoils_Equations.VEERG_4_3_1_8__1_MassOfNitrogenAppliedToSoilsScope1(T47,_xlfn.XLOOKUP($P146,$D$22:$D$26,$E$22:$E$26),_xlfn.XLOOKUP($P146,$D$31:$D$35,$E$31:$E$35),T59,$F134)</f>
        <v>219.08501485456401</v>
      </c>
      <c r="U146" s="15" cm="1">
        <f t="array" ref="U146">MMS_Dairy_ManureAppliedToSoils_Equations.VEERG_4_3_1_8__1_MassOfNitrogenAppliedToSoilsScope1(U47,_xlfn.XLOOKUP($P146,$D$22:$D$26,$E$22:$E$26),_xlfn.XLOOKUP($P146,$D$31:$D$35,$E$31:$E$35),U59,$F134)</f>
        <v>91.715410166294944</v>
      </c>
      <c r="V146" s="16"/>
    </row>
    <row r="147" spans="4:22" ht="20.100000000000001" customHeight="1" x14ac:dyDescent="0.25"/>
    <row r="148" spans="4:22" ht="20.100000000000001" customHeight="1" x14ac:dyDescent="0.25">
      <c r="D148" s="87" t="s">
        <v>584</v>
      </c>
      <c r="E148" s="90">
        <f>SUM(F139:J146)</f>
        <v>3864.1929695395502</v>
      </c>
      <c r="F148" s="89" t="str">
        <f>$E$95</f>
        <v>kg N</v>
      </c>
      <c r="O148" s="87" t="s">
        <v>584</v>
      </c>
      <c r="P148" s="90">
        <f>SUM(Q139:U146)</f>
        <v>3864.1929695395502</v>
      </c>
      <c r="Q148" s="89" t="str">
        <f>$E$95</f>
        <v>kg N</v>
      </c>
    </row>
    <row r="149" spans="4:22" ht="20.100000000000001" customHeight="1" x14ac:dyDescent="0.25"/>
    <row r="150" spans="4:22" ht="20.100000000000001" customHeight="1" x14ac:dyDescent="0.25"/>
    <row r="151" spans="4:22" ht="20.100000000000001" customHeight="1" x14ac:dyDescent="0.25"/>
    <row r="152" spans="4:22" ht="20.100000000000001" customHeight="1" x14ac:dyDescent="0.25"/>
    <row r="153" spans="4:22" ht="20.100000000000001" customHeight="1" x14ac:dyDescent="0.25"/>
    <row r="154" spans="4:22" ht="20.100000000000001" customHeight="1" x14ac:dyDescent="0.25"/>
    <row r="155" spans="4:22" ht="20.100000000000001" customHeight="1" x14ac:dyDescent="0.25"/>
    <row r="156" spans="4:22" ht="20.100000000000001" customHeight="1" x14ac:dyDescent="0.25"/>
    <row r="157" spans="4:22" ht="20.100000000000001" customHeight="1" x14ac:dyDescent="0.25"/>
    <row r="158" spans="4:22" ht="20.100000000000001" customHeight="1" x14ac:dyDescent="0.25"/>
    <row r="159" spans="4:22" ht="20.100000000000001" customHeight="1" x14ac:dyDescent="0.25"/>
    <row r="160" spans="4: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2326E66D-9416-4F6C-B296-B93C3E10B316}"/>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267E1-7F57-440E-A51A-161519230AC6}">
  <sheetPr>
    <tabColor rgb="FF008000"/>
  </sheetPr>
  <dimension ref="A1:W165"/>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style="97" customWidth="1"/>
    <col min="14" max="14" width="4.7109375" style="1" customWidth="1"/>
    <col min="15" max="22" width="30.7109375" style="1" customWidth="1"/>
    <col min="23" max="23" width="4.7109375" style="1" customWidth="1"/>
  </cols>
  <sheetData>
    <row r="1" spans="1:23" s="20" customFormat="1" ht="30" customHeight="1" x14ac:dyDescent="0.35">
      <c r="A1" s="10" t="e" vm="1">
        <v>#VALUE!</v>
      </c>
      <c r="C1" s="20" t="s">
        <v>169</v>
      </c>
      <c r="M1" s="97"/>
    </row>
    <row r="2" spans="1:23" s="3" customFormat="1" ht="20.100000000000001" customHeight="1" x14ac:dyDescent="0.25">
      <c r="A2"/>
      <c r="M2" s="97"/>
    </row>
    <row r="3" spans="1:23" ht="20.100000000000001" customHeight="1" x14ac:dyDescent="0.25">
      <c r="A3" s="5" t="str">
        <f>HYPERLINK("#'Home'!A1", "Home")</f>
        <v>Home</v>
      </c>
      <c r="C3" s="22"/>
      <c r="D3" s="22"/>
      <c r="E3" s="22"/>
      <c r="F3" s="22"/>
      <c r="G3" s="22"/>
      <c r="H3" s="22"/>
      <c r="I3" s="22"/>
      <c r="J3" s="22"/>
      <c r="K3" s="22"/>
      <c r="L3" s="22"/>
      <c r="N3" s="22"/>
      <c r="O3" s="22"/>
      <c r="P3" s="22"/>
      <c r="Q3" s="22"/>
      <c r="R3" s="22"/>
      <c r="S3" s="22"/>
      <c r="T3" s="22"/>
      <c r="U3" s="22"/>
      <c r="V3" s="22"/>
      <c r="W3" s="22"/>
    </row>
    <row r="4" spans="1:23" ht="20.100000000000001" customHeight="1" x14ac:dyDescent="0.25">
      <c r="A4" s="5" t="str">
        <f>HYPERLINK("#'Results - Activity period'!A1", "Results - Activity period")</f>
        <v>Results - Activity period</v>
      </c>
    </row>
    <row r="5" spans="1:23" ht="20.100000000000001" customHeight="1" x14ac:dyDescent="0.25">
      <c r="A5" s="5" t="str">
        <f>HYPERLINK("#'Results - Product EI'!A1", "Results - Product Emissions Intensity")</f>
        <v>Results - Product Emissions Intensity</v>
      </c>
      <c r="D5" s="2" t="str" cm="1">
        <f t="array" ref="D5">MMS_Dairy_N2ODirect_Equations.VEERG_4_3_1_3__2_TotalNitrogenInEachMMS_Title()</f>
        <v>Total nitrogen in each MMS</v>
      </c>
    </row>
    <row r="6" spans="1:23" ht="20.100000000000001" customHeight="1" x14ac:dyDescent="0.25">
      <c r="A6" s="5" t="str">
        <f>HYPERLINK("#'Results'!A1", "Results")</f>
        <v>Results</v>
      </c>
      <c r="D6" s="17" t="str" cm="1">
        <f t="array" ref="D6">MMS_Dairy_N2ODirect_Equations.VEERG_4_3_1_3__2_TotalNitrogenInEachMMS_Source()</f>
        <v>VEERG 2026: 4.3.1.3, Equation (2)</v>
      </c>
    </row>
    <row r="7" spans="1:23" ht="20.100000000000001" customHeight="1" x14ac:dyDescent="0.25">
      <c r="D7" s="117" t="s">
        <v>382</v>
      </c>
      <c r="E7" s="117" t="str" cm="1">
        <f t="array" aca="1" ref="E7" ca="1">Common_InputFunctions.Utility_DisplayFunctionName(F31)</f>
        <v>=MMS_Dairy_N2ODirect_Equations.VEERG_4_3_1_3__2_TotalNitrogenInEachMMS</v>
      </c>
    </row>
    <row r="8" spans="1:23" ht="20.100000000000001" customHeight="1" x14ac:dyDescent="0.25"/>
    <row r="9" spans="1:23" ht="20.100000000000001" customHeight="1" x14ac:dyDescent="0.25">
      <c r="A9" s="7" t="s">
        <v>0</v>
      </c>
      <c r="D9" s="2"/>
    </row>
    <row r="10" spans="1:23" ht="20.100000000000001" customHeight="1" x14ac:dyDescent="0.25">
      <c r="A10" s="5" t="str">
        <f>HYPERLINK("#'Input - Enterprise'!A1", "Enterprise")</f>
        <v>Enterprise</v>
      </c>
      <c r="D10" s="76" t="s">
        <v>383</v>
      </c>
      <c r="E10" s="1" t="str" cm="1">
        <f t="array" ref="E10">MMS_Dairy_N2ODirect_Equations.VEERG_4_3_1_3__2_TotalNitrogenInEachMMS_Variable()</f>
        <v>MN_jm</v>
      </c>
    </row>
    <row r="11" spans="1:23" ht="20.100000000000001" customHeight="1" x14ac:dyDescent="0.25">
      <c r="A11" s="5" t="str">
        <f>HYPERLINK("#'Input - Site'!A1", "Site")</f>
        <v>Site</v>
      </c>
      <c r="D11" s="76" t="s">
        <v>118</v>
      </c>
      <c r="E11" s="9" t="str" cm="1">
        <f t="array" ref="E11">MMS_Dairy_N2ODirect_Equations.VEERG_4_3_1_3__2_TotalNitrogenInEachMMS_Unit()</f>
        <v>kg N</v>
      </c>
    </row>
    <row r="12" spans="1:23" ht="20.100000000000001" customHeight="1" x14ac:dyDescent="0.25">
      <c r="A12" s="5" t="str">
        <f>HYPERLINK("#'Input - Dairy'!A1", "Dairy")</f>
        <v>Dairy</v>
      </c>
    </row>
    <row r="13" spans="1:23" ht="20.100000000000001" customHeight="1" x14ac:dyDescent="0.25">
      <c r="A13" s="5" t="str">
        <f>HYPERLINK("#'Input - Livestock sales'!A1", "Livestock sales")</f>
        <v>Livestock sales</v>
      </c>
      <c r="D13" s="119" t="str" cm="1">
        <f t="array" ref="D13:E14">_xlfn.CHOOSECOLS(MMS_Dairy_N2ODirect_Equations.VEERG_4_3_1_3__2_TotalNitrogenInEachMMS_Arguments(),1,2)</f>
        <v>AE_j</v>
      </c>
      <c r="E13" s="124" t="str">
        <v>total nitrogen excreted by each dairy class</v>
      </c>
      <c r="F13" s="125"/>
      <c r="G13" s="119" t="str" cm="1">
        <f t="array" ref="G13:H14">_xlfn.CHOOSECOLS(MMS_Dairy_N2ODirect_Equations.VEERG_4_3_1_3__2_TotalNitrogenInEachMMS_Arguments(),3,4)</f>
        <v>kg N</v>
      </c>
      <c r="H13" s="127" t="str">
        <v>Calculated from 4.3.1.3 (3a) and (3b)</v>
      </c>
      <c r="I13" s="126" t="str" cm="1">
        <f t="array" aca="1" ref="I13" ca="1">HYPERLINK(Common_InputFunctions.Utility_SourceHyperlink($D$16),$D$16)</f>
        <v>M1_Table_AE_j</v>
      </c>
    </row>
    <row r="14" spans="1:23" ht="20.100000000000001" customHeight="1" x14ac:dyDescent="0.25">
      <c r="A14" s="5" t="str">
        <f>HYPERLINK("#'Input - Dairy cattle purchases'!A1", "Dairy cattle purchases")</f>
        <v>Dairy cattle purchases</v>
      </c>
      <c r="D14" s="119" t="str">
        <v>MMS_jm</v>
      </c>
      <c r="E14" s="124" t="str">
        <v>manure management system fraction for class j and system m</v>
      </c>
      <c r="F14" s="125"/>
      <c r="G14" s="119" t="str">
        <v>fraction</v>
      </c>
      <c r="H14" s="120" t="str">
        <v>Input</v>
      </c>
      <c r="I14" s="126" t="str" cm="1">
        <f t="array" aca="1" ref="I14" ca="1">HYPERLINK(Common_InputFunctions.Utility_SourceHyperlink($D$22),$D$22)</f>
        <v>M1_Table_MMS_j_m-14</v>
      </c>
    </row>
    <row r="15" spans="1:23" ht="20.100000000000001" customHeight="1" x14ac:dyDescent="0.25">
      <c r="A15" s="5" t="str">
        <f>HYPERLINK("#'Input - Pasture'!A1", "Pasture")</f>
        <v>Pasture</v>
      </c>
    </row>
    <row r="16" spans="1:23" ht="20.100000000000001" customHeight="1" x14ac:dyDescent="0.25">
      <c r="A16" s="5" t="str">
        <f>HYPERLINK("#'Input - Fert Prod System'!A1", "Fert Prod System")</f>
        <v>Fert Prod System</v>
      </c>
      <c r="D16" s="121" t="s">
        <v>515</v>
      </c>
      <c r="O16" s="121" t="s">
        <v>585</v>
      </c>
    </row>
    <row r="17" spans="1:22" ht="20.100000000000001" customHeight="1" x14ac:dyDescent="0.25">
      <c r="A17" s="5" t="str">
        <f>HYPERLINK("#'Input - Fertiliser'!A1", "Fertiliser")</f>
        <v>Fertiliser</v>
      </c>
      <c r="D17" s="122" t="s">
        <v>586</v>
      </c>
      <c r="O17" s="122" t="s">
        <v>587</v>
      </c>
    </row>
    <row r="18" spans="1:22" ht="20.100000000000001" customHeight="1" x14ac:dyDescent="0.25">
      <c r="A18" s="5" t="str">
        <f>HYPERLINK("#'Input - Fuel'!A1", "Fuel")</f>
        <v>Fuel</v>
      </c>
      <c r="D18" s="123" t="s">
        <v>334</v>
      </c>
      <c r="E18" s="123" t="s">
        <v>335</v>
      </c>
      <c r="F18" s="123" t="s">
        <v>336</v>
      </c>
      <c r="G18" s="123" t="s">
        <v>337</v>
      </c>
      <c r="H18" s="123" t="s">
        <v>338</v>
      </c>
      <c r="O18" s="123" t="s">
        <v>334</v>
      </c>
      <c r="P18" s="123" t="s">
        <v>335</v>
      </c>
      <c r="Q18" s="123" t="s">
        <v>336</v>
      </c>
      <c r="R18" s="123" t="s">
        <v>337</v>
      </c>
      <c r="S18" s="123" t="s">
        <v>338</v>
      </c>
    </row>
    <row r="19" spans="1:22" ht="20.100000000000001" customHeight="1" x14ac:dyDescent="0.25">
      <c r="A19" s="5" t="str">
        <f>HYPERLINK("#'Input - Electricity'!A1", "Electricity")</f>
        <v>Electricity</v>
      </c>
      <c r="D19" s="15">
        <f>INDEX(M1_Table_AE_j124,2,1)</f>
        <v>18147.548038521214</v>
      </c>
      <c r="E19" s="15">
        <f>INDEX(M1_Table_AE_j124,2,2)</f>
        <v>8288.9955762645804</v>
      </c>
      <c r="F19" s="15">
        <f>INDEX(M1_Table_AE_j_Consumer_1,2,3)</f>
        <v>3301.419278356519</v>
      </c>
      <c r="G19" s="15">
        <f>INDEX(M1_Table_AE_j124,2,4)</f>
        <v>10419.59526090311</v>
      </c>
      <c r="H19" s="15">
        <f>INDEX(M1_Table_AE_j_Consumer_1,2,5)</f>
        <v>4361.9480490479727</v>
      </c>
      <c r="I19" s="16" t="str">
        <f>$G$13</f>
        <v>kg N</v>
      </c>
      <c r="O19" s="15">
        <f>INDEX(M2_Table_AE_j124,2,1)</f>
        <v>18147.548038521214</v>
      </c>
      <c r="P19" s="15">
        <f>INDEX(M2_Table_AE_j124,2,2)</f>
        <v>8288.9955762645804</v>
      </c>
      <c r="Q19" s="15">
        <f>INDEX(M1_Table_AE_j,2,3)</f>
        <v>3301.419278356519</v>
      </c>
      <c r="R19" s="15">
        <f>INDEX(M2_Table_AE_j124,2,4)</f>
        <v>10419.59526090311</v>
      </c>
      <c r="S19" s="15">
        <f>INDEX(M1_Table_AE_j,2,5)</f>
        <v>4361.9480490479727</v>
      </c>
      <c r="T19" s="16" t="str">
        <f>$G$13</f>
        <v>kg N</v>
      </c>
    </row>
    <row r="20" spans="1:22" ht="20.100000000000001" customHeight="1" x14ac:dyDescent="0.25">
      <c r="A20" s="5" t="str">
        <f>HYPERLINK("#'Input - Common farm inputs'!A1", "Common farm inputs")</f>
        <v>Common farm inputs</v>
      </c>
    </row>
    <row r="21" spans="1:22" ht="20.100000000000001" customHeight="1" x14ac:dyDescent="0.25">
      <c r="A21" s="5" t="str">
        <f>HYPERLINK("#'Input - Crop pasture farm input'!A1", "Crop pasture farm input")</f>
        <v>Crop pasture farm input</v>
      </c>
    </row>
    <row r="22" spans="1:22" ht="20.100000000000001" customHeight="1" x14ac:dyDescent="0.25">
      <c r="A22" s="5" t="str">
        <f>HYPERLINK("#'Input - Livestock farm Inputs'!A1", "Livestock farm Inputs")</f>
        <v>Livestock farm Inputs</v>
      </c>
      <c r="D22" s="121" t="s">
        <v>588</v>
      </c>
      <c r="O22" s="121" t="s">
        <v>589</v>
      </c>
    </row>
    <row r="23" spans="1:22" ht="20.100000000000001" customHeight="1" x14ac:dyDescent="0.25">
      <c r="A23" s="5" t="str">
        <f>HYPERLINK("#'Input - Freight'!A1", "Freight")</f>
        <v>Freight</v>
      </c>
      <c r="D23" s="122" t="s">
        <v>590</v>
      </c>
      <c r="O23" s="122" t="s">
        <v>591</v>
      </c>
    </row>
    <row r="24" spans="1:22" ht="20.100000000000001" customHeight="1" x14ac:dyDescent="0.25">
      <c r="A24" s="5" t="str">
        <f>HYPERLINK("#'Input - Solid waste'!A1", "Solid waste")</f>
        <v>Solid waste</v>
      </c>
      <c r="D24" s="81" t="s">
        <v>159</v>
      </c>
      <c r="E24" s="81" t="s">
        <v>427</v>
      </c>
      <c r="F24" s="81" t="s">
        <v>334</v>
      </c>
      <c r="G24" s="81" t="s">
        <v>335</v>
      </c>
      <c r="H24" s="81" t="s">
        <v>336</v>
      </c>
      <c r="I24" s="81" t="s">
        <v>337</v>
      </c>
      <c r="J24" s="81" t="s">
        <v>338</v>
      </c>
      <c r="O24" s="81" t="s">
        <v>159</v>
      </c>
      <c r="P24" s="81" t="s">
        <v>427</v>
      </c>
      <c r="Q24" s="81" t="s">
        <v>334</v>
      </c>
      <c r="R24" s="81" t="s">
        <v>335</v>
      </c>
      <c r="S24" s="81" t="s">
        <v>336</v>
      </c>
      <c r="T24" s="81" t="s">
        <v>337</v>
      </c>
      <c r="U24" s="81" t="s">
        <v>338</v>
      </c>
    </row>
    <row r="25" spans="1:22" ht="20.100000000000001" customHeight="1" x14ac:dyDescent="0.25">
      <c r="A25" s="5" t="str">
        <f>HYPERLINK("#'Input - Manure sent off-site'!A1", "Manure sent off-site")</f>
        <v>Manure sent off-site</v>
      </c>
      <c r="D25" s="15" t="str">
        <f>INDEX(X_Table_Dairy_ProductionSystems_Method1,2,1)</f>
        <v>Pasture</v>
      </c>
      <c r="E25" s="15" t="str">
        <f>'Constants - Common Livestock'!$E$27</f>
        <v>Pasture range and paddock</v>
      </c>
      <c r="F25" s="15">
        <f>INDEX(X_Table_Dairy_ProductionSystems_Method1,2,2)</f>
        <v>0.53400000000000003</v>
      </c>
      <c r="G25" s="15">
        <f>INDEX(X_Table_Dairy_ProductionSystems_Method1,2,3)</f>
        <v>0.53400000000000003</v>
      </c>
      <c r="H25" s="15">
        <f>INDEX(X_Table_Dairy_ProductionSystems_Method1,2,4)</f>
        <v>0.53400000000000003</v>
      </c>
      <c r="I25" s="15">
        <f>INDEX(X_Table_Dairy_ProductionSystems_Method1,2,5)</f>
        <v>0.53400000000000003</v>
      </c>
      <c r="J25" s="15">
        <f>INDEX(X_Table_Dairy_ProductionSystems_Method1,2,6)</f>
        <v>0.53400000000000003</v>
      </c>
      <c r="K25" s="16" t="str">
        <f>$G$14</f>
        <v>fraction</v>
      </c>
      <c r="O25" s="15" t="str">
        <f>INDEX(X_Table_Dairy_ProductionSystems_Method1,2,1)</f>
        <v>Pasture</v>
      </c>
      <c r="P25" s="15" t="str">
        <f>'Constants - Common Livestock'!$E$27</f>
        <v>Pasture range and paddock</v>
      </c>
      <c r="Q25" s="15">
        <f>INDEX(X_Table_Dairy_ProductionSystems_Method2,2,2)</f>
        <v>0.53400000000000003</v>
      </c>
      <c r="R25" s="15">
        <f>INDEX(X_Table_Dairy_ProductionSystems_Method2,2,3)</f>
        <v>0.53400000000000003</v>
      </c>
      <c r="S25" s="15">
        <f>INDEX(X_Table_Dairy_ProductionSystems_Method2,2,4)</f>
        <v>0.53400000000000003</v>
      </c>
      <c r="T25" s="15">
        <f>INDEX(X_Table_Dairy_ProductionSystems_Method2,2,5)</f>
        <v>0.53400000000000003</v>
      </c>
      <c r="U25" s="15">
        <f>INDEX(X_Table_Dairy_ProductionSystems_Method2,2,6)</f>
        <v>0.53400000000000003</v>
      </c>
      <c r="V25" s="16" t="str">
        <f>$G$14</f>
        <v>fraction</v>
      </c>
    </row>
    <row r="26" spans="1:22" ht="20.100000000000001" customHeight="1" x14ac:dyDescent="0.25">
      <c r="A26" s="5" t="str">
        <f>HYPERLINK("#'Input - Refrigerants'!A1", "Refrigerants")</f>
        <v>Refrigerants</v>
      </c>
    </row>
    <row r="27" spans="1:22" ht="20.100000000000001" customHeight="1" x14ac:dyDescent="0.25">
      <c r="A27" s="5" t="str">
        <f>HYPERLINK("#'Input - Data quality'!A1", "Data quality")</f>
        <v>Data quality</v>
      </c>
      <c r="Q27" s="136"/>
    </row>
    <row r="28" spans="1:22" ht="20.100000000000001" customHeight="1" x14ac:dyDescent="0.25">
      <c r="D28" s="121" t="s">
        <v>592</v>
      </c>
      <c r="O28" s="121" t="s">
        <v>593</v>
      </c>
    </row>
    <row r="29" spans="1:22" ht="20.100000000000001" customHeight="1" x14ac:dyDescent="0.25">
      <c r="D29" s="122" t="s">
        <v>594</v>
      </c>
      <c r="O29" s="122" t="s">
        <v>595</v>
      </c>
    </row>
    <row r="30" spans="1:22" ht="20.100000000000001" customHeight="1" x14ac:dyDescent="0.25">
      <c r="A30" s="6" t="s">
        <v>2</v>
      </c>
      <c r="D30" s="123" t="s">
        <v>159</v>
      </c>
      <c r="E30" s="123" t="s">
        <v>427</v>
      </c>
      <c r="F30" s="123" t="s">
        <v>334</v>
      </c>
      <c r="G30" s="123" t="s">
        <v>335</v>
      </c>
      <c r="H30" s="123" t="s">
        <v>336</v>
      </c>
      <c r="I30" s="123" t="s">
        <v>337</v>
      </c>
      <c r="J30" s="123" t="s">
        <v>338</v>
      </c>
      <c r="O30" s="123" t="s">
        <v>159</v>
      </c>
      <c r="P30" s="123" t="s">
        <v>427</v>
      </c>
      <c r="Q30" s="123" t="s">
        <v>334</v>
      </c>
      <c r="R30" s="123" t="s">
        <v>335</v>
      </c>
      <c r="S30" s="123" t="s">
        <v>336</v>
      </c>
      <c r="T30" s="123" t="s">
        <v>337</v>
      </c>
      <c r="U30" s="123" t="s">
        <v>338</v>
      </c>
    </row>
    <row r="31" spans="1:22" ht="20.100000000000001" customHeight="1" x14ac:dyDescent="0.25">
      <c r="A31" s="5" t="str">
        <f>HYPERLINK("#'3.3.1.1-2 Enteric Methane'!A1", "3.3.1.1-2 Enteric methane")</f>
        <v>3.3.1.1-2 Enteric methane</v>
      </c>
      <c r="D31" s="15" t="str">
        <f>INDEX(X_Table_Dairy_ProductionSystems_Method1,2,1)</f>
        <v>Pasture</v>
      </c>
      <c r="E31" s="15" t="str">
        <f>'Constants - Common Livestock'!$E$27</f>
        <v>Pasture range and paddock</v>
      </c>
      <c r="F31" s="15" cm="1">
        <f t="array" ref="F31">MMS_Dairy_N2ODirect_Equations.VEERG_4_3_1_3__2_TotalNitrogenInEachMMS(D19,F25)</f>
        <v>9690.7906525703293</v>
      </c>
      <c r="G31" s="15" cm="1">
        <f t="array" ref="G31">MMS_Dairy_N2ODirect_Equations.VEERG_4_3_1_3__2_TotalNitrogenInEachMMS(E19,G25)</f>
        <v>4426.3236377252861</v>
      </c>
      <c r="H31" s="15" cm="1">
        <f t="array" ref="H31">MMS_Dairy_N2ODirect_Equations.VEERG_4_3_1_3__2_TotalNitrogenInEachMMS(F19,H25)</f>
        <v>1762.9578946423812</v>
      </c>
      <c r="I31" s="15" cm="1">
        <f t="array" ref="I31">MMS_Dairy_N2ODirect_Equations.VEERG_4_3_1_3__2_TotalNitrogenInEachMMS(G19,I25)</f>
        <v>5564.0638693222609</v>
      </c>
      <c r="J31" s="15" cm="1">
        <f t="array" ref="J31">MMS_Dairy_N2ODirect_Equations.VEERG_4_3_1_3__2_TotalNitrogenInEachMMS(H19,J25)</f>
        <v>2329.2802581916176</v>
      </c>
      <c r="K31" s="16" t="str">
        <f>$E$11</f>
        <v>kg N</v>
      </c>
      <c r="O31" s="15" t="str">
        <f>INDEX(X_Table_Dairy_ProductionSystems_Method1,2,1)</f>
        <v>Pasture</v>
      </c>
      <c r="P31" s="15" t="str">
        <f>'Constants - Common Livestock'!$E$27</f>
        <v>Pasture range and paddock</v>
      </c>
      <c r="Q31" s="15" cm="1">
        <f t="array" ref="Q31">MMS_Dairy_N2ODirect_Equations.VEERG_4_3_1_3__2_TotalNitrogenInEachMMS(O19,Q25)</f>
        <v>9690.7906525703293</v>
      </c>
      <c r="R31" s="15" cm="1">
        <f t="array" ref="R31">MMS_Dairy_N2ODirect_Equations.VEERG_4_3_1_3__2_TotalNitrogenInEachMMS(P19,R25)</f>
        <v>4426.3236377252861</v>
      </c>
      <c r="S31" s="15" cm="1">
        <f t="array" ref="S31">MMS_Dairy_N2ODirect_Equations.VEERG_4_3_1_3__2_TotalNitrogenInEachMMS(Q19,S25)</f>
        <v>1762.9578946423812</v>
      </c>
      <c r="T31" s="15" cm="1">
        <f t="array" ref="T31">MMS_Dairy_N2ODirect_Equations.VEERG_4_3_1_3__2_TotalNitrogenInEachMMS(R19,T25)</f>
        <v>5564.0638693222609</v>
      </c>
      <c r="U31" s="15" cm="1">
        <f t="array" ref="U31">MMS_Dairy_N2ODirect_Equations.VEERG_4_3_1_3__2_TotalNitrogenInEachMMS(S19,U25)</f>
        <v>2329.2802581916176</v>
      </c>
      <c r="V31" s="16" t="str">
        <f>$E$11</f>
        <v>kg N</v>
      </c>
    </row>
    <row r="32" spans="1:22" ht="20.100000000000001" customHeight="1" x14ac:dyDescent="0.25">
      <c r="A32" s="5" t="str">
        <f>HYPERLINK("#'4.3.1.1-2 Methane'!A1", "4.3.1.1-2 Manure methane")</f>
        <v>4.3.1.1-2 Manure methane</v>
      </c>
    </row>
    <row r="33" spans="1:23" ht="20.100000000000001" customHeight="1" x14ac:dyDescent="0.25">
      <c r="A33" s="5" t="str">
        <f>HYPERLINK("#'4.3.1.3-4 Direct N20'!A1", "4.3.1.3-4 Direct N20")</f>
        <v>4.3.1.3-4 Direct N20</v>
      </c>
    </row>
    <row r="34" spans="1:23" ht="20.100000000000001" customHeight="1" x14ac:dyDescent="0.25">
      <c r="A34" s="5" t="str">
        <f>HYPERLINK("#'4.3.1.5 Atmos deposition'!A1", "4.3.1.5 Atmos deposition")</f>
        <v>4.3.1.5 Atmos deposition</v>
      </c>
      <c r="C34" s="88"/>
      <c r="D34" s="88"/>
      <c r="E34" s="88"/>
      <c r="F34" s="88"/>
      <c r="G34" s="88"/>
      <c r="H34" s="88"/>
      <c r="I34" s="88"/>
      <c r="J34" s="88"/>
      <c r="K34" s="88"/>
      <c r="L34" s="88"/>
      <c r="N34" s="88"/>
      <c r="O34" s="88"/>
      <c r="P34" s="88"/>
      <c r="Q34" s="88"/>
      <c r="R34" s="88"/>
      <c r="S34" s="88"/>
      <c r="T34" s="88"/>
      <c r="U34" s="88"/>
      <c r="V34" s="88"/>
      <c r="W34" s="88"/>
    </row>
    <row r="35" spans="1:23" ht="20.100000000000001" customHeight="1" x14ac:dyDescent="0.25">
      <c r="A35" s="5" t="str">
        <f>HYPERLINK("#'4.3.1.6-7 Leaching and runoff'!A1", "4.3.1.6-7 Leaching &amp; runoff")</f>
        <v>4.3.1.6-7 Leaching &amp; runoff</v>
      </c>
      <c r="D35" s="2" t="str" cm="1">
        <f t="array" ref="D35">MMS_Dairy_Soil_N2ODirect_Equations.VEERG_4_3_1_9__1_DirectNitrousOxideEmissionsOnPasture_Title()</f>
        <v>Direct nitrous oxide emissions on pasture</v>
      </c>
    </row>
    <row r="36" spans="1:23" ht="20.100000000000001" customHeight="1" x14ac:dyDescent="0.25">
      <c r="A36" s="5" t="str">
        <f>HYPERLINK("#'4.3.1.8 Manure applied to soils'!A1", "4.3.1.8 Manure applied to soils")</f>
        <v>4.3.1.8 Manure applied to soils</v>
      </c>
      <c r="D36" s="17" t="str" cm="1">
        <f t="array" ref="D36">MMS_Dairy_Soil_N2ODirect_Equations.VEERG_4_3_1_9__1_DirectNitrousOxideEmissionsOnPasture_Source()</f>
        <v>VEERG 2026: 4.3.1.9, Equation (1)</v>
      </c>
    </row>
    <row r="37" spans="1:23" ht="20.100000000000001" customHeight="1" x14ac:dyDescent="0.25">
      <c r="A37" s="118" t="str">
        <f>HYPERLINK("#'4.3.1.9 Soil direct N2O'!A1", "4.3.1.9 Soil direct N2O")</f>
        <v>4.3.1.9 Soil direct N2O</v>
      </c>
      <c r="D37" s="117" t="s">
        <v>596</v>
      </c>
      <c r="E37" s="117" t="str" cm="1">
        <f t="array" aca="1" ref="E37" ca="1">Common_InputFunctions.Utility_DisplayFunctionName($F$51)</f>
        <v>=MMS_Dairy_Soil_N2ODirect_Equations.VEERG_4_3_1_9__1_DirectNitrousOxideEmissionsOnPasture</v>
      </c>
    </row>
    <row r="38" spans="1:23" ht="20.100000000000001" customHeight="1" x14ac:dyDescent="0.25">
      <c r="A38" s="5" t="str">
        <f>HYPERLINK("#'4.3.1.10-11 Soil Atmos Dep'!A1", "4.3.1.10-11 Soil Atmos Deposition")</f>
        <v>4.3.1.10-11 Soil Atmos Deposition</v>
      </c>
    </row>
    <row r="39" spans="1:23" ht="20.100000000000001" customHeight="1" x14ac:dyDescent="0.25">
      <c r="A39" s="5" t="str">
        <f>HYPERLINK("#'4.3.1.12-13 Soil leach runoff'!A1", "4.3.1.12-13 Soil leach &amp; runoff")</f>
        <v>4.3.1.12-13 Soil leach &amp; runoff</v>
      </c>
    </row>
    <row r="40" spans="1:23" ht="20.100000000000001" customHeight="1" x14ac:dyDescent="0.25">
      <c r="A40" s="5" t="str">
        <f>HYPERLINK("#'5.1.1.1-2 Inorganic fert N2O'!A1", "5.1.1.1-2 Inorganic fert N2O")</f>
        <v>5.1.1.1-2 Inorganic fert N2O</v>
      </c>
      <c r="D40" s="76" t="s">
        <v>383</v>
      </c>
      <c r="E40" s="1" t="str" cm="1">
        <f t="array" ref="E40">MMS_Dairy_Soil_N2ODirect_Equations.VEERG_4_3_1_9__1_DirectNitrousOxideEmissionsOnPasture_Variable()</f>
        <v>E_N2Odir</v>
      </c>
    </row>
    <row r="41" spans="1:23" ht="20.100000000000001" customHeight="1" x14ac:dyDescent="0.25">
      <c r="A41" s="5" t="str">
        <f>HYPERLINK("#'5.1.1.3-4 Inorganic fert CO2'!A1", "5.1.1.3-4 Inorganic fert CO2")</f>
        <v>5.1.1.3-4 Inorganic fert CO2</v>
      </c>
      <c r="D41" s="76" t="s">
        <v>118</v>
      </c>
      <c r="E41" s="9" t="str" cm="1">
        <f t="array" ref="E41">MMS_Dairy_Soil_N2ODirect_Equations.VEERG_4_3_1_9__1_DirectNitrousOxideEmissionsOnPasture_Unit()</f>
        <v>t N2O</v>
      </c>
    </row>
    <row r="42" spans="1:23" ht="20.100000000000001" customHeight="1" x14ac:dyDescent="0.25">
      <c r="A42" s="5" t="str">
        <f>HYPERLINK("#'5.2.1.1-2 Organic Fert N2O'!A1", "5.2.1.1-2 Organic fert N2O")</f>
        <v>5.2.1.1-2 Organic fert N2O</v>
      </c>
    </row>
    <row r="43" spans="1:23" ht="20.100000000000001" customHeight="1" x14ac:dyDescent="0.25">
      <c r="A43" s="5" t="str">
        <f>HYPERLINK("#'5.3.1.1-2 Lime CO2'!A1", "5.3.1.1-2 Lime CO2")</f>
        <v>5.3.1.1-2 Lime CO2</v>
      </c>
      <c r="D43" s="119" t="str" cm="1">
        <f t="array" ref="D43:E46">_xlfn.CHOOSECOLS(MMS_Dairy_Soil_N2ODirect_Equations.VEERG_4_3_1_9__1_DirectNitrousOxideEmissionsOnPasture_Arguments(),1,2)</f>
        <v>MN_jm14</v>
      </c>
      <c r="E43" s="124" t="str">
        <v>mass of nitrogen excreted on pasture, range, and paddock for each dairy cattle class</v>
      </c>
      <c r="F43" s="132"/>
      <c r="G43" s="125"/>
      <c r="H43" s="119" t="str" cm="1">
        <f t="array" ref="H43:I46">_xlfn.CHOOSECOLS(MMS_Dairy_Soil_N2ODirect_Equations.VEERG_4_3_1_9__1_DirectNitrousOxideEmissionsOnPasture_Arguments(),3,4)</f>
        <v>kg N</v>
      </c>
      <c r="I43" s="127" t="str">
        <v>Calculated from 4.3.1.3 (2)</v>
      </c>
      <c r="J43" s="126" t="str" cm="1">
        <f t="array" aca="1" ref="J43" ca="1">HYPERLINK(Common_InputFunctions.Utility_SourceHyperlink($D$28),$D$28)</f>
        <v>M1_Table_MN_j_m-14</v>
      </c>
    </row>
    <row r="44" spans="1:23" ht="20.100000000000001" customHeight="1" x14ac:dyDescent="0.25">
      <c r="A44" s="5" t="str">
        <f>HYPERLINK("#'5.4.1.1-4 Atmos deposition'!A1", "5.4.1.1-4 Atmos. deposition")</f>
        <v>5.4.1.1-4 Atmos. deposition</v>
      </c>
      <c r="D44" s="119" t="str">
        <v>EF_PRP</v>
      </c>
      <c r="E44" s="124" t="str">
        <v>emission factor for nitrous oxide emissions for urine and dung deposited on PRP</v>
      </c>
      <c r="F44" s="132"/>
      <c r="G44" s="125"/>
      <c r="H44" s="119" t="str">
        <v>kg N2O-N/kg N deposited</v>
      </c>
      <c r="I44" s="127" t="str">
        <v>Constant</v>
      </c>
      <c r="J44" s="119">
        <f>Common_InputFunctions.Utility_LookupValueInTable(J46, Table_SourceData_EFPastureRangeAndPaddock[Climate zone],Table_SourceData_EFPastureRangeAndPaddock[EFPRP])</f>
        <v>2E-3</v>
      </c>
    </row>
    <row r="45" spans="1:23" ht="20.100000000000001" customHeight="1" x14ac:dyDescent="0.25">
      <c r="A45" s="5" t="str">
        <f>HYPERLINK("#'5.5.1.1-2 Leaching and runoff'!A1", "5.5.1.1-2 Leaching &amp; runoff")</f>
        <v>5.5.1.1-2 Leaching &amp; runoff</v>
      </c>
      <c r="D45" s="119" t="str">
        <v>C_N2O</v>
      </c>
      <c r="E45" s="124" t="str">
        <v>factor to convert elemental mass of N2O to molecular mass</v>
      </c>
      <c r="F45" s="132"/>
      <c r="G45" s="125"/>
      <c r="H45" s="119" t="str">
        <v/>
      </c>
      <c r="I45" s="127" t="str">
        <v>Constant</v>
      </c>
      <c r="J45" s="119">
        <f>Common_InputFunctions.Utility_LookupValueInTableNumber("N2O",Table_GasToMolecularConversionFactor[Gas],Table_GasToMolecularConversionFactor[Conversion factor combined])</f>
        <v>1.5714285714285714</v>
      </c>
    </row>
    <row r="46" spans="1:23" ht="20.100000000000001" customHeight="1" x14ac:dyDescent="0.25">
      <c r="A46" s="5" t="str">
        <f>HYPERLINK("#'6.2.1.1-2 Pasture residue N2O'!A1", "6.2.1.1-2 Pasture residue N2O")</f>
        <v>6.2.1.1-2 Pasture residue N2O</v>
      </c>
      <c r="D46" s="119" t="str">
        <v>z</v>
      </c>
      <c r="E46" s="124" t="str">
        <v>Wet or dry climate zone</v>
      </c>
      <c r="F46" s="132"/>
      <c r="G46" s="125"/>
      <c r="H46" s="119" t="str">
        <v/>
      </c>
      <c r="I46" s="120" t="str">
        <v>Input</v>
      </c>
      <c r="J46" s="119" t="str">
        <f>X_Cell_Site_WetOrDryClimateZone</f>
        <v>Dry climate zone</v>
      </c>
    </row>
    <row r="47" spans="1:23" ht="20.100000000000001" customHeight="1" x14ac:dyDescent="0.25">
      <c r="A47" s="5" t="str">
        <f>HYPERLINK("#'6.3.1.1-2 Leach runoff pasture'!A1", "6.3.1.1-2 Leach &amp; runoff (pasture)")</f>
        <v>6.3.1.1-2 Leach &amp; runoff (pasture)</v>
      </c>
    </row>
    <row r="48" spans="1:23" ht="20.100000000000001" customHeight="1" x14ac:dyDescent="0.25">
      <c r="A48" s="5" t="str">
        <f>HYPERLINK("#'8.1.1.1-2 Transport fuel'!A1", "8.1.1.1-2 Transport fuel")</f>
        <v>8.1.1.1-2 Transport fuel</v>
      </c>
      <c r="D48" s="121" t="s">
        <v>527</v>
      </c>
      <c r="O48" s="121" t="s">
        <v>528</v>
      </c>
    </row>
    <row r="49" spans="1:22" ht="20.100000000000001" customHeight="1" x14ac:dyDescent="0.25">
      <c r="A49" s="5" t="str">
        <f>HYPERLINK("#'8.2.1.1-2 Stationary fuel'!A1", "8.2.1.1-2 Stationary fuel")</f>
        <v>8.2.1.1-2 Stationary fuel</v>
      </c>
      <c r="D49" s="122" t="s">
        <v>597</v>
      </c>
      <c r="O49" s="122" t="s">
        <v>598</v>
      </c>
    </row>
    <row r="50" spans="1:22" ht="20.100000000000001" customHeight="1" x14ac:dyDescent="0.25">
      <c r="A50" s="5" t="str">
        <f>HYPERLINK("#'9.1.1.1-2 Refrigerant use'!A1", "9.1.1.1-2 Refrigerant use")</f>
        <v>9.1.1.1-2 Refrigerant use</v>
      </c>
      <c r="D50" s="123" t="s">
        <v>159</v>
      </c>
      <c r="E50" s="123" t="s">
        <v>427</v>
      </c>
      <c r="F50" s="123" t="s">
        <v>334</v>
      </c>
      <c r="G50" s="123" t="s">
        <v>335</v>
      </c>
      <c r="H50" s="123" t="s">
        <v>336</v>
      </c>
      <c r="I50" s="123" t="s">
        <v>337</v>
      </c>
      <c r="J50" s="123" t="s">
        <v>338</v>
      </c>
      <c r="O50" s="123" t="s">
        <v>159</v>
      </c>
      <c r="P50" s="123" t="s">
        <v>427</v>
      </c>
      <c r="Q50" s="123" t="s">
        <v>334</v>
      </c>
      <c r="R50" s="123" t="s">
        <v>335</v>
      </c>
      <c r="S50" s="123" t="s">
        <v>336</v>
      </c>
      <c r="T50" s="123" t="s">
        <v>337</v>
      </c>
      <c r="U50" s="123" t="s">
        <v>338</v>
      </c>
    </row>
    <row r="51" spans="1:22" ht="20.100000000000001" customHeight="1" x14ac:dyDescent="0.25">
      <c r="A51" s="5" t="str">
        <f>HYPERLINK("#'10.1.1-2 Solid waste treatment'!A1", "10.1.1.1-2 Solid waste")</f>
        <v>10.1.1.1-2 Solid waste</v>
      </c>
      <c r="D51" s="15" t="str">
        <f>INDEX(X_Table_Dairy_ProductionSystems_Method1,2,1)</f>
        <v>Pasture</v>
      </c>
      <c r="E51" s="15" t="str">
        <f>'Constants - Common Livestock'!$E$27</f>
        <v>Pasture range and paddock</v>
      </c>
      <c r="F51" s="15" cm="1">
        <f t="array" ref="F51">MMS_Dairy_Soil_N2ODirect_Equations.VEERG_4_3_1_9__1_DirectNitrousOxideEmissionsOnPasture(F31,$J$44,$J$45)</f>
        <v>3.0456770622363894E-2</v>
      </c>
      <c r="G51" s="15" cm="1">
        <f t="array" ref="G51">MMS_Dairy_Soil_N2ODirect_Equations.VEERG_4_3_1_9__1_DirectNitrousOxideEmissionsOnPasture(G31,$J$44,$J$45)</f>
        <v>1.3911302861422326E-2</v>
      </c>
      <c r="H51" s="15" cm="1">
        <f t="array" ref="H51">MMS_Dairy_Soil_N2ODirect_Equations.VEERG_4_3_1_9__1_DirectNitrousOxideEmissionsOnPasture(H31,$J$44,$J$45)</f>
        <v>5.5407248117331984E-3</v>
      </c>
      <c r="I51" s="15" cm="1">
        <f t="array" ref="I51">MMS_Dairy_Soil_N2ODirect_Equations.VEERG_4_3_1_9__1_DirectNitrousOxideEmissionsOnPasture(I31,$J$44,$J$45)</f>
        <v>1.7487057875012819E-2</v>
      </c>
      <c r="J51" s="15" cm="1">
        <f t="array" ref="J51">MMS_Dairy_Soil_N2ODirect_Equations.VEERG_4_3_1_9__1_DirectNitrousOxideEmissionsOnPasture(J31,$J$44,$J$45)</f>
        <v>7.3205950971736563E-3</v>
      </c>
      <c r="K51" s="16" t="str">
        <f>$E$41</f>
        <v>t N2O</v>
      </c>
      <c r="O51" s="15" t="str">
        <f>INDEX(X_Table_Dairy_ProductionSystems_Method1,2,1)</f>
        <v>Pasture</v>
      </c>
      <c r="P51" s="15" t="str">
        <f>'Constants - Common Livestock'!$E$27</f>
        <v>Pasture range and paddock</v>
      </c>
      <c r="Q51" s="15" cm="1">
        <f t="array" ref="Q51">MMS_Dairy_Soil_N2ODirect_Equations.VEERG_4_3_1_9__1_DirectNitrousOxideEmissionsOnPasture(Q31,$J$44,$J$45)</f>
        <v>3.0456770622363894E-2</v>
      </c>
      <c r="R51" s="15" cm="1">
        <f t="array" ref="R51">MMS_Dairy_Soil_N2ODirect_Equations.VEERG_4_3_1_9__1_DirectNitrousOxideEmissionsOnPasture(R31,$J$44,$J$45)</f>
        <v>1.3911302861422326E-2</v>
      </c>
      <c r="S51" s="15" cm="1">
        <f t="array" ref="S51">MMS_Dairy_Soil_N2ODirect_Equations.VEERG_4_3_1_9__1_DirectNitrousOxideEmissionsOnPasture(S31,$J$44,$J$45)</f>
        <v>5.5407248117331984E-3</v>
      </c>
      <c r="T51" s="15" cm="1">
        <f t="array" ref="T51">MMS_Dairy_Soil_N2ODirect_Equations.VEERG_4_3_1_9__1_DirectNitrousOxideEmissionsOnPasture(T31,$J$44,$J$45)</f>
        <v>1.7487057875012819E-2</v>
      </c>
      <c r="U51" s="15" cm="1">
        <f t="array" ref="U51">MMS_Dairy_Soil_N2ODirect_Equations.VEERG_4_3_1_9__1_DirectNitrousOxideEmissionsOnPasture(U31,$J$44,$J$45)</f>
        <v>7.3205950971736563E-3</v>
      </c>
      <c r="V51" s="16" t="str">
        <f>$E$41</f>
        <v>t N2O</v>
      </c>
    </row>
    <row r="52" spans="1:22" ht="20.100000000000001" customHeight="1" x14ac:dyDescent="0.25">
      <c r="A52" s="5" t="str">
        <f>HYPERLINK("#'14.1.1-2 Purchased electricity'!A1", "14.1.1-2 Purchased electricity")</f>
        <v>14.1.1-2 Purchased electricity</v>
      </c>
    </row>
    <row r="53" spans="1:22" ht="20.100000000000001" customHeight="1" x14ac:dyDescent="0.25">
      <c r="A53" s="5" t="str">
        <f>HYPERLINK("#'15 Scope 3'!A1", "15 Scope 3")</f>
        <v>15 Scope 3</v>
      </c>
      <c r="D53" s="87" t="s">
        <v>531</v>
      </c>
      <c r="E53" s="90">
        <f>SUM(F51:J51)</f>
        <v>7.4716451267705888E-2</v>
      </c>
      <c r="F53" s="89" t="str">
        <f>$E$41</f>
        <v>t N2O</v>
      </c>
      <c r="O53" s="87" t="s">
        <v>531</v>
      </c>
      <c r="P53" s="90">
        <f>SUM(Q51:U51)</f>
        <v>7.4716451267705888E-2</v>
      </c>
      <c r="Q53" s="89" t="str">
        <f>$E$41</f>
        <v>t N2O</v>
      </c>
    </row>
    <row r="54" spans="1:22" ht="20.100000000000001" customHeight="1" x14ac:dyDescent="0.25">
      <c r="A54" s="5" t="str">
        <f>HYPERLINK("#'Calcs - Manure sent off-site'!A1", "Calcs - Manure sent off-site")</f>
        <v>Calcs - Manure sent off-site</v>
      </c>
    </row>
    <row r="55" spans="1:22" ht="20.100000000000001" customHeight="1" x14ac:dyDescent="0.25">
      <c r="D55" s="131" t="str" cm="1">
        <f t="array" ref="D55:E56">Common_Equations.Common_ConvertN2OToCO2e_Arguments()</f>
        <v>EN2O</v>
      </c>
      <c r="E55" s="134" t="str">
        <v>Nitrous oxide emissions (t N2O)</v>
      </c>
      <c r="F55" s="135"/>
      <c r="G55" s="15">
        <f>VEERG_4_3_1_9__1_DirectNitrousOxideEmissionsOnPasture_Result_Method1</f>
        <v>7.4716451267705888E-2</v>
      </c>
      <c r="O55" s="131" t="str" cm="1">
        <f t="array" ref="O55:P56">Common_Equations.Common_ConvertN2OToCO2e_Arguments()</f>
        <v>EN2O</v>
      </c>
      <c r="P55" s="134" t="str">
        <v>Nitrous oxide emissions (t N2O)</v>
      </c>
      <c r="Q55" s="135"/>
      <c r="R55" s="15">
        <f>VEERG_4_3_1_9__1_DirectNitrousOxideEmissionsOnPasture_Result_Method2</f>
        <v>7.4716451267705888E-2</v>
      </c>
    </row>
    <row r="56" spans="1:22" ht="20.100000000000001" customHeight="1" x14ac:dyDescent="0.25">
      <c r="D56" s="131" t="str">
        <v>GWPN2O</v>
      </c>
      <c r="E56" s="134" t="str">
        <v>Global warming potential for nitrous oxide (t CO2-e / t N2O)</v>
      </c>
      <c r="F56" s="135"/>
      <c r="G56" s="15">
        <f>Common_InputFunctions.Utility_LookupValueInTableNumber("N2O",Table_GWPData[Gas],Table_GWPData[CO2-e factor])</f>
        <v>265</v>
      </c>
      <c r="O56" s="131" t="str">
        <v>GWPN2O</v>
      </c>
      <c r="P56" s="134" t="str">
        <v>Global warming potential for nitrous oxide (t CO2-e / t N2O)</v>
      </c>
      <c r="Q56" s="135"/>
      <c r="R56" s="15">
        <f>Common_InputFunctions.Utility_LookupValueInTableNumber("N2O",Table_GWPData[Gas],Table_GWPData[CO2-e factor])</f>
        <v>265</v>
      </c>
    </row>
    <row r="57" spans="1:22" ht="20.100000000000001" customHeight="1" x14ac:dyDescent="0.25">
      <c r="A57" s="82" t="s">
        <v>1</v>
      </c>
    </row>
    <row r="58" spans="1:22" ht="20.100000000000001" customHeight="1" x14ac:dyDescent="0.25">
      <c r="A58" s="5" t="str">
        <f>HYPERLINK("#'Constants - Dairy'!A1", "Constants - Dairy")</f>
        <v>Constants - Dairy</v>
      </c>
      <c r="D58" s="88" t="s">
        <v>532</v>
      </c>
      <c r="E58" s="88" cm="1">
        <f t="array" ref="E58">Common_Equations.Common_ConvertN2OToCO2e(G55,G56)</f>
        <v>19.799859585942059</v>
      </c>
      <c r="F58" s="93" t="str" cm="1">
        <f t="array" ref="F58">Common_Equations.Common_ConvertN2OToCO2e_Unit()</f>
        <v>t CO2e</v>
      </c>
      <c r="O58" s="88" t="s">
        <v>532</v>
      </c>
      <c r="P58" s="88" cm="1">
        <f t="array" ref="P58">Common_Equations.Common_ConvertN2OToCO2e(R55,R56)</f>
        <v>19.799859585942059</v>
      </c>
      <c r="Q58" s="93" t="str" cm="1">
        <f t="array" ref="Q58">Common_Equations.Common_ConvertN2OToCO2e_Unit()</f>
        <v>t CO2e</v>
      </c>
    </row>
    <row r="59" spans="1:22" ht="20.100000000000001" customHeight="1" x14ac:dyDescent="0.25">
      <c r="A59" s="5" t="str">
        <f>HYPERLINK("#'Constants - Ag Residue'!A1", "Constants - Ag residue")</f>
        <v>Constants - Ag residue</v>
      </c>
    </row>
    <row r="60" spans="1:22" ht="20.100000000000001" customHeight="1" x14ac:dyDescent="0.25">
      <c r="A60" s="5" t="str">
        <f>HYPERLINK("#'Constants - Common Livestock'!A1", "Constants - Common Livestock")</f>
        <v>Constants - Common Livestock</v>
      </c>
    </row>
    <row r="61" spans="1:22" ht="20.100000000000001" customHeight="1" x14ac:dyDescent="0.25">
      <c r="A61" s="5" t="str">
        <f>HYPERLINK("#'Constants - Electricity'!A1", "Constants - Electricity")</f>
        <v>Constants - Electricity</v>
      </c>
    </row>
    <row r="62" spans="1:22" ht="20.100000000000001" customHeight="1" x14ac:dyDescent="0.25">
      <c r="A62" s="5" t="str">
        <f>HYPERLINK("#'Constants - Fertiliser'!A1", "Constants - Fertiliser")</f>
        <v>Constants - Fertiliser</v>
      </c>
    </row>
    <row r="63" spans="1:22" ht="20.100000000000001" customHeight="1" x14ac:dyDescent="0.25">
      <c r="A63" s="5" t="str">
        <f>HYPERLINK("#'Constants - Fuel'!A1", "Constants - Fuel")</f>
        <v>Constants - Fuel</v>
      </c>
    </row>
    <row r="64" spans="1:22" ht="20.100000000000001" customHeight="1" x14ac:dyDescent="0.25">
      <c r="A64" s="5" t="str">
        <f>HYPERLINK("#'Constants - Scope 3'!A1", "Constants - Scope 3")</f>
        <v>Constants - Scope 3</v>
      </c>
    </row>
    <row r="65" spans="1:1" ht="20.100000000000001" customHeight="1" x14ac:dyDescent="0.25">
      <c r="A65" s="5" t="str">
        <f>HYPERLINK("#'Constants - Common'!A1", "Constants - Common")</f>
        <v>Constants - Common</v>
      </c>
    </row>
    <row r="66" spans="1:1" ht="20.100000000000001" customHeight="1" x14ac:dyDescent="0.25">
      <c r="A66" s="5" t="str">
        <f>HYPERLINK("#'Constants - Refrigerants'!A1", "Constants - Refrigerants")</f>
        <v>Constants - Refrigerants</v>
      </c>
    </row>
    <row r="67" spans="1:1" ht="20.100000000000001" customHeight="1" x14ac:dyDescent="0.25">
      <c r="A67" s="5" t="str">
        <f>HYPERLINK("#'Constants - Solid Waste'!A1", "Constants - Solid Waste")</f>
        <v>Constants - Solid Waste</v>
      </c>
    </row>
    <row r="68" spans="1:1" ht="20.100000000000001" customHeight="1" x14ac:dyDescent="0.25">
      <c r="A68" s="5" t="str">
        <f>HYPERLINK("#'Acknowledgements'!A1", "Acknowledgements")</f>
        <v>Acknowledgements</v>
      </c>
    </row>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5 E31 E34 P25 O34 P31 E51 P51" xr:uid="{360A1B1D-34AC-456F-99CD-D720644C7E0E}"/>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D4344-1550-45C8-9474-8012B6D92297}">
  <sheetPr>
    <tabColor rgb="FF008000"/>
  </sheetPr>
  <dimension ref="A1:W165"/>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20" customFormat="1" ht="30" customHeight="1" x14ac:dyDescent="0.35">
      <c r="A1" s="10" t="e" vm="1">
        <v>#VALUE!</v>
      </c>
      <c r="C1" s="20" t="s">
        <v>599</v>
      </c>
    </row>
    <row r="2" spans="1:23" s="3" customFormat="1" ht="20.100000000000001" customHeight="1" x14ac:dyDescent="0.25">
      <c r="A2"/>
    </row>
    <row r="3" spans="1:23" ht="20.100000000000001" customHeight="1" x14ac:dyDescent="0.25">
      <c r="A3" s="5" t="str">
        <f>HYPERLINK("#'Home'!A1", "Home")</f>
        <v>Home</v>
      </c>
      <c r="C3" s="22"/>
      <c r="D3" s="22"/>
      <c r="E3" s="22"/>
      <c r="F3" s="22"/>
      <c r="G3" s="22"/>
      <c r="H3" s="22"/>
      <c r="I3" s="22"/>
      <c r="J3" s="22"/>
      <c r="K3" s="22"/>
      <c r="L3" s="22"/>
      <c r="N3" s="22"/>
      <c r="O3" s="22"/>
      <c r="P3" s="22"/>
      <c r="Q3" s="22"/>
      <c r="R3" s="22"/>
      <c r="S3" s="22"/>
      <c r="T3" s="22"/>
      <c r="U3" s="22"/>
      <c r="V3" s="22"/>
      <c r="W3" s="22"/>
    </row>
    <row r="4" spans="1:23" ht="20.100000000000001" customHeight="1" x14ac:dyDescent="0.25">
      <c r="A4" s="5" t="str">
        <f>HYPERLINK("#'Results - Activity period'!A1", "Results - Activity period")</f>
        <v>Results - Activity period</v>
      </c>
    </row>
    <row r="5" spans="1:23" ht="20.100000000000001" customHeight="1" x14ac:dyDescent="0.25">
      <c r="A5" s="5" t="str">
        <f>HYPERLINK("#'Results - Product EI'!A1", "Results - Product Emissions Intensity")</f>
        <v>Results - Product Emissions Intensity</v>
      </c>
      <c r="D5" s="2"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5" t="str">
        <f>HYPERLINK("#'Results'!A1", "Results")</f>
        <v>Results</v>
      </c>
      <c r="D6" s="17" t="str" cm="1">
        <f t="array" ref="D6">MMS_Dairy_Soil_AtmosphericDeposition_Equations.VEERG_4_3_1_10__2_MassOfNitrogenVolatilisedOnPasture_Source()</f>
        <v>VEERG 2026: 4.3.1.10, Equation (2)</v>
      </c>
    </row>
    <row r="7" spans="1:23" ht="20.100000000000001" customHeight="1" x14ac:dyDescent="0.25">
      <c r="D7" s="117" t="s">
        <v>382</v>
      </c>
      <c r="E7" s="117" t="str" cm="1">
        <f t="array" aca="1" ref="E7" ca="1">Common_InputFunctions.Utility_DisplayFunctionName(F24)</f>
        <v>=MMS_Dairy_Soil_AtmosphericDeposition_Equations.VEERG_4_3_1_10__2_MassOfNitrogenVolatilisedOnPasture</v>
      </c>
    </row>
    <row r="8" spans="1:23" ht="20.100000000000001" customHeight="1" x14ac:dyDescent="0.25"/>
    <row r="9" spans="1:23" ht="20.100000000000001" customHeight="1" x14ac:dyDescent="0.25">
      <c r="A9" s="7" t="s">
        <v>0</v>
      </c>
    </row>
    <row r="10" spans="1:23" ht="20.100000000000001" customHeight="1" x14ac:dyDescent="0.25">
      <c r="A10" s="5" t="str">
        <f>HYPERLINK("#'Input - Enterprise'!A1", "Enterprise")</f>
        <v>Enterprise</v>
      </c>
      <c r="D10" s="76" t="s">
        <v>383</v>
      </c>
      <c r="E10" s="1" t="str" cm="1">
        <f t="array" ref="E10">MMS_Dairy_Soil_AtmosphericDeposition_Equations.VEERG_4_3_1_10__2_MassOfNitrogenVolatilisedOnPasture_Variable()</f>
        <v>M_vol_m14</v>
      </c>
    </row>
    <row r="11" spans="1:23" ht="20.100000000000001" customHeight="1" x14ac:dyDescent="0.25">
      <c r="A11" s="5" t="str">
        <f>HYPERLINK("#'Input - Site'!A1", "Site")</f>
        <v>Site</v>
      </c>
      <c r="D11" s="76" t="s">
        <v>118</v>
      </c>
      <c r="E11" s="9" t="str" cm="1">
        <f t="array" ref="E11">MMS_Dairy_Soil_AtmosphericDeposition_Equations.VEERG_4_3_1_10__2_MassOfNitrogenVolatilisedOnPasture_Unit()</f>
        <v>kg N</v>
      </c>
    </row>
    <row r="12" spans="1:23" ht="20.100000000000001" customHeight="1" x14ac:dyDescent="0.25">
      <c r="A12" s="5" t="str">
        <f>HYPERLINK("#'Input - Dairy'!A1", "Dairy")</f>
        <v>Dairy</v>
      </c>
    </row>
    <row r="13" spans="1:23" ht="20.100000000000001" customHeight="1" x14ac:dyDescent="0.25">
      <c r="A13" s="5" t="str">
        <f>HYPERLINK("#'Input - Livestock sales'!A1", "Livestock sales")</f>
        <v>Livestock sales</v>
      </c>
      <c r="D13" s="119" t="str" cm="1">
        <f t="array" ref="D13:E14">_xlfn.CHOOSECOLS(MMS_Dairy_Soil_AtmosphericDeposition_Equations.VEERG_4_3_1_10__2_MassOfNitrogenVolatilisedOnPasture_Arguments(),1,2)</f>
        <v>MN_jm14</v>
      </c>
      <c r="E13" s="119" t="str">
        <v>mass of nitrogen excreted on pasture, range and paddock for each dairy class</v>
      </c>
      <c r="F13" s="119"/>
      <c r="G13" s="119" t="str" cm="1">
        <f t="array" ref="G13:H14">_xlfn.CHOOSECOLS(MMS_Dairy_Soil_AtmosphericDeposition_Equations.VEERG_4_3_1_10__2_MassOfNitrogenVolatilisedOnPasture_Arguments(),3,4)</f>
        <v>kg N</v>
      </c>
      <c r="H13" s="127" t="str">
        <v>Calculated from 4.3.1.3 (2)</v>
      </c>
      <c r="I13" s="126" t="str" cm="1">
        <f t="array" aca="1" ref="I13" ca="1">HYPERLINK(Common_InputFunctions.Utility_SourceHyperlink($D$16),$D$16)</f>
        <v>M1_Table_MN_j_m-14</v>
      </c>
    </row>
    <row r="14" spans="1:23" ht="20.100000000000001" customHeight="1" x14ac:dyDescent="0.25">
      <c r="A14" s="5" t="str">
        <f>HYPERLINK("#'Input - Dairy cattle purchases'!A1", "Dairy cattle purchases")</f>
        <v>Dairy cattle purchases</v>
      </c>
      <c r="D14" s="119" t="str">
        <v>FracGASMsoil</v>
      </c>
      <c r="E14" s="119" t="str">
        <v>fraction of nitrogen volatilised from urine and faeces deposited on pasture</v>
      </c>
      <c r="F14" s="119"/>
      <c r="G14" s="119" t="str">
        <v>(kg NH3-N + NOx-N)/kg N)</v>
      </c>
      <c r="H14" s="127" t="str">
        <v>Constant</v>
      </c>
      <c r="I14" s="119">
        <f>SourceData_Dairy_FracGASMSoil_Data</f>
        <v>0.21</v>
      </c>
    </row>
    <row r="15" spans="1:23" ht="20.100000000000001" customHeight="1" x14ac:dyDescent="0.25">
      <c r="A15" s="5" t="str">
        <f>HYPERLINK("#'Input - Pasture'!A1", "Pasture")</f>
        <v>Pasture</v>
      </c>
    </row>
    <row r="16" spans="1:23" ht="20.100000000000001" customHeight="1" x14ac:dyDescent="0.25">
      <c r="A16" s="5" t="str">
        <f>HYPERLINK("#'Input - Fert Prod System'!A1", "Fert Prod System")</f>
        <v>Fert Prod System</v>
      </c>
      <c r="D16" s="121" t="s">
        <v>592</v>
      </c>
      <c r="M16" s="97"/>
      <c r="O16" s="121" t="s">
        <v>593</v>
      </c>
    </row>
    <row r="17" spans="1:23" ht="20.100000000000001" customHeight="1" x14ac:dyDescent="0.25">
      <c r="A17" s="5" t="str">
        <f>HYPERLINK("#'Input - Fertiliser'!A1", "Fertiliser")</f>
        <v>Fertiliser</v>
      </c>
      <c r="D17" s="122" t="s">
        <v>594</v>
      </c>
      <c r="M17" s="97"/>
      <c r="O17" s="122" t="s">
        <v>595</v>
      </c>
    </row>
    <row r="18" spans="1:23" ht="20.100000000000001" customHeight="1" x14ac:dyDescent="0.25">
      <c r="A18" s="5" t="str">
        <f>HYPERLINK("#'Input - Fuel'!A1", "Fuel")</f>
        <v>Fuel</v>
      </c>
      <c r="D18" s="123" t="s">
        <v>159</v>
      </c>
      <c r="E18" s="123" t="s">
        <v>427</v>
      </c>
      <c r="F18" s="123" t="s">
        <v>334</v>
      </c>
      <c r="G18" s="123" t="s">
        <v>335</v>
      </c>
      <c r="H18" s="123" t="s">
        <v>336</v>
      </c>
      <c r="I18" s="123" t="s">
        <v>337</v>
      </c>
      <c r="J18" s="123" t="s">
        <v>338</v>
      </c>
      <c r="M18" s="97"/>
      <c r="O18" s="123" t="s">
        <v>159</v>
      </c>
      <c r="P18" s="123" t="s">
        <v>427</v>
      </c>
      <c r="Q18" s="123" t="s">
        <v>334</v>
      </c>
      <c r="R18" s="123" t="s">
        <v>335</v>
      </c>
      <c r="S18" s="123" t="s">
        <v>336</v>
      </c>
      <c r="T18" s="123" t="s">
        <v>337</v>
      </c>
      <c r="U18" s="123" t="s">
        <v>338</v>
      </c>
    </row>
    <row r="19" spans="1:23" ht="20.100000000000001" customHeight="1" x14ac:dyDescent="0.25">
      <c r="A19" s="5" t="str">
        <f>HYPERLINK("#'Input - Electricity'!A1", "Electricity")</f>
        <v>Electricity</v>
      </c>
      <c r="D19" s="15" t="str">
        <f>INDEX(X_Table_Dairy_ProductionSystems_Method1,2,1)</f>
        <v>Pasture</v>
      </c>
      <c r="E19" s="15" t="str">
        <f>'Constants - Common Livestock'!$E$27</f>
        <v>Pasture range and paddock</v>
      </c>
      <c r="F19" s="15">
        <f>INDEX(M1_Table_MN_j_m14,2,3)</f>
        <v>9690.7906525703293</v>
      </c>
      <c r="G19" s="15">
        <f>INDEX(M1_Table_MN_j_m14,2,4)</f>
        <v>4426.3236377252861</v>
      </c>
      <c r="H19" s="15">
        <f>INDEX(M1_Table_MN_j_m14,2,5)</f>
        <v>1762.9578946423812</v>
      </c>
      <c r="I19" s="15">
        <f>INDEX(M1_Table_MN_j_m14,2,6)</f>
        <v>5564.0638693222609</v>
      </c>
      <c r="J19" s="15">
        <f>INDEX(M1_Table_MN_j_m14,2,7)</f>
        <v>2329.2802581916176</v>
      </c>
      <c r="K19" s="16" t="str">
        <f>$E$11</f>
        <v>kg N</v>
      </c>
      <c r="M19" s="97"/>
      <c r="O19" s="15" t="str">
        <f>INDEX(X_Table_Dairy_ProductionSystems_Method1,2,1)</f>
        <v>Pasture</v>
      </c>
      <c r="P19" s="15" t="str">
        <f>'Constants - Common Livestock'!$E$27</f>
        <v>Pasture range and paddock</v>
      </c>
      <c r="Q19" s="15">
        <f>INDEX(M2_Table_MN_j_m14,2,3)</f>
        <v>9690.7906525703293</v>
      </c>
      <c r="R19" s="15">
        <f>INDEX(M2_Table_MN_j_m14,2,4)</f>
        <v>4426.3236377252861</v>
      </c>
      <c r="S19" s="15">
        <f>INDEX(M2_Table_MN_j_m14,2,5)</f>
        <v>1762.9578946423812</v>
      </c>
      <c r="T19" s="15">
        <f>INDEX(M2_Table_MN_j_m14,2,6)</f>
        <v>5564.0638693222609</v>
      </c>
      <c r="U19" s="15">
        <f>INDEX(M2_Table_MN_j_m14,2,7)</f>
        <v>2329.2802581916176</v>
      </c>
      <c r="V19" s="16" t="str">
        <f>$E$11</f>
        <v>kg N</v>
      </c>
    </row>
    <row r="20" spans="1:23" ht="20.100000000000001" customHeight="1" x14ac:dyDescent="0.25">
      <c r="A20" s="5" t="str">
        <f>HYPERLINK("#'Input - Common farm inputs'!A1", "Common farm inputs")</f>
        <v>Common farm inputs</v>
      </c>
    </row>
    <row r="21" spans="1:23" ht="20.100000000000001" customHeight="1" x14ac:dyDescent="0.25">
      <c r="A21" s="5" t="str">
        <f>HYPERLINK("#'Input - Crop pasture farm input'!A1", "Crop pasture farm input")</f>
        <v>Crop pasture farm input</v>
      </c>
      <c r="D21" s="121" t="s">
        <v>600</v>
      </c>
      <c r="O21" s="121" t="s">
        <v>601</v>
      </c>
    </row>
    <row r="22" spans="1:23" ht="20.100000000000001" customHeight="1" x14ac:dyDescent="0.25">
      <c r="A22" s="5" t="str">
        <f>HYPERLINK("#'Input - Livestock farm Inputs'!A1", "Livestock farm Inputs")</f>
        <v>Livestock farm Inputs</v>
      </c>
      <c r="D22" s="122" t="s">
        <v>602</v>
      </c>
      <c r="O22" s="122" t="s">
        <v>603</v>
      </c>
    </row>
    <row r="23" spans="1:23" ht="20.100000000000001" customHeight="1" x14ac:dyDescent="0.25">
      <c r="A23" s="5" t="str">
        <f>HYPERLINK("#'Input - Freight'!A1", "Freight")</f>
        <v>Freight</v>
      </c>
      <c r="D23" s="123" t="s">
        <v>159</v>
      </c>
      <c r="E23" s="123" t="s">
        <v>427</v>
      </c>
      <c r="F23" s="123" t="s">
        <v>334</v>
      </c>
      <c r="G23" s="123" t="s">
        <v>335</v>
      </c>
      <c r="H23" s="123" t="s">
        <v>336</v>
      </c>
      <c r="I23" s="123" t="s">
        <v>337</v>
      </c>
      <c r="J23" s="123" t="s">
        <v>338</v>
      </c>
      <c r="O23" s="123" t="s">
        <v>159</v>
      </c>
      <c r="P23" s="123" t="s">
        <v>427</v>
      </c>
      <c r="Q23" s="123" t="s">
        <v>334</v>
      </c>
      <c r="R23" s="123" t="s">
        <v>335</v>
      </c>
      <c r="S23" s="123" t="s">
        <v>336</v>
      </c>
      <c r="T23" s="123" t="s">
        <v>337</v>
      </c>
      <c r="U23" s="123" t="s">
        <v>338</v>
      </c>
    </row>
    <row r="24" spans="1:23" ht="20.100000000000001" customHeight="1" x14ac:dyDescent="0.25">
      <c r="A24" s="5" t="str">
        <f>HYPERLINK("#'Input - Solid waste'!A1", "Solid waste")</f>
        <v>Solid waste</v>
      </c>
      <c r="D24" s="15" t="str">
        <f>INDEX(X_Table_Dairy_ProductionSystems_Method1,2,1)</f>
        <v>Pasture</v>
      </c>
      <c r="E24" s="15" t="str">
        <f>'Constants - Common Livestock'!$E$27</f>
        <v>Pasture range and paddock</v>
      </c>
      <c r="F24" s="15" cm="1">
        <f t="array" ref="F24">MMS_Dairy_Soil_AtmosphericDeposition_Equations.VEERG_4_3_1_10__2_MassOfNitrogenVolatilisedOnPasture(F19,$I$14)</f>
        <v>2035.0660370397691</v>
      </c>
      <c r="G24" s="15" cm="1">
        <f t="array" ref="G24">MMS_Dairy_Soil_AtmosphericDeposition_Equations.VEERG_4_3_1_10__2_MassOfNitrogenVolatilisedOnPasture(G19,$I$14)</f>
        <v>929.52796392231005</v>
      </c>
      <c r="H24" s="15" cm="1">
        <f t="array" ref="H24">MMS_Dairy_Soil_AtmosphericDeposition_Equations.VEERG_4_3_1_10__2_MassOfNitrogenVolatilisedOnPasture(H19,$I$14)</f>
        <v>370.22115787490003</v>
      </c>
      <c r="I24" s="15" cm="1">
        <f t="array" ref="I24">MMS_Dairy_Soil_AtmosphericDeposition_Equations.VEERG_4_3_1_10__2_MassOfNitrogenVolatilisedOnPasture(I19,$I$14)</f>
        <v>1168.4534125576747</v>
      </c>
      <c r="J24" s="15" cm="1">
        <f t="array" ref="J24">MMS_Dairy_Soil_AtmosphericDeposition_Equations.VEERG_4_3_1_10__2_MassOfNitrogenVolatilisedOnPasture(J19,$I$14)</f>
        <v>489.14885422023968</v>
      </c>
      <c r="K24" s="16" t="str">
        <f>$E$11</f>
        <v>kg N</v>
      </c>
      <c r="O24" s="15" t="str">
        <f>INDEX(X_Table_Dairy_ProductionSystems_Method1,2,1)</f>
        <v>Pasture</v>
      </c>
      <c r="P24" s="15" t="str">
        <f>'Constants - Common Livestock'!$E$27</f>
        <v>Pasture range and paddock</v>
      </c>
      <c r="Q24" s="15" cm="1">
        <f t="array" ref="Q24">MMS_Dairy_Soil_AtmosphericDeposition_Equations.VEERG_4_3_1_10__2_MassOfNitrogenVolatilisedOnPasture(Q19,$I$14)</f>
        <v>2035.0660370397691</v>
      </c>
      <c r="R24" s="15" cm="1">
        <f t="array" ref="R24">MMS_Dairy_Soil_AtmosphericDeposition_Equations.VEERG_4_3_1_10__2_MassOfNitrogenVolatilisedOnPasture(R19,$I$14)</f>
        <v>929.52796392231005</v>
      </c>
      <c r="S24" s="15" cm="1">
        <f t="array" ref="S24">MMS_Dairy_Soil_AtmosphericDeposition_Equations.VEERG_4_3_1_10__2_MassOfNitrogenVolatilisedOnPasture(S19,$I$14)</f>
        <v>370.22115787490003</v>
      </c>
      <c r="T24" s="15" cm="1">
        <f t="array" ref="T24">MMS_Dairy_Soil_AtmosphericDeposition_Equations.VEERG_4_3_1_10__2_MassOfNitrogenVolatilisedOnPasture(T19,$I$14)</f>
        <v>1168.4534125576747</v>
      </c>
      <c r="U24" s="15" cm="1">
        <f t="array" ref="U24">MMS_Dairy_Soil_AtmosphericDeposition_Equations.VEERG_4_3_1_10__2_MassOfNitrogenVolatilisedOnPasture(U19,$I$14)</f>
        <v>489.14885422023968</v>
      </c>
      <c r="V24" s="16" t="str">
        <f>$E$11</f>
        <v>kg N</v>
      </c>
    </row>
    <row r="25" spans="1:23" ht="20.100000000000001" customHeight="1" x14ac:dyDescent="0.25">
      <c r="A25" s="5" t="str">
        <f>HYPERLINK("#'Input - Manure sent off-site'!A1", "Manure sent off-site")</f>
        <v>Manure sent off-site</v>
      </c>
    </row>
    <row r="26" spans="1:23" ht="20.100000000000001" customHeight="1" x14ac:dyDescent="0.25">
      <c r="A26" s="5" t="str">
        <f>HYPERLINK("#'Input - Refrigerants'!A1", "Refrigerants")</f>
        <v>Refrigerants</v>
      </c>
      <c r="D26" s="92" t="s">
        <v>604</v>
      </c>
      <c r="E26" s="88">
        <f>SUM(F24:J24)</f>
        <v>4992.4174256148935</v>
      </c>
      <c r="F26" s="93" t="str">
        <f>$E$11</f>
        <v>kg N</v>
      </c>
      <c r="O26" s="92" t="s">
        <v>604</v>
      </c>
      <c r="P26" s="88">
        <f>SUM(Q24:U24)</f>
        <v>4992.4174256148935</v>
      </c>
      <c r="Q26" s="93" t="str">
        <f>$E$11</f>
        <v>kg N</v>
      </c>
    </row>
    <row r="27" spans="1:23" ht="20.100000000000001" customHeight="1" x14ac:dyDescent="0.25">
      <c r="A27" s="5" t="str">
        <f>HYPERLINK("#'Input - Data quality'!A1", "Data quality")</f>
        <v>Data quality</v>
      </c>
    </row>
    <row r="28" spans="1:23" ht="20.100000000000001" customHeight="1" x14ac:dyDescent="0.25"/>
    <row r="29" spans="1:23" ht="20.100000000000001" customHeight="1" x14ac:dyDescent="0.25">
      <c r="C29" s="88"/>
      <c r="D29" s="88"/>
      <c r="E29" s="88"/>
      <c r="F29" s="88"/>
      <c r="G29" s="88"/>
      <c r="H29" s="88"/>
      <c r="I29" s="88"/>
      <c r="J29" s="88"/>
      <c r="K29" s="88"/>
      <c r="L29" s="88"/>
      <c r="N29" s="88"/>
      <c r="O29" s="88"/>
      <c r="P29" s="88"/>
      <c r="Q29" s="88"/>
      <c r="R29" s="88"/>
      <c r="S29" s="88"/>
      <c r="T29" s="88"/>
      <c r="U29" s="88"/>
      <c r="V29" s="88"/>
      <c r="W29" s="88"/>
    </row>
    <row r="30" spans="1:23" ht="20.100000000000001" customHeight="1" x14ac:dyDescent="0.25">
      <c r="A30" s="6" t="s">
        <v>2</v>
      </c>
      <c r="D30" s="2"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A31" s="5" t="str">
        <f>HYPERLINK("#'3.3.1.1-2 Enteric Methane'!A1", "3.3.1.1-2 Enteric methane")</f>
        <v>3.3.1.1-2 Enteric methane</v>
      </c>
      <c r="D31" s="17" t="str" cm="1">
        <f t="array" ref="D31">MMS_Dairy_Soil_AtmosphericDeposition_Equations.VEERG_4_3_1_10__1_AtmosphericDepositionEmissionsFromUrineAndDungOnPasture_Source()</f>
        <v>VEERG 2026: 4.3.1.10, Equation (1)</v>
      </c>
    </row>
    <row r="32" spans="1:23" ht="20.100000000000001" customHeight="1" x14ac:dyDescent="0.25">
      <c r="A32" s="5" t="str">
        <f>HYPERLINK("#'4.3.1.1-2 Methane'!A1", "4.3.1.1-2 Manure methane")</f>
        <v>4.3.1.1-2 Manure methane</v>
      </c>
      <c r="D32" s="117" t="s">
        <v>382</v>
      </c>
      <c r="E32" s="117" t="str">
        <f ca="1">Common_InputFunctions.Utility_DisplayFunctionName(VEERG_4_3_1_10__1_AtmosphericDepositionEmissionsFromUrineAndDungOnPasture_Result_Method1)</f>
        <v>=MMS_Dairy_Soil_AtmosphericDeposition_Equations.VEERG_4_3_1_10__1_AtmosphericDepositionEmissionsFromUrineAndDungOnPasture</v>
      </c>
    </row>
    <row r="33" spans="1:19" ht="20.100000000000001" customHeight="1" x14ac:dyDescent="0.25">
      <c r="A33" s="5" t="str">
        <f>HYPERLINK("#'4.3.1.3-4 Direct N20'!A1", "4.3.1.3-4 Direct N20")</f>
        <v>4.3.1.3-4 Direct N20</v>
      </c>
    </row>
    <row r="34" spans="1:19" ht="20.100000000000001" customHeight="1" x14ac:dyDescent="0.25">
      <c r="A34" s="5" t="str">
        <f>HYPERLINK("#'4.3.1.5 Atmos deposition'!A1", "4.3.1.5 Atmos deposition")</f>
        <v>4.3.1.5 Atmos deposition</v>
      </c>
    </row>
    <row r="35" spans="1:19" ht="20.100000000000001" customHeight="1" x14ac:dyDescent="0.25">
      <c r="A35" s="5" t="str">
        <f>HYPERLINK("#'4.3.1.6-7 Leaching and runoff'!A1", "4.3.1.6-7 Leaching &amp; runoff")</f>
        <v>4.3.1.6-7 Leaching &amp; runoff</v>
      </c>
      <c r="D35" s="76" t="s">
        <v>383</v>
      </c>
      <c r="E35" s="1" t="str" cm="1">
        <f t="array" ref="E35">MMS_Dairy_Soil_AtmosphericDeposition_Equations.VEERG_4_3_1_10__1_AtmosphericDepositionEmissionsFromUrineAndDungOnPasture_Variable()</f>
        <v>E_N2Oad</v>
      </c>
    </row>
    <row r="36" spans="1:19" ht="20.100000000000001" customHeight="1" x14ac:dyDescent="0.25">
      <c r="A36" s="5" t="str">
        <f>HYPERLINK("#'4.3.1.8 Manure applied to soils'!A1", "4.3.1.8 Manure applied to soils")</f>
        <v>4.3.1.8 Manure applied to soils</v>
      </c>
      <c r="D36" s="76" t="s">
        <v>118</v>
      </c>
      <c r="E36" s="9" t="str" cm="1">
        <f t="array" ref="E36">MMS_Dairy_Soil_AtmosphericDeposition_Equations.VEERG_4_3_1_10__1_AtmosphericDepositionEmissionsFromUrineAndDungOnPasture_Unit()</f>
        <v>t N2O</v>
      </c>
    </row>
    <row r="37" spans="1:19" ht="20.100000000000001" customHeight="1" x14ac:dyDescent="0.25">
      <c r="A37" s="5" t="str">
        <f>HYPERLINK("#'4.3.1.9 Soil direct N2O'!A1", "4.3.1.9 Soil direct N2O")</f>
        <v>4.3.1.9 Soil direct N2O</v>
      </c>
    </row>
    <row r="38" spans="1:19" ht="20.100000000000001" customHeight="1" x14ac:dyDescent="0.25">
      <c r="A38" s="118" t="str">
        <f>HYPERLINK("#'4.3.1.10-11 Soil Atmos Dep'!A1", "4.3.1.10-11 Soil Atmos Deposition")</f>
        <v>4.3.1.10-11 Soil Atmos Deposition</v>
      </c>
      <c r="D38" s="119" t="str" cm="1">
        <f t="array" ref="D38:E43">_xlfn.CHOOSECOLS(MMS_Dairy_Soil_AtmosphericDeposition_Equations.VEERG_4_3_1_10__1_AtmosphericDepositionEmissionsFromUrineAndDungOnPasture_Arguments(),1,2)</f>
        <v>M_vol_m14</v>
      </c>
      <c r="E38" s="124" t="str">
        <v>mass of nitrogen volatilised from urine and faeces deposited on pasture</v>
      </c>
      <c r="F38" s="125"/>
      <c r="G38" s="119" t="str" cm="1">
        <f t="array" ref="G38:H43">_xlfn.CHOOSECOLS(MMS_Dairy_Soil_AtmosphericDeposition_Equations.VEERG_4_3_1_10__1_AtmosphericDepositionEmissionsFromUrineAndDungOnPasture_Arguments(),3,4)</f>
        <v>kg N</v>
      </c>
      <c r="H38" s="127" t="str">
        <v>Calculated from 4.3.1.10 (2)</v>
      </c>
      <c r="I38" s="119">
        <f>$E$26</f>
        <v>4992.4174256148935</v>
      </c>
      <c r="O38" s="131" t="str">
        <f>D38</f>
        <v>M_vol_m14</v>
      </c>
      <c r="P38" s="131" t="str">
        <f>E38</f>
        <v>mass of nitrogen volatilised from urine and faeces deposited on pasture</v>
      </c>
      <c r="Q38" s="134"/>
      <c r="R38" s="137"/>
      <c r="S38" s="131">
        <f>$P$26</f>
        <v>4992.4174256148935</v>
      </c>
    </row>
    <row r="39" spans="1:19" ht="20.100000000000001" customHeight="1" x14ac:dyDescent="0.25">
      <c r="A39" s="5" t="str">
        <f>HYPERLINK("#'4.3.1.12-13 Soil leach runoff'!A1", "4.3.1.12-13 Soil leach &amp; runoff")</f>
        <v>4.3.1.12-13 Soil leach &amp; runoff</v>
      </c>
      <c r="D39" s="119" t="str">
        <v>EF_N2O</v>
      </c>
      <c r="E39" s="124" t="str">
        <v>nitrous oxide emission factor for atmospheric deposition</v>
      </c>
      <c r="F39" s="125"/>
      <c r="G39" s="119" t="str">
        <v>kg N2O-N/kg N</v>
      </c>
      <c r="H39" s="127" t="str">
        <v>Constant</v>
      </c>
      <c r="I39" s="119">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131"/>
      <c r="P39" s="134"/>
      <c r="Q39" s="140"/>
      <c r="R39" s="137"/>
      <c r="S39" s="131"/>
    </row>
    <row r="40" spans="1:19" ht="20.100000000000001" customHeight="1" x14ac:dyDescent="0.25">
      <c r="A40" s="5" t="str">
        <f>HYPERLINK("#'5.1.1.1-2 Inorganic fert N2O'!A1", "5.1.1.1-2 Inorganic fert N2O")</f>
        <v>5.1.1.1-2 Inorganic fert N2O</v>
      </c>
      <c r="D40" s="119" t="str">
        <v>C_N2O</v>
      </c>
      <c r="E40" s="124" t="str">
        <v>factor to convert elemental mass of N2O to molecular mass</v>
      </c>
      <c r="F40" s="125"/>
      <c r="G40" s="119" t="str">
        <v/>
      </c>
      <c r="H40" s="127" t="str">
        <v>Constant</v>
      </c>
      <c r="I40" s="119">
        <f>Common_InputFunctions.Utility_LookupValueInTableNumber("N2O",Table_GasToMolecularConversionFactor[Gas],Table_GasToMolecularConversionFactor[Conversion factor combined])</f>
        <v>1.5714285714285714</v>
      </c>
      <c r="O40" s="131"/>
      <c r="P40" s="134"/>
      <c r="Q40" s="140"/>
      <c r="R40" s="137"/>
      <c r="S40" s="131"/>
    </row>
    <row r="41" spans="1:19" ht="20.100000000000001" customHeight="1" x14ac:dyDescent="0.25">
      <c r="A41" s="5" t="str">
        <f>HYPERLINK("#'5.1.1.3-4 Inorganic fert CO2'!A1", "5.1.1.3-4 Inorganic fert CO2")</f>
        <v>5.1.1.3-4 Inorganic fert CO2</v>
      </c>
      <c r="D41" s="119" t="str">
        <v>j</v>
      </c>
      <c r="E41" s="124" t="str">
        <v>production system</v>
      </c>
      <c r="F41" s="125"/>
      <c r="G41" s="119" t="str">
        <v/>
      </c>
      <c r="H41" s="120" t="str">
        <v>Input</v>
      </c>
      <c r="I41" s="119" t="str">
        <f>X_Cell_Dairy_ManureAppliedProductionSystem</f>
        <v>Pasture</v>
      </c>
      <c r="O41" s="131"/>
      <c r="P41" s="134"/>
      <c r="Q41" s="140"/>
      <c r="R41" s="137"/>
      <c r="S41" s="131"/>
    </row>
    <row r="42" spans="1:19" ht="20.100000000000001" customHeight="1" x14ac:dyDescent="0.25">
      <c r="A42" s="5" t="str">
        <f>HYPERLINK("#'5.2.1.1-2 Organic Fert N2O'!A1", "5.2.1.1-2 Organic fert N2O")</f>
        <v>5.2.1.1-2 Organic fert N2O</v>
      </c>
      <c r="D42" s="119" t="str">
        <v>ir</v>
      </c>
      <c r="E42" s="124" t="str">
        <v>irrigation method</v>
      </c>
      <c r="F42" s="125"/>
      <c r="G42" s="119" t="str">
        <v/>
      </c>
      <c r="H42" s="120" t="str">
        <v>Input</v>
      </c>
      <c r="I42" s="119" t="str">
        <f>X_Cell_Dairy_ManureAppliedIrrigationMethod</f>
        <v>Sprinkler irrigation</v>
      </c>
      <c r="O42" s="131"/>
      <c r="P42" s="134"/>
      <c r="Q42" s="140"/>
      <c r="R42" s="137"/>
      <c r="S42" s="131"/>
    </row>
    <row r="43" spans="1:19" ht="20.100000000000001" customHeight="1" x14ac:dyDescent="0.25">
      <c r="A43" s="5" t="str">
        <f>HYPERLINK("#'5.3.1.1-2 Lime CO2'!A1", "5.3.1.1-2 Lime CO2")</f>
        <v>5.3.1.1-2 Lime CO2</v>
      </c>
      <c r="D43" s="119" t="str">
        <v>r</v>
      </c>
      <c r="E43" s="124" t="str">
        <v>rainfall region</v>
      </c>
      <c r="F43" s="125"/>
      <c r="G43" s="119" t="str">
        <v/>
      </c>
      <c r="H43" s="120" t="str">
        <v>Input</v>
      </c>
      <c r="I43" s="119" t="str">
        <f>X_Cell_Site_RainfallZone</f>
        <v>High rainfall</v>
      </c>
      <c r="O43" s="131"/>
      <c r="P43" s="134"/>
      <c r="Q43" s="140"/>
      <c r="R43" s="137"/>
      <c r="S43" s="131"/>
    </row>
    <row r="44" spans="1:19" ht="20.100000000000001" customHeight="1" x14ac:dyDescent="0.25">
      <c r="A44" s="5" t="str">
        <f>HYPERLINK("#'5.4.1.1-4 Atmos deposition'!A1", "5.4.1.1-4 Atmos. deposition")</f>
        <v>5.4.1.1-4 Atmos. deposition</v>
      </c>
    </row>
    <row r="45" spans="1:19" ht="20.100000000000001" customHeight="1" x14ac:dyDescent="0.25">
      <c r="A45" s="5" t="str">
        <f>HYPERLINK("#'5.5.1.1-2 Leaching and runoff'!A1", "5.5.1.1-2 Leaching &amp; runoff")</f>
        <v>5.5.1.1-2 Leaching &amp; runoff</v>
      </c>
      <c r="D45" s="87" t="s">
        <v>605</v>
      </c>
      <c r="E45" s="90" cm="1">
        <f t="array" ref="E45">MMS_Dairy_Soil_AtmosphericDeposition_Equations.VEERG_4_3_1_10__1_AtmosphericDepositionEmissionsFromUrineAndDungOnPasture($I$38,$I$39,$I$40)</f>
        <v>4.6286841560343794E-2</v>
      </c>
      <c r="F45" s="89" t="str">
        <f>$E$36</f>
        <v>t N2O</v>
      </c>
      <c r="O45" s="87" t="s">
        <v>605</v>
      </c>
      <c r="P45" s="90" cm="1">
        <f t="array" ref="P45">MMS_Dairy_Soil_AtmosphericDeposition_Equations.VEERG_4_3_1_10__1_AtmosphericDepositionEmissionsFromUrineAndDungOnPasture($S$38,$I$39,$I$40)</f>
        <v>4.6286841560343794E-2</v>
      </c>
      <c r="Q45" s="89" t="str">
        <f>$E$36</f>
        <v>t N2O</v>
      </c>
    </row>
    <row r="46" spans="1:19" ht="20.100000000000001" customHeight="1" x14ac:dyDescent="0.25">
      <c r="A46" s="5" t="str">
        <f>HYPERLINK("#'6.2.1.1-2 Pasture residue N2O'!A1", "6.2.1.1-2 Pasture residue N2O")</f>
        <v>6.2.1.1-2 Pasture residue N2O</v>
      </c>
    </row>
    <row r="47" spans="1:19" ht="20.100000000000001" customHeight="1" x14ac:dyDescent="0.25">
      <c r="A47" s="5" t="str">
        <f>HYPERLINK("#'6.3.1.1-2 Leach runoff pasture'!A1", "6.3.1.1-2 Leach &amp; runoff (pasture)")</f>
        <v>6.3.1.1-2 Leach &amp; runoff (pasture)</v>
      </c>
      <c r="D47" s="131" t="str" cm="1">
        <f t="array" ref="D47:E48">Common_Equations.Common_ConvertN2OToCO2e_Arguments()</f>
        <v>EN2O</v>
      </c>
      <c r="E47" s="134" t="str">
        <v>Nitrous oxide emissions (t N2O)</v>
      </c>
      <c r="F47" s="135"/>
      <c r="G47" s="15">
        <f>VEERG_4_3_1_10__1_AtmosphericDepositionEmissionsFromUrineAndDungOnPasture_Result_Method1</f>
        <v>4.6286841560343794E-2</v>
      </c>
      <c r="O47" s="131" t="str" cm="1">
        <f t="array" ref="O47:P48">Common_Equations.Common_ConvertN2OToCO2e_Arguments()</f>
        <v>EN2O</v>
      </c>
      <c r="P47" s="134" t="str">
        <v>Nitrous oxide emissions (t N2O)</v>
      </c>
      <c r="Q47" s="135"/>
      <c r="R47" s="15">
        <f>VEERG_4_3_1_10__1_AtmosphericDepositionEmissionsFromUrineAndDungOnPasture_Result_Method2</f>
        <v>4.6286841560343794E-2</v>
      </c>
    </row>
    <row r="48" spans="1:19" ht="20.100000000000001" customHeight="1" x14ac:dyDescent="0.25">
      <c r="A48" s="5" t="str">
        <f>HYPERLINK("#'8.1.1.1-2 Transport fuel'!A1", "8.1.1.1-2 Transport fuel")</f>
        <v>8.1.1.1-2 Transport fuel</v>
      </c>
      <c r="D48" s="131" t="str">
        <v>GWPN2O</v>
      </c>
      <c r="E48" s="134" t="str">
        <v>Global warming potential for nitrous oxide (t CO2-e / t N2O)</v>
      </c>
      <c r="F48" s="135"/>
      <c r="G48" s="15">
        <f>Common_InputFunctions.Utility_LookupValueInTableNumber("N2O",Table_GWPData[Gas],Table_GWPData[CO2-e factor])</f>
        <v>265</v>
      </c>
      <c r="O48" s="131" t="str">
        <v>GWPN2O</v>
      </c>
      <c r="P48" s="134" t="str">
        <v>Global warming potential for nitrous oxide (t CO2-e / t N2O)</v>
      </c>
      <c r="Q48" s="135"/>
      <c r="R48" s="15">
        <f>Common_InputFunctions.Utility_LookupValueInTableNumber("N2O",Table_GWPData[Gas],Table_GWPData[CO2-e factor])</f>
        <v>265</v>
      </c>
    </row>
    <row r="49" spans="1:17" ht="20.100000000000001" customHeight="1" x14ac:dyDescent="0.25">
      <c r="A49" s="5" t="str">
        <f>HYPERLINK("#'8.2.1.1-2 Stationary fuel'!A1", "8.2.1.1-2 Stationary fuel")</f>
        <v>8.2.1.1-2 Stationary fuel</v>
      </c>
    </row>
    <row r="50" spans="1:17" ht="20.100000000000001" customHeight="1" x14ac:dyDescent="0.25">
      <c r="A50" s="5" t="str">
        <f>HYPERLINK("#'9.1.1.1-2 Refrigerant use'!A1", "9.1.1.1-2 Refrigerant use")</f>
        <v>9.1.1.1-2 Refrigerant use</v>
      </c>
      <c r="D50" s="88" t="s">
        <v>532</v>
      </c>
      <c r="E50" s="88" cm="1">
        <f t="array" ref="E50">Common_Equations.Common_ConvertN2OToCO2e(G47,G48)</f>
        <v>12.266013013491106</v>
      </c>
      <c r="F50" s="93" t="str" cm="1">
        <f t="array" ref="F50">Common_Equations.Common_ConvertN2OToCO2e_Unit()</f>
        <v>t CO2e</v>
      </c>
      <c r="O50" s="88" t="s">
        <v>532</v>
      </c>
      <c r="P50" s="88" cm="1">
        <f t="array" ref="P50">Common_Equations.Common_ConvertN2OToCO2e(R47,R48)</f>
        <v>12.266013013491106</v>
      </c>
      <c r="Q50" s="93" t="str" cm="1">
        <f t="array" ref="Q50">Common_Equations.Common_ConvertN2OToCO2e_Unit()</f>
        <v>t CO2e</v>
      </c>
    </row>
    <row r="51" spans="1:17" ht="20.100000000000001" customHeight="1" x14ac:dyDescent="0.25">
      <c r="A51" s="5" t="str">
        <f>HYPERLINK("#'10.1.1-2 Solid waste treatment'!A1", "10.1.1.1-2 Solid waste")</f>
        <v>10.1.1.1-2 Solid waste</v>
      </c>
    </row>
    <row r="52" spans="1:17" ht="20.100000000000001" customHeight="1" x14ac:dyDescent="0.25">
      <c r="A52" s="5" t="str">
        <f>HYPERLINK("#'14.1.1-2 Purchased electricity'!A1", "14.1.1-2 Purchased electricity")</f>
        <v>14.1.1-2 Purchased electricity</v>
      </c>
    </row>
    <row r="53" spans="1:17" ht="20.100000000000001" customHeight="1" x14ac:dyDescent="0.25">
      <c r="A53" s="5" t="str">
        <f>HYPERLINK("#'15 Scope 3'!A1", "15 Scope 3")</f>
        <v>15 Scope 3</v>
      </c>
    </row>
    <row r="54" spans="1:17" ht="20.100000000000001" customHeight="1" x14ac:dyDescent="0.25">
      <c r="A54" s="5" t="str">
        <f>HYPERLINK("#'Calcs - Manure sent off-site'!A1", "Calcs - Manure sent off-site")</f>
        <v>Calcs - Manure sent off-site</v>
      </c>
    </row>
    <row r="55" spans="1:17" ht="20.100000000000001" customHeight="1" x14ac:dyDescent="0.25"/>
    <row r="56" spans="1:17" ht="20.100000000000001" customHeight="1" x14ac:dyDescent="0.25"/>
    <row r="57" spans="1:17" ht="20.100000000000001" customHeight="1" x14ac:dyDescent="0.25">
      <c r="A57" s="82" t="s">
        <v>1</v>
      </c>
    </row>
    <row r="58" spans="1:17" ht="20.100000000000001" customHeight="1" x14ac:dyDescent="0.25">
      <c r="A58" s="5" t="str">
        <f>HYPERLINK("#'Constants - Dairy'!A1", "Constants - Dairy")</f>
        <v>Constants - Dairy</v>
      </c>
    </row>
    <row r="59" spans="1:17" ht="20.100000000000001" customHeight="1" x14ac:dyDescent="0.25">
      <c r="A59" s="5" t="str">
        <f>HYPERLINK("#'Constants - Ag Residue'!A1", "Constants - Ag residue")</f>
        <v>Constants - Ag residue</v>
      </c>
    </row>
    <row r="60" spans="1:17" ht="20.100000000000001" customHeight="1" x14ac:dyDescent="0.25">
      <c r="A60" s="5" t="str">
        <f>HYPERLINK("#'Constants - Common Livestock'!A1", "Constants - Common Livestock")</f>
        <v>Constants - Common Livestock</v>
      </c>
    </row>
    <row r="61" spans="1:17" ht="20.100000000000001" customHeight="1" x14ac:dyDescent="0.25">
      <c r="A61" s="5" t="str">
        <f>HYPERLINK("#'Constants - Electricity'!A1", "Constants - Electricity")</f>
        <v>Constants - Electricity</v>
      </c>
    </row>
    <row r="62" spans="1:17" ht="20.100000000000001" customHeight="1" x14ac:dyDescent="0.25">
      <c r="A62" s="5" t="str">
        <f>HYPERLINK("#'Constants - Fertiliser'!A1", "Constants - Fertiliser")</f>
        <v>Constants - Fertiliser</v>
      </c>
    </row>
    <row r="63" spans="1:17" ht="20.100000000000001" customHeight="1" x14ac:dyDescent="0.25">
      <c r="A63" s="5" t="str">
        <f>HYPERLINK("#'Constants - Fuel'!A1", "Constants - Fuel")</f>
        <v>Constants - Fuel</v>
      </c>
    </row>
    <row r="64" spans="1:17" ht="20.100000000000001" customHeight="1" x14ac:dyDescent="0.25">
      <c r="A64" s="5" t="str">
        <f>HYPERLINK("#'Constants - Scope 3'!A1", "Constants - Scope 3")</f>
        <v>Constants - Scope 3</v>
      </c>
    </row>
    <row r="65" spans="1:1" ht="20.100000000000001" customHeight="1" x14ac:dyDescent="0.25">
      <c r="A65" s="5" t="str">
        <f>HYPERLINK("#'Constants - Common'!A1", "Constants - Common")</f>
        <v>Constants - Common</v>
      </c>
    </row>
    <row r="66" spans="1:1" ht="20.100000000000001" customHeight="1" x14ac:dyDescent="0.25">
      <c r="A66" s="5" t="str">
        <f>HYPERLINK("#'Constants - Refrigerants'!A1", "Constants - Refrigerants")</f>
        <v>Constants - Refrigerants</v>
      </c>
    </row>
    <row r="67" spans="1:1" ht="20.100000000000001" customHeight="1" x14ac:dyDescent="0.25">
      <c r="A67" s="5" t="str">
        <f>HYPERLINK("#'Constants - Solid Waste'!A1", "Constants - Solid Waste")</f>
        <v>Constants - Solid Waste</v>
      </c>
    </row>
    <row r="68" spans="1:1" ht="20.100000000000001" customHeight="1" x14ac:dyDescent="0.25">
      <c r="A68" s="5" t="str">
        <f>HYPERLINK("#'Acknowledgements'!A1", "Acknowledgements")</f>
        <v>Acknowledgements</v>
      </c>
    </row>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19 P19 E24 P24" xr:uid="{E19B4ABA-0D48-4259-8E9A-BAA65830908D}"/>
  </dataValidation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FAC0D-7160-40F4-82AD-9A65C512EEB3}">
  <sheetPr>
    <tabColor rgb="FF008000"/>
  </sheetPr>
  <dimension ref="A1:W165"/>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20" customFormat="1" ht="30" customHeight="1" x14ac:dyDescent="0.35">
      <c r="A1" s="10" t="e" vm="1">
        <v>#VALUE!</v>
      </c>
      <c r="C1" s="20" t="s">
        <v>606</v>
      </c>
    </row>
    <row r="2" spans="1:23" s="3" customFormat="1" ht="20.100000000000001" customHeight="1" x14ac:dyDescent="0.25">
      <c r="A2"/>
    </row>
    <row r="3" spans="1:23" ht="20.100000000000001" customHeight="1" x14ac:dyDescent="0.25">
      <c r="A3" s="5" t="str">
        <f>HYPERLINK("#'Home'!A1", "Home")</f>
        <v>Home</v>
      </c>
      <c r="C3" s="22"/>
      <c r="D3" s="22"/>
      <c r="E3" s="22"/>
      <c r="F3" s="22"/>
      <c r="G3" s="22"/>
      <c r="H3" s="22"/>
      <c r="I3" s="22"/>
      <c r="J3" s="22"/>
      <c r="K3" s="22"/>
      <c r="L3" s="22"/>
      <c r="N3" s="22"/>
      <c r="O3" s="22"/>
      <c r="P3" s="22"/>
      <c r="Q3" s="22"/>
      <c r="R3" s="22"/>
      <c r="S3" s="22"/>
      <c r="T3" s="22"/>
      <c r="U3" s="22"/>
      <c r="V3" s="22"/>
      <c r="W3" s="22"/>
    </row>
    <row r="4" spans="1:23" ht="20.100000000000001" customHeight="1" x14ac:dyDescent="0.25">
      <c r="A4" s="5" t="str">
        <f>HYPERLINK("#'Results - Activity period'!A1", "Results - Activity period")</f>
        <v>Results - Activity period</v>
      </c>
    </row>
    <row r="5" spans="1:23" ht="20.100000000000001" customHeight="1" x14ac:dyDescent="0.25">
      <c r="A5" s="5" t="str">
        <f>HYPERLINK("#'Results - Product EI'!A1", "Results - Product Emissions Intensity")</f>
        <v>Results - Product Emissions Intensity</v>
      </c>
      <c r="D5" s="2"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5" t="str">
        <f>HYPERLINK("#'Results'!A1", "Results")</f>
        <v>Results</v>
      </c>
      <c r="D6" s="17" t="str" cm="1">
        <f t="array" ref="D6">MMS_Dairy_Soil_LeachingAndRunoff.VEERG_4_3_1_12__2_MassOfNitrogenLostToLeachingAndRunoffOnPasture_Source()</f>
        <v>VEERG 2026: 4.3.1.12, Equation (2)</v>
      </c>
    </row>
    <row r="7" spans="1:23" ht="20.100000000000001" customHeight="1" x14ac:dyDescent="0.25">
      <c r="D7" s="117" t="s">
        <v>382</v>
      </c>
      <c r="E7" s="117" t="str" cm="1">
        <f t="array" aca="1" ref="E7" ca="1">Common_InputFunctions.Utility_DisplayFunctionName($F$28)</f>
        <v>=MMS_Dairy_Soil_LeachingAndRunoff.VEERG_4_3_1_12__2_MassOfNitrogenLostToLeachingAndRunoffOnPasture</v>
      </c>
    </row>
    <row r="8" spans="1:23" ht="20.100000000000001" customHeight="1" x14ac:dyDescent="0.25">
      <c r="E8" s="1" t="s">
        <v>607</v>
      </c>
    </row>
    <row r="9" spans="1:23" ht="20.100000000000001" customHeight="1" x14ac:dyDescent="0.25">
      <c r="A9" s="7" t="s">
        <v>0</v>
      </c>
    </row>
    <row r="10" spans="1:23" ht="20.100000000000001" customHeight="1" x14ac:dyDescent="0.25">
      <c r="A10" s="5" t="str">
        <f>HYPERLINK("#'Input - Enterprise'!A1", "Enterprise")</f>
        <v>Enterprise</v>
      </c>
      <c r="D10" s="76" t="s">
        <v>383</v>
      </c>
      <c r="E10" s="1" t="str" cm="1">
        <f t="array" ref="E10">MMS_Dairy_Soil_LeachingAndRunoff.VEERG_4_3_1_12__2_MassOfNitrogenLostToLeachingAndRunoffOnPasture_Variable()</f>
        <v>M_leach_m14</v>
      </c>
    </row>
    <row r="11" spans="1:23" ht="20.100000000000001" customHeight="1" x14ac:dyDescent="0.25">
      <c r="A11" s="5" t="str">
        <f>HYPERLINK("#'Input - Site'!A1", "Site")</f>
        <v>Site</v>
      </c>
      <c r="D11" s="76" t="s">
        <v>118</v>
      </c>
      <c r="E11" s="9" t="str" cm="1">
        <f t="array" ref="E11">MMS_Dairy_Soil_LeachingAndRunoff.VEERG_4_3_1_12__2_MassOfNitrogenLostToLeachingAndRunoffOnPasture_Unit()</f>
        <v>kg N</v>
      </c>
    </row>
    <row r="12" spans="1:23" ht="20.100000000000001" customHeight="1" x14ac:dyDescent="0.25">
      <c r="A12" s="5" t="str">
        <f>HYPERLINK("#'Input - Dairy'!A1", "Dairy")</f>
        <v>Dairy</v>
      </c>
    </row>
    <row r="13" spans="1:23" ht="20.100000000000001" customHeight="1" x14ac:dyDescent="0.25">
      <c r="A13" s="5" t="str">
        <f>HYPERLINK("#'Input - Livestock sales'!A1", "Livestock sales")</f>
        <v>Livestock sales</v>
      </c>
      <c r="D13" s="119" t="str" cm="1">
        <f t="array" ref="D13:E18">_xlfn.CHOOSECOLS(MMS_Dairy_Soil_LeachingAndRunoff.VEERG_4_3_1_12__2_MassOfNitrogenLostToLeachingAndRunoffOnPasture_Arguments(),1,2)</f>
        <v>MN_jm14</v>
      </c>
      <c r="E13" s="124" t="str">
        <v>mass of nitrogen excreted on pasture, range and paddock for each dairy class</v>
      </c>
      <c r="F13" s="125"/>
      <c r="G13" s="119" t="str" cm="1">
        <f t="array" ref="G13:H18">_xlfn.CHOOSECOLS(MMS_Dairy_Soil_LeachingAndRunoff.VEERG_4_3_1_12__2_MassOfNitrogenLostToLeachingAndRunoffOnPasture_Arguments(),3,4)</f>
        <v>kg N</v>
      </c>
      <c r="H13" s="127" t="str">
        <v>Calculated from 4.3.1.3 (2)</v>
      </c>
      <c r="I13" s="126" t="str" cm="1">
        <f t="array" aca="1" ref="I13" ca="1">HYPERLINK(Common_InputFunctions.Utility_SourceHyperlink($D$20),$D$20)</f>
        <v>M1_Table_MN_j_m-14</v>
      </c>
    </row>
    <row r="14" spans="1:23" ht="20.100000000000001" customHeight="1" x14ac:dyDescent="0.25">
      <c r="A14" s="5" t="str">
        <f>HYPERLINK("#'Input - Dairy cattle purchases'!A1", "Dairy cattle purchases")</f>
        <v>Dairy cattle purchases</v>
      </c>
      <c r="D14" s="119" t="str">
        <v>FracWet</v>
      </c>
      <c r="E14" s="124" t="str">
        <v>fraction of N available for leaching and runoff</v>
      </c>
      <c r="F14" s="125"/>
      <c r="G14" s="119" t="str">
        <v/>
      </c>
      <c r="H14" s="127" t="str">
        <v>Constant</v>
      </c>
      <c r="I14" s="119">
        <f>Common_InputFunctions.CommonCropping_GetFracWET(I16,I18,Table_SourceData_FracWET[Is in leaching zone],Table_SourceData_FracWET[FracWET],Table_SourceData_FracWETIrrigation[Irrigation type i],Table_SourceData_FracWETIrrigation[FracWET])</f>
        <v>1</v>
      </c>
    </row>
    <row r="15" spans="1:23" ht="20.100000000000001" customHeight="1" x14ac:dyDescent="0.25">
      <c r="A15" s="5" t="str">
        <f>HYPERLINK("#'Input - Pasture'!A1", "Pasture")</f>
        <v>Pasture</v>
      </c>
      <c r="D15" s="119" t="str">
        <v>FracLEACH</v>
      </c>
      <c r="E15" s="124" t="str">
        <v>fraction of N lost through leaching and runoff</v>
      </c>
      <c r="F15" s="125"/>
      <c r="G15" s="119" t="str">
        <v/>
      </c>
      <c r="H15" s="127" t="str">
        <v>Constant</v>
      </c>
      <c r="I15" s="119">
        <f>SourceData_Dairy_FractionOfNitrogenLostThroughLeachingAndRunoff_Data</f>
        <v>0.24</v>
      </c>
    </row>
    <row r="16" spans="1:23" ht="20.100000000000001" customHeight="1" x14ac:dyDescent="0.25">
      <c r="A16" s="5" t="str">
        <f>HYPERLINK("#'Input - Fert Prod System'!A1", "Fert Prod System")</f>
        <v>Fert Prod System</v>
      </c>
      <c r="D16" s="119" t="str">
        <v>z</v>
      </c>
      <c r="E16" s="124" t="str">
        <v>location in leaching zone</v>
      </c>
      <c r="F16" s="125"/>
      <c r="G16" s="119" t="str">
        <v/>
      </c>
      <c r="H16" s="120" t="str">
        <v>Input</v>
      </c>
      <c r="I16" s="119" t="str">
        <f>X_Cell_Site_LeachingZone</f>
        <v>NO - Not in leaching zone</v>
      </c>
    </row>
    <row r="17" spans="1:22" ht="20.100000000000001" customHeight="1" x14ac:dyDescent="0.25">
      <c r="A17" s="5" t="str">
        <f>HYPERLINK("#'Input - Fertiliser'!A1", "Fertiliser")</f>
        <v>Fertiliser</v>
      </c>
      <c r="D17" s="119" t="str">
        <v>j</v>
      </c>
      <c r="E17" s="124" t="str">
        <v>production system</v>
      </c>
      <c r="F17" s="125"/>
      <c r="G17" s="119" t="str">
        <v/>
      </c>
      <c r="H17" s="120" t="str">
        <v>Input</v>
      </c>
      <c r="I17" s="119" t="str">
        <f>X_Cell_Dairy_ManureAppliedProductionSystem</f>
        <v>Pasture</v>
      </c>
    </row>
    <row r="18" spans="1:22" ht="20.100000000000001" customHeight="1" x14ac:dyDescent="0.25">
      <c r="A18" s="5" t="str">
        <f>HYPERLINK("#'Input - Fuel'!A1", "Fuel")</f>
        <v>Fuel</v>
      </c>
      <c r="D18" s="119" t="str">
        <v>ir</v>
      </c>
      <c r="E18" s="124" t="str">
        <v>irrigation method</v>
      </c>
      <c r="F18" s="125"/>
      <c r="G18" s="119" t="str">
        <v/>
      </c>
      <c r="H18" s="120" t="str">
        <v>Input</v>
      </c>
      <c r="I18" s="119" t="str">
        <f>X_Cell_Dairy_ManureAppliedIrrigationMethod</f>
        <v>Sprinkler irrigation</v>
      </c>
    </row>
    <row r="19" spans="1:22" ht="20.100000000000001" customHeight="1" x14ac:dyDescent="0.25">
      <c r="A19" s="5" t="str">
        <f>HYPERLINK("#'Input - Electricity'!A1", "Electricity")</f>
        <v>Electricity</v>
      </c>
    </row>
    <row r="20" spans="1:22" ht="20.100000000000001" customHeight="1" x14ac:dyDescent="0.25">
      <c r="A20" s="5" t="str">
        <f>HYPERLINK("#'Input - Common farm inputs'!A1", "Common farm inputs")</f>
        <v>Common farm inputs</v>
      </c>
      <c r="D20" s="121" t="s">
        <v>592</v>
      </c>
      <c r="M20" s="97"/>
      <c r="O20" s="121" t="s">
        <v>593</v>
      </c>
    </row>
    <row r="21" spans="1:22" ht="20.100000000000001" customHeight="1" x14ac:dyDescent="0.25">
      <c r="A21" s="5" t="str">
        <f>HYPERLINK("#'Input - Crop pasture farm input'!A1", "Crop pasture farm input")</f>
        <v>Crop pasture farm input</v>
      </c>
      <c r="D21" s="122" t="s">
        <v>594</v>
      </c>
      <c r="M21" s="97"/>
      <c r="O21" s="122" t="s">
        <v>595</v>
      </c>
    </row>
    <row r="22" spans="1:22" ht="20.100000000000001" customHeight="1" x14ac:dyDescent="0.25">
      <c r="A22" s="5" t="str">
        <f>HYPERLINK("#'Input - Livestock farm Inputs'!A1", "Livestock farm Inputs")</f>
        <v>Livestock farm Inputs</v>
      </c>
      <c r="D22" s="123" t="s">
        <v>159</v>
      </c>
      <c r="E22" s="123" t="s">
        <v>427</v>
      </c>
      <c r="F22" s="123" t="s">
        <v>334</v>
      </c>
      <c r="G22" s="123" t="s">
        <v>335</v>
      </c>
      <c r="H22" s="123" t="s">
        <v>336</v>
      </c>
      <c r="I22" s="123" t="s">
        <v>337</v>
      </c>
      <c r="J22" s="123" t="s">
        <v>338</v>
      </c>
      <c r="M22" s="97"/>
      <c r="O22" s="123" t="s">
        <v>159</v>
      </c>
      <c r="P22" s="123" t="s">
        <v>427</v>
      </c>
      <c r="Q22" s="123" t="s">
        <v>334</v>
      </c>
      <c r="R22" s="123" t="s">
        <v>335</v>
      </c>
      <c r="S22" s="123" t="s">
        <v>336</v>
      </c>
      <c r="T22" s="123" t="s">
        <v>337</v>
      </c>
      <c r="U22" s="123" t="s">
        <v>338</v>
      </c>
    </row>
    <row r="23" spans="1:22" ht="20.100000000000001" customHeight="1" x14ac:dyDescent="0.25">
      <c r="A23" s="5" t="str">
        <f>HYPERLINK("#'Input - Freight'!A1", "Freight")</f>
        <v>Freight</v>
      </c>
      <c r="D23" s="15" t="str">
        <f>INDEX(X_Table_Dairy_ProductionSystems_Method1,2,1)</f>
        <v>Pasture</v>
      </c>
      <c r="E23" s="15" t="str">
        <f>'Constants - Common Livestock'!$E$27</f>
        <v>Pasture range and paddock</v>
      </c>
      <c r="F23" s="15">
        <f>INDEX(M1_Table_MN_j_m14,2,3)</f>
        <v>9690.7906525703293</v>
      </c>
      <c r="G23" s="15">
        <f>INDEX(M1_Table_MN_j_m14,2,4)</f>
        <v>4426.3236377252861</v>
      </c>
      <c r="H23" s="15">
        <f>INDEX(M1_Table_MN_j_m14,2,5)</f>
        <v>1762.9578946423812</v>
      </c>
      <c r="I23" s="15">
        <f>INDEX(M1_Table_MN_j_m14,2,6)</f>
        <v>5564.0638693222609</v>
      </c>
      <c r="J23" s="15">
        <f>INDEX(M1_Table_MN_j_m14,2,7)</f>
        <v>2329.2802581916176</v>
      </c>
      <c r="K23" s="16" t="str">
        <f>$E$11</f>
        <v>kg N</v>
      </c>
      <c r="M23" s="97"/>
      <c r="O23" s="15" t="str">
        <f>INDEX(X_Table_Dairy_ProductionSystems_Method1,2,1)</f>
        <v>Pasture</v>
      </c>
      <c r="P23" s="15" t="str">
        <f>'Constants - Common Livestock'!$E$27</f>
        <v>Pasture range and paddock</v>
      </c>
      <c r="Q23" s="15">
        <f>INDEX(M2_Table_MN_j_m14,2,3)</f>
        <v>9690.7906525703293</v>
      </c>
      <c r="R23" s="15">
        <f>INDEX(M2_Table_MN_j_m14,2,4)</f>
        <v>4426.3236377252861</v>
      </c>
      <c r="S23" s="15">
        <f>INDEX(M2_Table_MN_j_m14,2,5)</f>
        <v>1762.9578946423812</v>
      </c>
      <c r="T23" s="15">
        <f>INDEX(M2_Table_MN_j_m14,2,6)</f>
        <v>5564.0638693222609</v>
      </c>
      <c r="U23" s="15">
        <f>INDEX(M2_Table_MN_j_m14,2,7)</f>
        <v>2329.2802581916176</v>
      </c>
      <c r="V23" s="16" t="str">
        <f>$E$11</f>
        <v>kg N</v>
      </c>
    </row>
    <row r="24" spans="1:22" ht="20.100000000000001" customHeight="1" x14ac:dyDescent="0.25">
      <c r="A24" s="5" t="str">
        <f>HYPERLINK("#'Input - Solid waste'!A1", "Solid waste")</f>
        <v>Solid waste</v>
      </c>
    </row>
    <row r="25" spans="1:22" ht="20.100000000000001" customHeight="1" x14ac:dyDescent="0.25">
      <c r="A25" s="5" t="str">
        <f>HYPERLINK("#'Input - Manure sent off-site'!A1", "Manure sent off-site")</f>
        <v>Manure sent off-site</v>
      </c>
      <c r="D25" s="121" t="s">
        <v>608</v>
      </c>
      <c r="O25" s="121" t="s">
        <v>609</v>
      </c>
    </row>
    <row r="26" spans="1:22" ht="20.100000000000001" customHeight="1" x14ac:dyDescent="0.25">
      <c r="A26" s="5" t="str">
        <f>HYPERLINK("#'Input - Refrigerants'!A1", "Refrigerants")</f>
        <v>Refrigerants</v>
      </c>
      <c r="D26" s="122" t="s">
        <v>610</v>
      </c>
      <c r="O26" s="122" t="s">
        <v>611</v>
      </c>
    </row>
    <row r="27" spans="1:22" ht="20.100000000000001" customHeight="1" x14ac:dyDescent="0.25">
      <c r="A27" s="5" t="str">
        <f>HYPERLINK("#'Input - Data quality'!A1", "Data quality")</f>
        <v>Data quality</v>
      </c>
      <c r="D27" s="123" t="s">
        <v>159</v>
      </c>
      <c r="E27" s="123" t="s">
        <v>427</v>
      </c>
      <c r="F27" s="123" t="s">
        <v>334</v>
      </c>
      <c r="G27" s="123" t="s">
        <v>335</v>
      </c>
      <c r="H27" s="123" t="s">
        <v>336</v>
      </c>
      <c r="I27" s="123" t="s">
        <v>337</v>
      </c>
      <c r="J27" s="123" t="s">
        <v>338</v>
      </c>
      <c r="O27" s="123" t="s">
        <v>159</v>
      </c>
      <c r="P27" s="123" t="s">
        <v>427</v>
      </c>
      <c r="Q27" s="123" t="s">
        <v>334</v>
      </c>
      <c r="R27" s="123" t="s">
        <v>335</v>
      </c>
      <c r="S27" s="123" t="s">
        <v>336</v>
      </c>
      <c r="T27" s="123" t="s">
        <v>337</v>
      </c>
      <c r="U27" s="123" t="s">
        <v>338</v>
      </c>
    </row>
    <row r="28" spans="1:22" ht="20.100000000000001" customHeight="1" x14ac:dyDescent="0.25">
      <c r="D28" s="15" t="str">
        <f>INDEX(X_Table_Dairy_ProductionSystems_Method1,2,1)</f>
        <v>Pasture</v>
      </c>
      <c r="E28" s="15" t="str">
        <f>'Constants - Common Livestock'!$E$27</f>
        <v>Pasture range and paddock</v>
      </c>
      <c r="F28" s="15" cm="1">
        <f t="array" ref="F28">MMS_Dairy_Soil_LeachingAndRunoff.VEERG_4_3_1_12__2_MassOfNitrogenLostToLeachingAndRunoffOnPasture(F23,$I$14,$I$15)</f>
        <v>2325.789756616879</v>
      </c>
      <c r="G28" s="15" cm="1">
        <f t="array" ref="G28">MMS_Dairy_Soil_LeachingAndRunoff.VEERG_4_3_1_12__2_MassOfNitrogenLostToLeachingAndRunoffOnPasture(G23,$I$14,$I$15)</f>
        <v>1062.3176730540686</v>
      </c>
      <c r="H28" s="15" cm="1">
        <f t="array" ref="H28">MMS_Dairy_Soil_LeachingAndRunoff.VEERG_4_3_1_12__2_MassOfNitrogenLostToLeachingAndRunoffOnPasture(H23,$I$14,$I$15)</f>
        <v>423.1098947141715</v>
      </c>
      <c r="I28" s="15" cm="1">
        <f t="array" ref="I28">MMS_Dairy_Soil_LeachingAndRunoff.VEERG_4_3_1_12__2_MassOfNitrogenLostToLeachingAndRunoffOnPasture(I23,$I$14,$I$15)</f>
        <v>1335.3753286373426</v>
      </c>
      <c r="J28" s="15" cm="1">
        <f t="array" ref="J28">MMS_Dairy_Soil_LeachingAndRunoff.VEERG_4_3_1_12__2_MassOfNitrogenLostToLeachingAndRunoffOnPasture(J23,$I$14,$I$15)</f>
        <v>559.02726196598815</v>
      </c>
      <c r="K28" s="16" t="str">
        <f>$E$11</f>
        <v>kg N</v>
      </c>
      <c r="O28" s="15" t="str">
        <f>INDEX(X_Table_Dairy_ProductionSystems_Method1,2,1)</f>
        <v>Pasture</v>
      </c>
      <c r="P28" s="15" t="str">
        <f>'Constants - Common Livestock'!$E$27</f>
        <v>Pasture range and paddock</v>
      </c>
      <c r="Q28" s="15" cm="1">
        <f t="array" ref="Q28">MMS_Dairy_Soil_LeachingAndRunoff.VEERG_4_3_1_12__2_MassOfNitrogenLostToLeachingAndRunoffOnPasture(Q23,$I$14,$I$15)</f>
        <v>2325.789756616879</v>
      </c>
      <c r="R28" s="15" cm="1">
        <f t="array" ref="R28">MMS_Dairy_Soil_LeachingAndRunoff.VEERG_4_3_1_12__2_MassOfNitrogenLostToLeachingAndRunoffOnPasture(R23,$I$14,$I$15)</f>
        <v>1062.3176730540686</v>
      </c>
      <c r="S28" s="15" cm="1">
        <f t="array" ref="S28">MMS_Dairy_Soil_LeachingAndRunoff.VEERG_4_3_1_12__2_MassOfNitrogenLostToLeachingAndRunoffOnPasture(S23,$I$14,$I$15)</f>
        <v>423.1098947141715</v>
      </c>
      <c r="T28" s="15" cm="1">
        <f t="array" ref="T28">MMS_Dairy_Soil_LeachingAndRunoff.VEERG_4_3_1_12__2_MassOfNitrogenLostToLeachingAndRunoffOnPasture(T23,$I$14,$I$15)</f>
        <v>1335.3753286373426</v>
      </c>
      <c r="U28" s="15" cm="1">
        <f t="array" ref="U28">MMS_Dairy_Soil_LeachingAndRunoff.VEERG_4_3_1_12__2_MassOfNitrogenLostToLeachingAndRunoffOnPasture(U23,$I$14,$I$15)</f>
        <v>559.02726196598815</v>
      </c>
      <c r="V28" s="16" t="str">
        <f>$E$11</f>
        <v>kg N</v>
      </c>
    </row>
    <row r="29" spans="1:22" ht="20.100000000000001" customHeight="1" x14ac:dyDescent="0.25"/>
    <row r="30" spans="1:22" ht="20.100000000000001" customHeight="1" x14ac:dyDescent="0.25">
      <c r="A30" s="6" t="s">
        <v>2</v>
      </c>
      <c r="D30" s="92" t="s">
        <v>612</v>
      </c>
      <c r="E30" s="88">
        <f>SUM(F28:J28)</f>
        <v>5705.6199149884496</v>
      </c>
      <c r="F30" s="93" t="str">
        <f>$E$11</f>
        <v>kg N</v>
      </c>
      <c r="O30" s="92" t="s">
        <v>612</v>
      </c>
      <c r="P30" s="88">
        <f>SUM(Q28:U28)</f>
        <v>5705.6199149884496</v>
      </c>
      <c r="Q30" s="93" t="str">
        <f>$E$11</f>
        <v>kg N</v>
      </c>
    </row>
    <row r="31" spans="1:22" ht="20.100000000000001" customHeight="1" x14ac:dyDescent="0.25">
      <c r="A31" s="5" t="str">
        <f>HYPERLINK("#'3.3.1.1-2 Enteric Methane'!A1", "3.3.1.1-2 Enteric methane")</f>
        <v>3.3.1.1-2 Enteric methane</v>
      </c>
    </row>
    <row r="32" spans="1:22" ht="20.100000000000001" customHeight="1" x14ac:dyDescent="0.25">
      <c r="A32" s="5" t="str">
        <f>HYPERLINK("#'4.3.1.1-2 Methane'!A1", "4.3.1.1-2 Manure methane")</f>
        <v>4.3.1.1-2 Manure methane</v>
      </c>
    </row>
    <row r="33" spans="1:23" ht="20.100000000000001" customHeight="1" x14ac:dyDescent="0.25">
      <c r="A33" s="5" t="str">
        <f>HYPERLINK("#'4.3.1.3-4 Direct N20'!A1", "4.3.1.3-4 Direct N20")</f>
        <v>4.3.1.3-4 Direct N20</v>
      </c>
    </row>
    <row r="34" spans="1:23" ht="20.100000000000001" customHeight="1" x14ac:dyDescent="0.25">
      <c r="A34" s="5" t="str">
        <f>HYPERLINK("#'4.3.1.5 Atmos deposition'!A1", "4.3.1.5 Atmos deposition")</f>
        <v>4.3.1.5 Atmos deposition</v>
      </c>
      <c r="C34" s="88"/>
      <c r="D34" s="88"/>
      <c r="E34" s="88"/>
      <c r="F34" s="88"/>
      <c r="G34" s="88"/>
      <c r="H34" s="88"/>
      <c r="I34" s="88"/>
      <c r="J34" s="88"/>
      <c r="K34" s="88"/>
      <c r="L34" s="88"/>
      <c r="N34" s="88"/>
      <c r="O34" s="88"/>
      <c r="P34" s="88"/>
      <c r="Q34" s="88"/>
      <c r="R34" s="88"/>
      <c r="S34" s="88"/>
      <c r="T34" s="88"/>
      <c r="U34" s="88"/>
      <c r="V34" s="88"/>
      <c r="W34" s="88"/>
    </row>
    <row r="35" spans="1:23" ht="20.100000000000001" customHeight="1" x14ac:dyDescent="0.25">
      <c r="A35" s="5" t="str">
        <f>HYPERLINK("#'4.3.1.6-7 Leaching and runoff'!A1", "4.3.1.6-7 Leaching &amp; runoff")</f>
        <v>4.3.1.6-7 Leaching &amp; runoff</v>
      </c>
      <c r="D35" s="2" t="str" cm="1">
        <f t="array" ref="D35">MMS_Dairy_Soil_LeachingAndRunoff.VEERG_4_3_1_12__1_LeachingAndRunoffEmissionsFromUrineAndDungOnPasture_Title()</f>
        <v>Leaching and runoff emissions from urine and dung deposited on pasture</v>
      </c>
    </row>
    <row r="36" spans="1:23" ht="20.100000000000001" customHeight="1" x14ac:dyDescent="0.25">
      <c r="A36" s="5" t="str">
        <f>HYPERLINK("#'4.3.1.8 Manure applied to soils'!A1", "4.3.1.8 Manure applied to soils")</f>
        <v>4.3.1.8 Manure applied to soils</v>
      </c>
      <c r="D36" s="17" t="str" cm="1">
        <f t="array" ref="D36">MMS_Dairy_Soil_LeachingAndRunoff.VEERG_4_3_1_12__1_LeachingAndRunoffEmissionsFromUrineAndDungOnPasture_Source()</f>
        <v>VEERG 2026: 4.3.1.12, Equation (1)</v>
      </c>
    </row>
    <row r="37" spans="1:23" ht="20.100000000000001" customHeight="1" x14ac:dyDescent="0.25">
      <c r="A37" s="5" t="str">
        <f>HYPERLINK("#'4.3.1.9 Soil direct N2O'!A1", "4.3.1.9 Soil direct N2O")</f>
        <v>4.3.1.9 Soil direct N2O</v>
      </c>
      <c r="D37" s="117" t="s">
        <v>382</v>
      </c>
      <c r="E37" s="117" t="str">
        <f ca="1">Common_InputFunctions.Utility_DisplayFunctionName(VEERG_4_3_1_12__1_LeachingAndRunoffEmissionsFromUrineAndDungOnPasture_Result_Method1)</f>
        <v>=MMS_Dairy_Soil_LeachingAndRunoff.VEERG_4_3_1_12__1_LeachingAndRunoffEmissionsFromUrineAndDungOnPasture</v>
      </c>
    </row>
    <row r="38" spans="1:23" ht="20.100000000000001" customHeight="1" x14ac:dyDescent="0.25">
      <c r="A38" s="5" t="str">
        <f>HYPERLINK("#'4.3.1.10-11 Soil Atmos Dep'!A1", "4.3.1.10-11 Soil Atmos Deposition")</f>
        <v>4.3.1.10-11 Soil Atmos Deposition</v>
      </c>
    </row>
    <row r="39" spans="1:23" ht="20.100000000000001" customHeight="1" x14ac:dyDescent="0.25">
      <c r="A39" s="118" t="str">
        <f>HYPERLINK("#'4.3.1.12-13 Soil leach runoff'!A1", "4.3.1.12-13 Soil leach &amp; runoff")</f>
        <v>4.3.1.12-13 Soil leach &amp; runoff</v>
      </c>
    </row>
    <row r="40" spans="1:23" ht="20.100000000000001" customHeight="1" x14ac:dyDescent="0.25">
      <c r="A40" s="5" t="str">
        <f>HYPERLINK("#'5.1.1.1-2 Inorganic fert N2O'!A1", "5.1.1.1-2 Inorganic fert N2O")</f>
        <v>5.1.1.1-2 Inorganic fert N2O</v>
      </c>
      <c r="D40" s="76" t="s">
        <v>383</v>
      </c>
      <c r="E40" s="1" t="str" cm="1">
        <f t="array" ref="E40">MMS_Dairy_Soil_LeachingAndRunoff.VEERG_4_3_1_12__1_LeachingAndRunoffEmissionsFromUrineAndDungOnPasture_Variable()</f>
        <v>E_N2Oleach</v>
      </c>
    </row>
    <row r="41" spans="1:23" ht="20.100000000000001" customHeight="1" x14ac:dyDescent="0.25">
      <c r="A41" s="5" t="str">
        <f>HYPERLINK("#'5.1.1.3-4 Inorganic fert CO2'!A1", "5.1.1.3-4 Inorganic fert CO2")</f>
        <v>5.1.1.3-4 Inorganic fert CO2</v>
      </c>
      <c r="D41" s="76" t="s">
        <v>118</v>
      </c>
      <c r="E41" s="9" t="str" cm="1">
        <f t="array" ref="E41">MMS_Dairy_Soil_LeachingAndRunoff.VEERG_4_3_1_12__1_LeachingAndRunoffEmissionsFromUrineAndDungOnPasture_Unit()</f>
        <v>t N2O</v>
      </c>
    </row>
    <row r="42" spans="1:23" ht="20.100000000000001" customHeight="1" x14ac:dyDescent="0.25">
      <c r="A42" s="5" t="str">
        <f>HYPERLINK("#'5.2.1.1-2 Organic Fert N2O'!A1", "5.2.1.1-2 Organic fert N2O")</f>
        <v>5.2.1.1-2 Organic fert N2O</v>
      </c>
    </row>
    <row r="43" spans="1:23" ht="20.100000000000001" customHeight="1" x14ac:dyDescent="0.25">
      <c r="A43" s="5" t="str">
        <f>HYPERLINK("#'5.3.1.1-2 Lime CO2'!A1", "5.3.1.1-2 Lime CO2")</f>
        <v>5.3.1.1-2 Lime CO2</v>
      </c>
      <c r="D43" s="119" t="str" cm="1">
        <f t="array" ref="D43:E45">_xlfn.CHOOSECOLS(MMS_Dairy_Soil_LeachingAndRunoff.VEERG_4_3_1_12__1_LeachingAndRunoffEmissionsFromUrineAndDungOnPasture_Arguments(),1,2)</f>
        <v>M_leach_m14</v>
      </c>
      <c r="E43" s="119" t="str">
        <v>mass of nitrogen lost to leaching and runoff from urine and faeces deposited on pasture</v>
      </c>
      <c r="F43" s="124"/>
      <c r="G43" s="125"/>
      <c r="H43" s="119" t="str" cm="1">
        <f t="array" ref="H43:I45">_xlfn.CHOOSECOLS(MMS_Dairy_Soil_LeachingAndRunoff.VEERG_4_3_1_12__1_LeachingAndRunoffEmissionsFromUrineAndDungOnPasture_Arguments(),3,4)</f>
        <v>kg N</v>
      </c>
      <c r="I43" s="127" t="str">
        <v>Calculated from 4.3.1.12 (2)</v>
      </c>
      <c r="J43" s="119">
        <f>$E$30</f>
        <v>5705.6199149884496</v>
      </c>
      <c r="O43" s="119" t="str" cm="1">
        <f t="array" ref="O43:P45">_xlfn.CHOOSECOLS(MMS_Dairy_Soil_LeachingAndRunoff.VEERG_4_3_1_12__1_LeachingAndRunoffEmissionsFromUrineAndDungOnPasture_Arguments(),1,2)</f>
        <v>M_leach_m14</v>
      </c>
      <c r="P43" s="119" t="str">
        <v>mass of nitrogen lost to leaching and runoff from urine and faeces deposited on pasture</v>
      </c>
      <c r="Q43" s="124"/>
      <c r="R43" s="125"/>
      <c r="S43" s="119" t="str" cm="1">
        <f t="array" ref="S43:T45">_xlfn.CHOOSECOLS(MMS_Dairy_Soil_LeachingAndRunoff.VEERG_4_3_1_12__1_LeachingAndRunoffEmissionsFromUrineAndDungOnPasture_Arguments(),3,4)</f>
        <v>kg N</v>
      </c>
      <c r="T43" s="127" t="str">
        <v>Calculated from 4.3.1.12 (2)</v>
      </c>
      <c r="U43" s="131">
        <f>$P$30</f>
        <v>5705.6199149884496</v>
      </c>
    </row>
    <row r="44" spans="1:23" ht="20.100000000000001" customHeight="1" x14ac:dyDescent="0.25">
      <c r="A44" s="5" t="str">
        <f>HYPERLINK("#'5.4.1.1-4 Atmos deposition'!A1", "5.4.1.1-4 Atmos. deposition")</f>
        <v>5.4.1.1-4 Atmos. deposition</v>
      </c>
      <c r="D44" s="119" t="str">
        <v>EF_leach</v>
      </c>
      <c r="E44" s="119" t="str">
        <v>nitrous oxide emission factor for leaching and runoff</v>
      </c>
      <c r="F44" s="124"/>
      <c r="G44" s="125"/>
      <c r="H44" s="119" t="str">
        <v>kg N2O-N/kg N</v>
      </c>
      <c r="I44" s="127" t="str">
        <v>Constant</v>
      </c>
      <c r="J44" s="119">
        <f>SourceData_Dairy_EmissionFactorForLeachingAndRunoff_Data</f>
        <v>1.0999999999999999E-2</v>
      </c>
      <c r="O44" s="119" t="str">
        <v>EF_leach</v>
      </c>
      <c r="P44" s="119" t="str">
        <v>nitrous oxide emission factor for leaching and runoff</v>
      </c>
      <c r="Q44" s="124"/>
      <c r="R44" s="125"/>
      <c r="S44" s="119" t="str">
        <v>kg N2O-N/kg N</v>
      </c>
      <c r="T44" s="127" t="str">
        <v>Constant</v>
      </c>
      <c r="U44" s="131"/>
    </row>
    <row r="45" spans="1:23" ht="20.100000000000001" customHeight="1" x14ac:dyDescent="0.25">
      <c r="A45" s="5" t="str">
        <f>HYPERLINK("#'5.5.1.1-2 Leaching and runoff'!A1", "5.5.1.1-2 Leaching &amp; runoff")</f>
        <v>5.5.1.1-2 Leaching &amp; runoff</v>
      </c>
      <c r="D45" s="119" t="str">
        <v>C_N2O</v>
      </c>
      <c r="E45" s="119" t="str">
        <v>factor to convert elemental mass of N2O to molecular mass</v>
      </c>
      <c r="F45" s="124"/>
      <c r="G45" s="125"/>
      <c r="H45" s="119" t="str">
        <v/>
      </c>
      <c r="I45" s="127" t="str">
        <v>Constant</v>
      </c>
      <c r="J45" s="119">
        <f>Common_InputFunctions.Utility_LookupValueInTableNumber("N2O",Table_GasToMolecularConversionFactor[Gas],Table_GasToMolecularConversionFactor[Conversion factor combined])</f>
        <v>1.5714285714285714</v>
      </c>
      <c r="O45" s="119" t="str">
        <v>C_N2O</v>
      </c>
      <c r="P45" s="119" t="str">
        <v>factor to convert elemental mass of N2O to molecular mass</v>
      </c>
      <c r="Q45" s="124"/>
      <c r="R45" s="125"/>
      <c r="S45" s="119" t="str">
        <v/>
      </c>
      <c r="T45" s="127" t="str">
        <v>Constant</v>
      </c>
      <c r="U45" s="131"/>
    </row>
    <row r="46" spans="1:23" ht="20.100000000000001" customHeight="1" x14ac:dyDescent="0.25">
      <c r="A46" s="5" t="str">
        <f>HYPERLINK("#'6.2.1.1-2 Pasture residue N2O'!A1", "6.2.1.1-2 Pasture residue N2O")</f>
        <v>6.2.1.1-2 Pasture residue N2O</v>
      </c>
    </row>
    <row r="47" spans="1:23" ht="20.100000000000001" customHeight="1" x14ac:dyDescent="0.25">
      <c r="A47" s="5" t="str">
        <f>HYPERLINK("#'6.3.1.1-2 Leach runoff pasture'!A1", "6.3.1.1-2 Leach &amp; runoff (pasture)")</f>
        <v>6.3.1.1-2 Leach &amp; runoff (pasture)</v>
      </c>
      <c r="D47" s="87" t="s">
        <v>613</v>
      </c>
      <c r="E47" s="90" cm="1">
        <f t="array" ref="E47">MMS_Dairy_Soil_LeachingAndRunoff.VEERG_4_3_1_12__1_LeachingAndRunoffEmissionsFromUrineAndDungOnPasture($J$43,$J$44,$J$45)</f>
        <v>9.8625715673371778E-2</v>
      </c>
      <c r="F47" s="89" t="str">
        <f>$E$41</f>
        <v>t N2O</v>
      </c>
      <c r="O47" s="87" t="s">
        <v>613</v>
      </c>
      <c r="P47" s="90" cm="1">
        <f t="array" ref="P47">MMS_Dairy_Soil_LeachingAndRunoff.VEERG_4_3_1_12__1_LeachingAndRunoffEmissionsFromUrineAndDungOnPasture($U$43,$J$44,$J$45)</f>
        <v>9.8625715673371778E-2</v>
      </c>
      <c r="Q47" s="89" t="str">
        <f>$E$41</f>
        <v>t N2O</v>
      </c>
    </row>
    <row r="48" spans="1:23" ht="20.100000000000001" customHeight="1" x14ac:dyDescent="0.25">
      <c r="A48" s="5" t="str">
        <f>HYPERLINK("#'8.1.1.1-2 Transport fuel'!A1", "8.1.1.1-2 Transport fuel")</f>
        <v>8.1.1.1-2 Transport fuel</v>
      </c>
    </row>
    <row r="49" spans="1:18" ht="20.100000000000001" customHeight="1" x14ac:dyDescent="0.25">
      <c r="A49" s="5" t="str">
        <f>HYPERLINK("#'8.2.1.1-2 Stationary fuel'!A1", "8.2.1.1-2 Stationary fuel")</f>
        <v>8.2.1.1-2 Stationary fuel</v>
      </c>
      <c r="D49" s="131" t="str" cm="1">
        <f t="array" ref="D49:E50">Common_Equations.Common_ConvertN2OToCO2e_Arguments()</f>
        <v>EN2O</v>
      </c>
      <c r="E49" s="134" t="str">
        <v>Nitrous oxide emissions (t N2O)</v>
      </c>
      <c r="F49" s="135"/>
      <c r="G49" s="15">
        <f>VEERG_4_3_1_12__1_LeachingAndRunoffEmissionsFromUrineAndDungOnPasture_Result_Method1</f>
        <v>9.8625715673371778E-2</v>
      </c>
      <c r="O49" s="131" t="str" cm="1">
        <f t="array" ref="O49:P50">Common_Equations.Common_ConvertN2OToCO2e_Arguments()</f>
        <v>EN2O</v>
      </c>
      <c r="P49" s="134" t="str">
        <v>Nitrous oxide emissions (t N2O)</v>
      </c>
      <c r="Q49" s="135"/>
      <c r="R49" s="15">
        <f>VEERG_4_3_1_12__1_LeachingAndRunoffEmissionsFromUrineAndDungOnPasture_Result_Method2</f>
        <v>9.8625715673371778E-2</v>
      </c>
    </row>
    <row r="50" spans="1:18" ht="20.100000000000001" customHeight="1" x14ac:dyDescent="0.25">
      <c r="A50" s="5" t="str">
        <f>HYPERLINK("#'9.1.1.1-2 Refrigerant use'!A1", "9.1.1.1-2 Refrigerant use")</f>
        <v>9.1.1.1-2 Refrigerant use</v>
      </c>
      <c r="D50" s="131" t="str">
        <v>GWPN2O</v>
      </c>
      <c r="E50" s="134" t="str">
        <v>Global warming potential for nitrous oxide (t CO2-e / t N2O)</v>
      </c>
      <c r="F50" s="135"/>
      <c r="G50" s="15">
        <f>Common_InputFunctions.Utility_LookupValueInTableNumber("N2O",Table_GWPData[Gas],Table_GWPData[CO2-e factor])</f>
        <v>265</v>
      </c>
      <c r="O50" s="131" t="str">
        <v>GWPN2O</v>
      </c>
      <c r="P50" s="134" t="str">
        <v>Global warming potential for nitrous oxide (t CO2-e / t N2O)</v>
      </c>
      <c r="Q50" s="135"/>
      <c r="R50" s="15">
        <f>Common_InputFunctions.Utility_LookupValueInTableNumber("N2O",Table_GWPData[Gas],Table_GWPData[CO2-e factor])</f>
        <v>265</v>
      </c>
    </row>
    <row r="51" spans="1:18" ht="20.100000000000001" customHeight="1" x14ac:dyDescent="0.25">
      <c r="A51" s="5" t="str">
        <f>HYPERLINK("#'10.1.1-2 Solid waste treatment'!A1", "10.1.1.1-2 Solid waste")</f>
        <v>10.1.1.1-2 Solid waste</v>
      </c>
    </row>
    <row r="52" spans="1:18" ht="20.100000000000001" customHeight="1" x14ac:dyDescent="0.25">
      <c r="A52" s="5" t="str">
        <f>HYPERLINK("#'14.1.1-2 Purchased electricity'!A1", "14.1.1-2 Purchased electricity")</f>
        <v>14.1.1-2 Purchased electricity</v>
      </c>
      <c r="D52" s="88" t="s">
        <v>532</v>
      </c>
      <c r="E52" s="88" cm="1">
        <f t="array" ref="E52">Common_Equations.Common_ConvertN2OToCO2e(G49,G50)</f>
        <v>26.135814653443521</v>
      </c>
      <c r="F52" s="93" t="str" cm="1">
        <f t="array" ref="F52">Common_Equations.Common_ConvertN2OToCO2e_Unit()</f>
        <v>t CO2e</v>
      </c>
      <c r="O52" s="88" t="s">
        <v>532</v>
      </c>
      <c r="P52" s="88" cm="1">
        <f t="array" ref="P52">Common_Equations.Common_ConvertN2OToCO2e(R49,R50)</f>
        <v>26.135814653443521</v>
      </c>
      <c r="Q52" s="93" t="str" cm="1">
        <f t="array" ref="Q52">Common_Equations.Common_ConvertN2OToCO2e_Unit()</f>
        <v>t CO2e</v>
      </c>
    </row>
    <row r="53" spans="1:18" ht="20.100000000000001" customHeight="1" x14ac:dyDescent="0.25">
      <c r="A53" s="5" t="str">
        <f>HYPERLINK("#'15 Scope 3'!A1", "15 Scope 3")</f>
        <v>15 Scope 3</v>
      </c>
    </row>
    <row r="54" spans="1:18" ht="20.100000000000001" customHeight="1" x14ac:dyDescent="0.25">
      <c r="A54" s="5" t="str">
        <f>HYPERLINK("#'Calcs - Manure sent off-site'!A1", "Calcs - Manure sent off-site")</f>
        <v>Calcs - Manure sent off-site</v>
      </c>
    </row>
    <row r="55" spans="1:18" ht="20.100000000000001" customHeight="1" x14ac:dyDescent="0.25"/>
    <row r="56" spans="1:18" ht="20.100000000000001" customHeight="1" x14ac:dyDescent="0.25"/>
    <row r="57" spans="1:18" ht="20.100000000000001" customHeight="1" x14ac:dyDescent="0.25">
      <c r="A57" s="82" t="s">
        <v>1</v>
      </c>
    </row>
    <row r="58" spans="1:18" ht="20.100000000000001" customHeight="1" x14ac:dyDescent="0.25">
      <c r="A58" s="5" t="str">
        <f>HYPERLINK("#'Constants - Dairy'!A1", "Constants - Dairy")</f>
        <v>Constants - Dairy</v>
      </c>
    </row>
    <row r="59" spans="1:18" ht="20.100000000000001" customHeight="1" x14ac:dyDescent="0.25">
      <c r="A59" s="5" t="str">
        <f>HYPERLINK("#'Constants - Ag Residue'!A1", "Constants - Ag residue")</f>
        <v>Constants - Ag residue</v>
      </c>
    </row>
    <row r="60" spans="1:18" ht="20.100000000000001" customHeight="1" x14ac:dyDescent="0.25">
      <c r="A60" s="5" t="str">
        <f>HYPERLINK("#'Constants - Common Livestock'!A1", "Constants - Common Livestock")</f>
        <v>Constants - Common Livestock</v>
      </c>
    </row>
    <row r="61" spans="1:18" ht="20.100000000000001" customHeight="1" x14ac:dyDescent="0.25">
      <c r="A61" s="5" t="str">
        <f>HYPERLINK("#'Constants - Electricity'!A1", "Constants - Electricity")</f>
        <v>Constants - Electricity</v>
      </c>
    </row>
    <row r="62" spans="1:18" ht="20.100000000000001" customHeight="1" x14ac:dyDescent="0.25">
      <c r="A62" s="5" t="str">
        <f>HYPERLINK("#'Constants - Fertiliser'!A1", "Constants - Fertiliser")</f>
        <v>Constants - Fertiliser</v>
      </c>
    </row>
    <row r="63" spans="1:18" ht="20.100000000000001" customHeight="1" x14ac:dyDescent="0.25">
      <c r="A63" s="5" t="str">
        <f>HYPERLINK("#'Constants - Fuel'!A1", "Constants - Fuel")</f>
        <v>Constants - Fuel</v>
      </c>
    </row>
    <row r="64" spans="1:18" ht="20.100000000000001" customHeight="1" x14ac:dyDescent="0.25">
      <c r="A64" s="5" t="str">
        <f>HYPERLINK("#'Constants - Scope 3'!A1", "Constants - Scope 3")</f>
        <v>Constants - Scope 3</v>
      </c>
    </row>
    <row r="65" spans="1:1" ht="20.100000000000001" customHeight="1" x14ac:dyDescent="0.25">
      <c r="A65" s="5" t="str">
        <f>HYPERLINK("#'Constants - Common'!A1", "Constants - Common")</f>
        <v>Constants - Common</v>
      </c>
    </row>
    <row r="66" spans="1:1" ht="20.100000000000001" customHeight="1" x14ac:dyDescent="0.25">
      <c r="A66" s="5" t="str">
        <f>HYPERLINK("#'Constants - Refrigerants'!A1", "Constants - Refrigerants")</f>
        <v>Constants - Refrigerants</v>
      </c>
    </row>
    <row r="67" spans="1:1" ht="20.100000000000001" customHeight="1" x14ac:dyDescent="0.25">
      <c r="A67" s="5" t="str">
        <f>HYPERLINK("#'Constants - Solid Waste'!A1", "Constants - Solid Waste")</f>
        <v>Constants - Solid Waste</v>
      </c>
    </row>
    <row r="68" spans="1:1" ht="20.100000000000001" customHeight="1" x14ac:dyDescent="0.25">
      <c r="A68" s="5" t="str">
        <f>HYPERLINK("#'Acknowledgements'!A1", "Acknowledgements")</f>
        <v>Acknowledgements</v>
      </c>
    </row>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 P23 E28 P28" xr:uid="{3D9B718E-B3B9-4D48-81BC-C071CFF4A9ED}"/>
  </dataValidation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4C3F6-2237-46DE-89A4-54B492AE21EC}">
  <sheetPr>
    <tabColor rgb="FF008000"/>
  </sheetPr>
  <dimension ref="A1:X342"/>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20" customFormat="1" ht="30" customHeight="1" x14ac:dyDescent="0.35">
      <c r="A1" s="10" t="e" vm="1">
        <v>#VALUE!</v>
      </c>
      <c r="C1" s="20" t="s">
        <v>736</v>
      </c>
      <c r="K1"/>
    </row>
    <row r="2" spans="1:24" s="3" customFormat="1" ht="20.100000000000001" customHeight="1" x14ac:dyDescent="0.25">
      <c r="A2"/>
      <c r="K2"/>
    </row>
    <row r="3" spans="1:24" ht="20.100000000000001" customHeight="1" x14ac:dyDescent="0.25">
      <c r="A3" s="5" t="str">
        <f>HYPERLINK("#'Home'!A1", "Home")</f>
        <v>Home</v>
      </c>
      <c r="C3" s="22"/>
      <c r="D3" s="22" t="s">
        <v>129</v>
      </c>
      <c r="E3" s="22"/>
      <c r="F3" s="22"/>
      <c r="G3" s="22"/>
      <c r="H3" s="22"/>
      <c r="I3" s="22"/>
      <c r="J3" s="22"/>
      <c r="L3" s="22"/>
      <c r="M3" s="22" t="s">
        <v>130</v>
      </c>
      <c r="N3" s="22"/>
      <c r="O3" s="22"/>
      <c r="P3" s="22"/>
      <c r="Q3" s="22"/>
      <c r="R3" s="22"/>
      <c r="S3" s="22"/>
      <c r="T3" s="22"/>
      <c r="U3" s="22"/>
      <c r="V3" s="22"/>
      <c r="W3" s="22"/>
      <c r="X3" s="22"/>
    </row>
    <row r="4" spans="1:24" ht="20.100000000000001" customHeight="1" x14ac:dyDescent="0.25">
      <c r="A4" s="5" t="str">
        <f>HYPERLINK("#'Results - Activity period'!A1", "Results - Activity period")</f>
        <v>Results - Activity period</v>
      </c>
    </row>
    <row r="5" spans="1:24" ht="20.100000000000001" customHeight="1" x14ac:dyDescent="0.25">
      <c r="A5" s="5" t="str">
        <f>HYPERLINK("#'Results - Product EI'!A1", "Results - Product Emissions Intensity")</f>
        <v>Results - Product Emissions Intensity</v>
      </c>
      <c r="D5" s="2" t="str" cm="1">
        <f t="array" ref="D5">Fertiliser_Equations_InorganicN2O.VEERG_5_1_1_1__2_MassOfNitrogenInInorganicFertiliser_Title()</f>
        <v>Mass of nitrogen in inorganic fertiliser applied to production system</v>
      </c>
      <c r="M5" s="79" t="s">
        <v>737</v>
      </c>
    </row>
    <row r="6" spans="1:24" ht="20.100000000000001" customHeight="1" x14ac:dyDescent="0.25">
      <c r="A6" s="5" t="str">
        <f>HYPERLINK("#'Results'!A1", "Results")</f>
        <v>Results</v>
      </c>
      <c r="D6" s="17" t="str" cm="1">
        <f t="array" ref="D6">Fertiliser_Equations_InorganicN2O.VEERG_5_1_1_1__2_MassOfNitrogenInInorganicFertiliser_Source()</f>
        <v>VEERG 2026: 5.1.1.1, Equation (2)</v>
      </c>
      <c r="M6" s="69" t="s">
        <v>738</v>
      </c>
      <c r="N6" s="69"/>
      <c r="O6" s="69"/>
      <c r="P6" s="69"/>
      <c r="Q6" s="69"/>
      <c r="R6" s="69"/>
      <c r="S6" s="69"/>
    </row>
    <row r="7" spans="1:24" ht="20.100000000000001" customHeight="1" x14ac:dyDescent="0.25">
      <c r="D7" s="117" t="s">
        <v>382</v>
      </c>
      <c r="E7" s="117" t="str" cm="1">
        <f t="array" aca="1" ref="E7" ca="1">Common_InputFunctions.Utility_DisplayFunctionName(G19)</f>
        <v>=Fertiliser_Equations_InorganicN2O.VEERG_5_1_1_1__2_MassOfNitrogenInInorganicFertiliser</v>
      </c>
      <c r="M7" s="121" t="s">
        <v>739</v>
      </c>
    </row>
    <row r="8" spans="1:24" ht="20.100000000000001" customHeight="1" x14ac:dyDescent="0.25">
      <c r="M8" s="122" t="s">
        <v>740</v>
      </c>
    </row>
    <row r="9" spans="1:24" ht="20.100000000000001" customHeight="1" x14ac:dyDescent="0.25">
      <c r="A9" s="7" t="s">
        <v>0</v>
      </c>
      <c r="O9" s="178" t="s">
        <v>741</v>
      </c>
      <c r="P9" s="178" t="s">
        <v>742</v>
      </c>
      <c r="Q9" s="178" t="s">
        <v>743</v>
      </c>
    </row>
    <row r="10" spans="1:24" ht="20.100000000000001" customHeight="1" x14ac:dyDescent="0.25">
      <c r="A10" s="5" t="str">
        <f>HYPERLINK("#'Input - Enterprise'!A1", "Enterprise")</f>
        <v>Enterprise</v>
      </c>
      <c r="D10" s="76" t="s">
        <v>383</v>
      </c>
      <c r="E10" s="1" t="str" cm="1">
        <f t="array" ref="E10">Fertiliser_Equations_InorganicN2O.VEERG_5_1_1_1__2_MassOfNitrogenInInorganicFertiliser_Variable()</f>
        <v>MN_jf</v>
      </c>
      <c r="M10" s="123" t="s">
        <v>744</v>
      </c>
      <c r="N10" s="81" t="s">
        <v>744</v>
      </c>
      <c r="O10" s="81" t="s">
        <v>745</v>
      </c>
      <c r="P10" s="81" t="s">
        <v>746</v>
      </c>
      <c r="Q10" s="123" t="s">
        <v>747</v>
      </c>
    </row>
    <row r="11" spans="1:24" ht="20.100000000000001" customHeight="1" x14ac:dyDescent="0.25">
      <c r="A11" s="5" t="str">
        <f>HYPERLINK("#'Input - Site'!A1", "Site")</f>
        <v>Site</v>
      </c>
      <c r="D11" s="76" t="s">
        <v>118</v>
      </c>
      <c r="E11" s="9" t="str" cm="1">
        <f t="array" ref="E11">Fertiliser_Equations_InorganicN2O.VEERG_5_1_1_1__2_MassOfNitrogenInInorganicFertiliser_Unit()</f>
        <v>kg N</v>
      </c>
      <c r="M11" s="15" t="s">
        <v>748</v>
      </c>
      <c r="N11" s="15" t="str" cm="1">
        <f t="array" ref="N11:N20">Table_Input_InorganicFertiliser_Brands[Product (select)]</f>
        <v>Urea</v>
      </c>
      <c r="O11" s="15" cm="1">
        <f t="array" ref="O11:O20">Table_Input_InorganicFertiliser_Brands[N application rate (kg/ha)]</f>
        <v>46</v>
      </c>
      <c r="P11" s="15" cm="1">
        <f t="array" ref="P11:P20">IF(Table_Input_InorganicFertiliser_Brands[N application rate (kg/ha)]&gt;0, Table_Input_InorganicFertiliser_Brands[Application area (ha)], 0)</f>
        <v>1000</v>
      </c>
      <c r="Q11" s="15">
        <f>O11*P11</f>
        <v>46000</v>
      </c>
    </row>
    <row r="12" spans="1:24" ht="20.100000000000001" customHeight="1" x14ac:dyDescent="0.25">
      <c r="A12" s="5" t="str">
        <f>HYPERLINK("#'Input - Dairy'!A1", "Dairy")</f>
        <v>Dairy</v>
      </c>
      <c r="M12" s="15" t="s">
        <v>748</v>
      </c>
      <c r="N12" s="15" t="str">
        <v>Boost-It</v>
      </c>
      <c r="O12" s="15">
        <v>24</v>
      </c>
      <c r="P12" s="15">
        <v>1000</v>
      </c>
      <c r="Q12" s="15">
        <f>O12*P12</f>
        <v>24000</v>
      </c>
    </row>
    <row r="13" spans="1:24" ht="20.100000000000001" customHeight="1" x14ac:dyDescent="0.25">
      <c r="A13" s="5" t="str">
        <f>HYPERLINK("#'Input - Livestock sales'!A1", "Livestock sales")</f>
        <v>Livestock sales</v>
      </c>
      <c r="D13" s="131" t="str" cm="1">
        <f t="array" ref="D13:E14">_xlfn.CHOOSECOLS(Fertiliser_Equations_InorganicN2O.VEERG_5_1_1_1__2_MassOfNitrogenInInorganicFertiliser_Arguments(), 1,2)</f>
        <v>TM_jf</v>
      </c>
      <c r="E13" s="131" t="str">
        <v>total mass of inorganic fertiliser type f applied to production system j</v>
      </c>
      <c r="F13" s="131"/>
      <c r="G13" s="131" t="str" cm="1">
        <f t="array" ref="G13:H14">_xlfn.CHOOSECOLS(Fertiliser_Equations_InorganicN2O.VEERG_5_1_1_1__2_MassOfNitrogenInInorganicFertiliser_Arguments(), 3,4)</f>
        <v>kg</v>
      </c>
      <c r="H13" s="120" t="str">
        <v>Input</v>
      </c>
      <c r="I13" s="126" t="str" cm="1">
        <f t="array" aca="1" ref="I13" ca="1">HYPERLINK(Common_InputFunctions.Utility_SourceHyperlink($D$16), $D$16)</f>
        <v>Table_MN_j_f</v>
      </c>
      <c r="M13" s="15" t="s">
        <v>748</v>
      </c>
      <c r="N13" s="15" t="str">
        <v>Cal-Gran 50/50</v>
      </c>
      <c r="O13" s="15">
        <v>17.899999999999999</v>
      </c>
      <c r="P13" s="15">
        <v>1000</v>
      </c>
      <c r="Q13" s="15">
        <f t="shared" ref="Q13:Q20" si="0">O13*P13</f>
        <v>17900</v>
      </c>
    </row>
    <row r="14" spans="1:24" ht="20.100000000000001" customHeight="1" x14ac:dyDescent="0.25">
      <c r="A14" s="5" t="str">
        <f>HYPERLINK("#'Input - Dairy cattle purchases'!A1", "Dairy cattle purchases")</f>
        <v>Dairy cattle purchases</v>
      </c>
      <c r="D14" s="131" t="str">
        <v>FN_inorganicf</v>
      </c>
      <c r="E14" s="134" t="str">
        <v xml:space="preserve">fraction of nitrogen in inorganic fertiliser type f </v>
      </c>
      <c r="F14" s="137"/>
      <c r="G14" s="131" t="str">
        <v>kg N/kg</v>
      </c>
      <c r="H14" s="127" t="str">
        <v>Constant</v>
      </c>
      <c r="I14" s="126" t="str" cm="1">
        <f t="array" aca="1" ref="I14" ca="1">HYPERLINK(Common_InputFunctions.Utility_SourceHyperlink($D$16), $D$16)</f>
        <v>Table_MN_j_f</v>
      </c>
      <c r="M14" s="15" t="s">
        <v>748</v>
      </c>
      <c r="N14" s="15">
        <v>0</v>
      </c>
      <c r="O14" s="15">
        <v>0</v>
      </c>
      <c r="P14" s="15">
        <v>0</v>
      </c>
      <c r="Q14" s="15">
        <f t="shared" si="0"/>
        <v>0</v>
      </c>
    </row>
    <row r="15" spans="1:24" ht="20.100000000000001" customHeight="1" x14ac:dyDescent="0.25">
      <c r="A15" s="5" t="str">
        <f>HYPERLINK("#'Input - Pasture'!A1", "Pasture")</f>
        <v>Pasture</v>
      </c>
      <c r="M15" s="15" t="s">
        <v>748</v>
      </c>
      <c r="N15" s="15">
        <v>0</v>
      </c>
      <c r="O15" s="15">
        <v>0</v>
      </c>
      <c r="P15" s="15">
        <v>0</v>
      </c>
      <c r="Q15" s="15">
        <f t="shared" si="0"/>
        <v>0</v>
      </c>
    </row>
    <row r="16" spans="1:24" ht="20.100000000000001" customHeight="1" x14ac:dyDescent="0.25">
      <c r="A16" s="5" t="str">
        <f>HYPERLINK("#'Input - Fert Prod System'!A1", "Fert Prod System")</f>
        <v>Fert Prod System</v>
      </c>
      <c r="D16" s="121" t="s">
        <v>749</v>
      </c>
      <c r="M16" s="15" t="s">
        <v>748</v>
      </c>
      <c r="N16" s="15">
        <v>0</v>
      </c>
      <c r="O16" s="15">
        <v>0</v>
      </c>
      <c r="P16" s="15">
        <v>0</v>
      </c>
      <c r="Q16" s="15">
        <f t="shared" si="0"/>
        <v>0</v>
      </c>
    </row>
    <row r="17" spans="1:17" ht="20.100000000000001" customHeight="1" x14ac:dyDescent="0.25">
      <c r="A17" s="5" t="str">
        <f>HYPERLINK("#'Input - Fertiliser'!A1", "Fertiliser")</f>
        <v>Fertiliser</v>
      </c>
      <c r="D17" s="122" t="s">
        <v>750</v>
      </c>
      <c r="M17" s="15" t="s">
        <v>748</v>
      </c>
      <c r="N17" s="15">
        <v>0</v>
      </c>
      <c r="O17" s="15">
        <v>0</v>
      </c>
      <c r="P17" s="15">
        <v>0</v>
      </c>
      <c r="Q17" s="15">
        <f t="shared" si="0"/>
        <v>0</v>
      </c>
    </row>
    <row r="18" spans="1:17" ht="20.100000000000001" customHeight="1" x14ac:dyDescent="0.25">
      <c r="A18" s="5" t="str">
        <f>HYPERLINK("#'Input - Fuel'!A1", "Fuel")</f>
        <v>Fuel</v>
      </c>
      <c r="D18" s="123" t="s">
        <v>751</v>
      </c>
      <c r="E18" s="81" t="s">
        <v>752</v>
      </c>
      <c r="F18" s="123" t="s">
        <v>753</v>
      </c>
      <c r="G18" s="123" t="s">
        <v>754</v>
      </c>
      <c r="M18" s="15" t="s">
        <v>748</v>
      </c>
      <c r="N18" s="15">
        <v>0</v>
      </c>
      <c r="O18" s="15">
        <v>0</v>
      </c>
      <c r="P18" s="15">
        <v>0</v>
      </c>
      <c r="Q18" s="15">
        <f t="shared" si="0"/>
        <v>0</v>
      </c>
    </row>
    <row r="19" spans="1:17" ht="20.100000000000001" customHeight="1" x14ac:dyDescent="0.25">
      <c r="A19" s="5" t="str">
        <f>HYPERLINK("#'Input - Electricity'!A1", "Electricity")</f>
        <v>Electricity</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f],Table_Fertiliser_ChemicalCompounds[FNinorganic f])</f>
        <v>0.1</v>
      </c>
      <c r="G19" s="15" cm="1">
        <f t="array" ref="G19">Fertiliser_Equations_InorganicN2O.VEERG_5_1_1_1__2_MassOfNitrogenInInorganicFertiliser(E19,F19)</f>
        <v>0</v>
      </c>
      <c r="M19" s="15" t="s">
        <v>748</v>
      </c>
      <c r="N19" s="15">
        <v>0</v>
      </c>
      <c r="O19" s="15">
        <v>0</v>
      </c>
      <c r="P19" s="15">
        <v>0</v>
      </c>
      <c r="Q19" s="15">
        <f t="shared" si="0"/>
        <v>0</v>
      </c>
    </row>
    <row r="20" spans="1:17" ht="20.100000000000001" customHeight="1" x14ac:dyDescent="0.25">
      <c r="A20" s="5" t="str">
        <f>HYPERLINK("#'Input - Common farm inputs'!A1", "Common farm inputs")</f>
        <v>Common farm inputs</v>
      </c>
      <c r="D20" s="15" t="str">
        <v>Diammonium phosphate (DAP)</v>
      </c>
      <c r="E20" s="1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f],Table_Fertiliser_ChemicalCompounds[FNinorganic f])</f>
        <v>0.18</v>
      </c>
      <c r="G20" s="15" cm="1">
        <f t="array" ref="G20">Fertiliser_Equations_InorganicN2O.VEERG_5_1_1_1__2_MassOfNitrogenInInorganicFertiliser(E20,F20)</f>
        <v>0</v>
      </c>
      <c r="M20" s="15" t="s">
        <v>748</v>
      </c>
      <c r="N20" s="15">
        <v>0</v>
      </c>
      <c r="O20" s="15">
        <v>0</v>
      </c>
      <c r="P20" s="15">
        <v>0</v>
      </c>
      <c r="Q20" s="15">
        <f t="shared" si="0"/>
        <v>0</v>
      </c>
    </row>
    <row r="21" spans="1:17" ht="20.100000000000001" customHeight="1" x14ac:dyDescent="0.25">
      <c r="A21" s="5" t="str">
        <f>HYPERLINK("#'Input - Crop pasture farm input'!A1", "Crop pasture farm input")</f>
        <v>Crop pasture farm input</v>
      </c>
      <c r="D21" s="15" t="str">
        <v>Urea</v>
      </c>
      <c r="E21" s="1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f],Table_Fertiliser_ChemicalCompounds[FNinorganic f])</f>
        <v>0.46</v>
      </c>
      <c r="G21" s="15" cm="1">
        <f t="array" ref="G21">Fertiliser_Equations_InorganicN2O.VEERG_5_1_1_1__2_MassOfNitrogenInInorganicFertiliser(E21,F21)</f>
        <v>115999.99400000001</v>
      </c>
      <c r="M21" s="15" t="s">
        <v>755</v>
      </c>
      <c r="N21" s="15" t="str" cm="1">
        <f t="array" ref="N21:N30">Table_Input_InorganicFertiliser_Custom[Custom blend name]</f>
        <v>My first custom blend</v>
      </c>
      <c r="O21" s="15" cm="1">
        <f t="array" ref="O21:O30">Table_Input_InorganicFertiliser_Custom[N application rate (kg/ha)]</f>
        <v>7.75</v>
      </c>
      <c r="P21" s="15" cm="1">
        <f t="array" ref="P21:P30">IF(Table_Input_InorganicFertiliser_Custom[N application rate (kg/ha)]&gt;0, Table_Input_InorganicFertiliser_Custom[Application area (ha)],0)</f>
        <v>1000</v>
      </c>
      <c r="Q21" s="15">
        <f>O21*P21</f>
        <v>7750</v>
      </c>
    </row>
    <row r="22" spans="1:17" ht="20.100000000000001" customHeight="1" x14ac:dyDescent="0.25">
      <c r="A22" s="5" t="str">
        <f>HYPERLINK("#'Input - Livestock farm Inputs'!A1", "Livestock farm Inputs")</f>
        <v>Livestock farm Inputs</v>
      </c>
      <c r="D22" s="15" t="str">
        <v>Sulphate of ammonia (SOA)</v>
      </c>
      <c r="E22" s="1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f],Table_Fertiliser_ChemicalCompounds[FNinorganic f])</f>
        <v>0.21</v>
      </c>
      <c r="G22" s="15" cm="1">
        <f t="array" ref="G22">Fertiliser_Equations_InorganicN2O.VEERG_5_1_1_1__2_MassOfNitrogenInInorganicFertiliser(E22,F22)</f>
        <v>0</v>
      </c>
      <c r="M22" s="15" t="s">
        <v>755</v>
      </c>
      <c r="N22" s="15" t="str">
        <v>My second custom blend</v>
      </c>
      <c r="O22" s="15">
        <v>46</v>
      </c>
      <c r="P22" s="15">
        <v>1000</v>
      </c>
      <c r="Q22" s="15">
        <f>O22*P22</f>
        <v>46000</v>
      </c>
    </row>
    <row r="23" spans="1:17" ht="20.100000000000001" customHeight="1" x14ac:dyDescent="0.25">
      <c r="A23" s="5" t="str">
        <f>HYPERLINK("#'Input - Freight'!A1", "Freight")</f>
        <v>Freight</v>
      </c>
      <c r="D23" s="15" t="str">
        <v>Urea-ammonium nitrate (UAN)</v>
      </c>
      <c r="E23" s="1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f],Table_Fertiliser_ChemicalCompounds[FNinorganic f])</f>
        <v>0.32</v>
      </c>
      <c r="G23" s="15" cm="1">
        <f t="array" ref="G23">Fertiliser_Equations_InorganicN2O.VEERG_5_1_1_1__2_MassOfNitrogenInInorganicFertiliser(E23,F23)</f>
        <v>0</v>
      </c>
      <c r="M23" s="15" t="s">
        <v>755</v>
      </c>
      <c r="N23" s="15" t="str">
        <v>My third custom blend</v>
      </c>
      <c r="O23" s="15">
        <v>41.174999999999997</v>
      </c>
      <c r="P23" s="15">
        <v>1000</v>
      </c>
      <c r="Q23" s="15">
        <f>O23*P23</f>
        <v>41175</v>
      </c>
    </row>
    <row r="24" spans="1:17" ht="20.100000000000001" customHeight="1" x14ac:dyDescent="0.25">
      <c r="A24" s="5" t="str">
        <f>HYPERLINK("#'Input - Solid waste'!A1", "Solid waste")</f>
        <v>Solid waste</v>
      </c>
      <c r="D24" s="15" t="str">
        <v>Ammonium nitrate (AN)</v>
      </c>
      <c r="E24" s="1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f],Table_Fertiliser_ChemicalCompounds[FNinorganic f])</f>
        <v>0.33700000000000002</v>
      </c>
      <c r="G24" s="15" cm="1">
        <f t="array" ref="G24">Fertiliser_Equations_InorganicN2O.VEERG_5_1_1_1__2_MassOfNitrogenInInorganicFertiliser(E24,F24)</f>
        <v>0</v>
      </c>
      <c r="J24" s="16"/>
      <c r="M24" s="15" t="s">
        <v>755</v>
      </c>
      <c r="N24" s="15">
        <v>0</v>
      </c>
      <c r="O24" s="15">
        <v>0</v>
      </c>
      <c r="P24" s="15">
        <v>0</v>
      </c>
      <c r="Q24" s="15">
        <f>O24*P24</f>
        <v>0</v>
      </c>
    </row>
    <row r="25" spans="1:17" ht="20.100000000000001" customHeight="1" x14ac:dyDescent="0.25">
      <c r="A25" s="5" t="str">
        <f>HYPERLINK("#'Input - Manure sent off-site'!A1", "Manure sent off-site")</f>
        <v>Manure sent off-site</v>
      </c>
      <c r="D25" s="15" t="str">
        <v>Calcium ammonium nitrate (CAN)</v>
      </c>
      <c r="E25" s="1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f],Table_Fertiliser_ChemicalCompounds[FNinorganic f])</f>
        <v>0.27</v>
      </c>
      <c r="G25" s="15" cm="1">
        <f t="array" ref="G25">Fertiliser_Equations_InorganicN2O.VEERG_5_1_1_1__2_MassOfNitrogenInInorganicFertiliser(E25,F25)</f>
        <v>0</v>
      </c>
      <c r="J25" s="16"/>
      <c r="M25" s="15" t="s">
        <v>755</v>
      </c>
      <c r="N25" s="15">
        <v>0</v>
      </c>
      <c r="O25" s="15">
        <v>0</v>
      </c>
      <c r="P25" s="15">
        <v>0</v>
      </c>
      <c r="Q25" s="15">
        <f>O25*P25</f>
        <v>0</v>
      </c>
    </row>
    <row r="26" spans="1:17" ht="20.100000000000001" customHeight="1" x14ac:dyDescent="0.25">
      <c r="A26" s="5" t="str">
        <f>HYPERLINK("#'Input - Refrigerants'!A1", "Refrigerants")</f>
        <v>Refrigerants</v>
      </c>
      <c r="D26" s="15" t="str">
        <v>Nitrogen - Ammoniacal</v>
      </c>
      <c r="E26" s="1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12400</v>
      </c>
      <c r="F26" s="15" cm="1">
        <f t="array" ref="F26">Common_InputFunctions.Utility_LookupValueInTableNumber(D26,Table_Fertiliser_ChemicalCompounds[Fertiliser type f],Table_Fertiliser_ChemicalCompounds[FNinorganic f])</f>
        <v>1</v>
      </c>
      <c r="G26" s="15" cm="1">
        <f t="array" ref="G26">Fertiliser_Equations_InorganicN2O.VEERG_5_1_1_1__2_MassOfNitrogenInInorganicFertiliser(E26,F26)</f>
        <v>12400</v>
      </c>
      <c r="M26" s="15" t="s">
        <v>755</v>
      </c>
      <c r="N26" s="15">
        <v>0</v>
      </c>
      <c r="O26" s="15">
        <v>0</v>
      </c>
      <c r="P26" s="15">
        <v>0</v>
      </c>
      <c r="Q26" s="15">
        <f t="shared" ref="Q26:Q30" si="1">O26*P26</f>
        <v>0</v>
      </c>
    </row>
    <row r="27" spans="1:17" ht="20.100000000000001" customHeight="1" x14ac:dyDescent="0.25">
      <c r="A27" s="5" t="str">
        <f>HYPERLINK("#'Input - Data quality'!A1", "Data quality")</f>
        <v>Data quality</v>
      </c>
      <c r="D27" s="15" t="str">
        <v>Nitrogen - Nitrate</v>
      </c>
      <c r="E27" s="1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5500</v>
      </c>
      <c r="F27" s="15" cm="1">
        <f t="array" ref="F27">Common_InputFunctions.Utility_LookupValueInTableNumber(D27,Table_Fertiliser_ChemicalCompounds[Fertiliser type f],Table_Fertiliser_ChemicalCompounds[FNinorganic f])</f>
        <v>1</v>
      </c>
      <c r="G27" s="15" cm="1">
        <f t="array" ref="G27">Fertiliser_Equations_InorganicN2O.VEERG_5_1_1_1__2_MassOfNitrogenInInorganicFertiliser(E27,F27)</f>
        <v>5500</v>
      </c>
      <c r="M27" s="15" t="s">
        <v>755</v>
      </c>
      <c r="N27" s="15">
        <v>0</v>
      </c>
      <c r="O27" s="15">
        <v>0</v>
      </c>
      <c r="P27" s="15">
        <v>0</v>
      </c>
      <c r="Q27" s="15">
        <f t="shared" si="1"/>
        <v>0</v>
      </c>
    </row>
    <row r="28" spans="1:17" ht="20.100000000000001" customHeight="1" x14ac:dyDescent="0.25">
      <c r="D28" s="15" t="str">
        <v>Nitrogen - Generic</v>
      </c>
      <c r="E28" s="1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f],Table_Fertiliser_ChemicalCompounds[FNinorganic f])</f>
        <v>1</v>
      </c>
      <c r="G28" s="15" cm="1">
        <f t="array" ref="G28">Fertiliser_Equations_InorganicN2O.VEERG_5_1_1_1__2_MassOfNitrogenInInorganicFertiliser(E28,F28)</f>
        <v>0</v>
      </c>
      <c r="M28" s="15" t="s">
        <v>755</v>
      </c>
      <c r="N28" s="15">
        <v>0</v>
      </c>
      <c r="O28" s="15">
        <v>0</v>
      </c>
      <c r="P28" s="15">
        <v>0</v>
      </c>
      <c r="Q28" s="15">
        <f t="shared" si="1"/>
        <v>0</v>
      </c>
    </row>
    <row r="29" spans="1:17" ht="20.100000000000001" customHeight="1" x14ac:dyDescent="0.25">
      <c r="D29" s="15" t="str">
        <v>Phosphorus - Generic</v>
      </c>
      <c r="E29" s="1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5200</v>
      </c>
      <c r="F29" s="15" cm="1">
        <f t="array" ref="F29">Common_InputFunctions.Utility_LookupValueInTableNumber(D29,Table_Fertiliser_ChemicalCompounds[Fertiliser type f],Table_Fertiliser_ChemicalCompounds[FNinorganic f])</f>
        <v>0</v>
      </c>
      <c r="G29" s="15" cm="1">
        <f t="array" ref="G29">Fertiliser_Equations_InorganicN2O.VEERG_5_1_1_1__2_MassOfNitrogenInInorganicFertiliser(E29,F29)</f>
        <v>0</v>
      </c>
      <c r="M29" s="15" t="s">
        <v>755</v>
      </c>
      <c r="N29" s="15">
        <v>0</v>
      </c>
      <c r="O29" s="15">
        <v>0</v>
      </c>
      <c r="P29" s="15">
        <v>0</v>
      </c>
      <c r="Q29" s="15">
        <f t="shared" si="1"/>
        <v>0</v>
      </c>
    </row>
    <row r="30" spans="1:17" ht="20.100000000000001" customHeight="1" x14ac:dyDescent="0.25">
      <c r="A30" s="6" t="s">
        <v>2</v>
      </c>
      <c r="D30" s="15" t="str">
        <v>Potassium - Generic</v>
      </c>
      <c r="E30" s="1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43000</v>
      </c>
      <c r="F30" s="15" cm="1">
        <f t="array" ref="F30">Common_InputFunctions.Utility_LookupValueInTableNumber(D30,Table_Fertiliser_ChemicalCompounds[Fertiliser type f],Table_Fertiliser_ChemicalCompounds[FNinorganic f])</f>
        <v>0</v>
      </c>
      <c r="G30" s="15" cm="1">
        <f t="array" ref="G30">Fertiliser_Equations_InorganicN2O.VEERG_5_1_1_1__2_MassOfNitrogenInInorganicFertiliser(E30,F30)</f>
        <v>0</v>
      </c>
      <c r="M30" s="15" t="s">
        <v>755</v>
      </c>
      <c r="N30" s="15">
        <v>0</v>
      </c>
      <c r="O30" s="15">
        <v>0</v>
      </c>
      <c r="P30" s="15">
        <v>0</v>
      </c>
      <c r="Q30" s="15">
        <f t="shared" si="1"/>
        <v>0</v>
      </c>
    </row>
    <row r="31" spans="1:17" ht="20.100000000000001" customHeight="1" x14ac:dyDescent="0.25">
      <c r="A31" s="5" t="str">
        <f>HYPERLINK("#'3.3.1.1-2 Enteric Methane'!A1", "3.3.1.1-2 Enteric methane")</f>
        <v>3.3.1.1-2 Enteric methane</v>
      </c>
      <c r="D31" s="15" t="str">
        <v>Sulfur - Generic</v>
      </c>
      <c r="E31" s="1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18900</v>
      </c>
      <c r="F31" s="15" cm="1">
        <f t="array" ref="F31">Common_InputFunctions.Utility_LookupValueInTableNumber(D31,Table_Fertiliser_ChemicalCompounds[Fertiliser type f],Table_Fertiliser_ChemicalCompounds[FNinorganic f])</f>
        <v>0</v>
      </c>
      <c r="G31" s="15" cm="1">
        <f t="array" ref="G31">Fertiliser_Equations_InorganicN2O.VEERG_5_1_1_1__2_MassOfNitrogenInInorganicFertiliser(E31,F31)</f>
        <v>0</v>
      </c>
    </row>
    <row r="32" spans="1:17" ht="20.100000000000001" customHeight="1" x14ac:dyDescent="0.25">
      <c r="A32" s="5" t="str">
        <f>HYPERLINK("#'4.3.1.1-2 Methane'!A1", "4.3.1.1-2 Manure methane")</f>
        <v>4.3.1.1-2 Manure methane</v>
      </c>
      <c r="D32" s="15" t="str">
        <v>Zinc - Generic</v>
      </c>
      <c r="E32" s="1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20000</v>
      </c>
      <c r="F32" s="15" cm="1">
        <f t="array" ref="F32">Common_InputFunctions.Utility_LookupValueInTableNumber(D32,Table_Fertiliser_ChemicalCompounds[Fertiliser type f],Table_Fertiliser_ChemicalCompounds[FNinorganic f])</f>
        <v>0</v>
      </c>
      <c r="G32" s="15" cm="1">
        <f t="array" ref="G32">Fertiliser_Equations_InorganicN2O.VEERG_5_1_1_1__2_MassOfNitrogenInInorganicFertiliser(E32,F32)</f>
        <v>0</v>
      </c>
    </row>
    <row r="33" spans="1:24" ht="20.100000000000001" customHeight="1" x14ac:dyDescent="0.25">
      <c r="A33" s="5" t="str">
        <f>HYPERLINK("#'4.3.1.3-4 Direct N20'!A1", "4.3.1.3-4 Direct N20")</f>
        <v>4.3.1.3-4 Direct N20</v>
      </c>
      <c r="D33" s="15" t="str">
        <v>Muriate of potash (MOP)</v>
      </c>
      <c r="E33" s="1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f],Table_Fertiliser_ChemicalCompounds[FNinorganic f])</f>
        <v>0</v>
      </c>
      <c r="G33" s="15" cm="1">
        <f t="array" ref="G33">Fertiliser_Equations_InorganicN2O.VEERG_5_1_1_1__2_MassOfNitrogenInInorganicFertiliser(E33,F33)</f>
        <v>0</v>
      </c>
      <c r="M33" s="92" t="s">
        <v>756</v>
      </c>
      <c r="N33" s="88">
        <f>SUM(Q11:Q30)</f>
        <v>182825</v>
      </c>
    </row>
    <row r="34" spans="1:24" ht="20.100000000000001" customHeight="1" x14ac:dyDescent="0.25">
      <c r="A34" s="5" t="str">
        <f>HYPERLINK("#'4.3.1.5 Atmos deposition'!A1", "4.3.1.5 Atmos deposition")</f>
        <v>4.3.1.5 Atmos deposition</v>
      </c>
      <c r="D34" s="15" t="str">
        <v>Double superphosphate</v>
      </c>
      <c r="E34" s="1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f],Table_Fertiliser_ChemicalCompounds[FNinorganic f])</f>
        <v>0</v>
      </c>
      <c r="G34" s="15" cm="1">
        <f t="array" ref="G34">Fertiliser_Equations_InorganicN2O.VEERG_5_1_1_1__2_MassOfNitrogenInInorganicFertiliser(E34,F34)</f>
        <v>0</v>
      </c>
      <c r="M34" s="76" t="s">
        <v>757</v>
      </c>
      <c r="N34" s="1">
        <f>MAX(P11:P30)</f>
        <v>1000</v>
      </c>
    </row>
    <row r="35" spans="1:24" ht="20.100000000000001" customHeight="1" x14ac:dyDescent="0.25">
      <c r="A35" s="5" t="str">
        <f>HYPERLINK("#'4.3.1.6-7 Leaching and runoff'!A1", "4.3.1.6-7 Leaching &amp; runoff")</f>
        <v>4.3.1.6-7 Leaching &amp; runoff</v>
      </c>
      <c r="D35" s="15" t="str">
        <v>Single superphosphate (SSP)</v>
      </c>
      <c r="E35" s="1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f],Table_Fertiliser_ChemicalCompounds[FNinorganic f])</f>
        <v>0</v>
      </c>
      <c r="G35" s="15" cm="1">
        <f t="array" ref="G35">Fertiliser_Equations_InorganicN2O.VEERG_5_1_1_1__2_MassOfNitrogenInInorganicFertiliser(E35,F35)</f>
        <v>0</v>
      </c>
      <c r="M35" s="76" t="s">
        <v>758</v>
      </c>
      <c r="N35" s="1">
        <f>N33/N34</f>
        <v>182.82499999999999</v>
      </c>
    </row>
    <row r="36" spans="1:24" ht="20.100000000000001" customHeight="1" x14ac:dyDescent="0.25">
      <c r="A36" s="5" t="str">
        <f>HYPERLINK("#'4.3.1.8 Manure applied to soils'!A1", "4.3.1.8 Manure applied to soils")</f>
        <v>4.3.1.8 Manure applied to soils</v>
      </c>
      <c r="D36" s="15" t="str">
        <v>Ammonia</v>
      </c>
      <c r="E36" s="1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6" s="15" cm="1">
        <f t="array" ref="F36">Common_InputFunctions.Utility_LookupValueInTableNumber(D36,Table_Fertiliser_ChemicalCompounds[Fertiliser type f],Table_Fertiliser_ChemicalCompounds[FNinorganic f])</f>
        <v>0.82350000000000001</v>
      </c>
      <c r="G36" s="15" cm="1">
        <f t="array" ref="G36">Fertiliser_Equations_InorganicN2O.VEERG_5_1_1_1__2_MassOfNitrogenInInorganicFertiliser(E36,F36)</f>
        <v>41175</v>
      </c>
    </row>
    <row r="37" spans="1:24" ht="20.100000000000001" customHeight="1" x14ac:dyDescent="0.25">
      <c r="A37" s="5" t="str">
        <f>HYPERLINK("#'4.3.1.9 Soil direct N2O'!A1", "4.3.1.9 Soil direct N2O")</f>
        <v>4.3.1.9 Soil direct N2O</v>
      </c>
      <c r="D37" s="15" t="str">
        <v>Calcium nitrate</v>
      </c>
      <c r="E37" s="1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7" s="15" cm="1">
        <f t="array" ref="F37">Common_InputFunctions.Utility_LookupValueInTableNumber(D37,Table_Fertiliser_ChemicalCompounds[Fertiliser type f],Table_Fertiliser_ChemicalCompounds[FNinorganic f])</f>
        <v>0.155</v>
      </c>
      <c r="G37" s="15" cm="1">
        <f t="array" ref="G37">Fertiliser_Equations_InorganicN2O.VEERG_5_1_1_1__2_MassOfNitrogenInInorganicFertiliser(E37,F37)</f>
        <v>7750</v>
      </c>
      <c r="L37" s="88"/>
      <c r="M37" s="88"/>
      <c r="N37" s="88"/>
      <c r="O37" s="88"/>
      <c r="P37" s="88"/>
      <c r="Q37" s="88"/>
      <c r="R37" s="88"/>
      <c r="S37" s="88"/>
      <c r="T37" s="88"/>
      <c r="U37" s="88"/>
      <c r="V37" s="88"/>
      <c r="W37" s="88"/>
      <c r="X37" s="88"/>
    </row>
    <row r="38" spans="1:24" ht="20.100000000000001" customHeight="1" x14ac:dyDescent="0.25">
      <c r="A38" s="5" t="str">
        <f>HYPERLINK("#'4.3.1.10-11 Soil Atmos Dep'!A1", "4.3.1.10-11 Soil Atmos Deposition")</f>
        <v>4.3.1.10-11 Soil Atmos Deposition</v>
      </c>
    </row>
    <row r="39" spans="1:24" ht="20.100000000000001" customHeight="1" x14ac:dyDescent="0.25">
      <c r="A39" s="5" t="str">
        <f>HYPERLINK("#'4.3.1.12-13 Soil leach runoff'!A1", "4.3.1.12-13 Soil leach &amp; runoff")</f>
        <v>4.3.1.12-13 Soil leach &amp; runoff</v>
      </c>
      <c r="C39" s="88"/>
      <c r="D39" s="88"/>
      <c r="E39" s="88"/>
      <c r="F39" s="88"/>
      <c r="G39" s="88"/>
      <c r="H39" s="88"/>
      <c r="I39" s="88"/>
      <c r="J39" s="88"/>
      <c r="M39" s="2" t="str" cm="1">
        <f t="array" ref="M39">Fertiliser_Equations_InorganicN2O.VEERG_5_1_1_2__1_EmissionFactorIrrigatedMaize_Title()</f>
        <v>Emission factor for nitrous oxide for irrigated maize</v>
      </c>
    </row>
    <row r="40" spans="1:24" ht="20.100000000000001" customHeight="1" x14ac:dyDescent="0.25">
      <c r="A40" s="118" t="str">
        <f>HYPERLINK("#'5.1.1.1-2 Inorganic fert N2O'!A1", "5.1.1.1-2 Inorganic fert N2O")</f>
        <v>5.1.1.1-2 Inorganic fert N2O</v>
      </c>
      <c r="D40" s="2" t="str" cm="1">
        <f t="array" ref="D40">Fertiliser_Equations_InorganicN2O.VEERG_5_1_1_1__1_InorganicFertiliserApplicationN2OEmissions_Title()</f>
        <v>Nitrous oxide emissions from the application of all inorganic fertiliser types f to all production systems j</v>
      </c>
      <c r="M40" s="17" t="str" cm="1">
        <f t="array" ref="M40">Fertiliser_Equations_InorganicN2O.VEERG_5_1_1_2__1_EmissionFactorIrrigatedMaize_Source()</f>
        <v>VEERG 2026: 5.1.1.2, Equation (1)</v>
      </c>
    </row>
    <row r="41" spans="1:24" ht="20.100000000000001" customHeight="1" x14ac:dyDescent="0.25">
      <c r="A41" s="5" t="str">
        <f>HYPERLINK("#'5.1.1.3-4 Inorganic fert CO2'!A1", "5.1.1.3-4 Inorganic fert CO2")</f>
        <v>5.1.1.3-4 Inorganic fert CO2</v>
      </c>
      <c r="D41" s="17" t="str" cm="1">
        <f t="array" ref="D41">Fertiliser_Equations_InorganicN2O.VEERG_5_1_1_1__1_InorganicFertiliserApplicationN2OEmissions_Source()</f>
        <v>VEERG 2026: 5.1.1.1, Equation (1)</v>
      </c>
    </row>
    <row r="42" spans="1:24" ht="20.100000000000001" customHeight="1" x14ac:dyDescent="0.25">
      <c r="A42" s="5" t="str">
        <f>HYPERLINK("#'5.2.1.1-2 Organic Fert N2O'!A1", "5.2.1.1-2 Organic fert N2O")</f>
        <v>5.2.1.1-2 Organic fert N2O</v>
      </c>
      <c r="D42" s="117" t="s">
        <v>382</v>
      </c>
      <c r="E42" s="117" t="str" cm="1">
        <f t="array" aca="1" ref="E42" ca="1">Common_InputFunctions.Utility_DisplayFunctionName($E$60)</f>
        <v>=Fertiliser_Equations_InorganicN2O.VEERG_5_1_1_1__1_InorganicFertiliserApplicationN2OEmissions</v>
      </c>
      <c r="F42" s="16"/>
    </row>
    <row r="43" spans="1:24" ht="20.100000000000001" customHeight="1" x14ac:dyDescent="0.25">
      <c r="A43" s="5" t="str">
        <f>HYPERLINK("#'5.3.1.1-2 Lime CO2'!A1", "5.3.1.1-2 Lime CO2")</f>
        <v>5.3.1.1-2 Lime CO2</v>
      </c>
      <c r="F43" s="16"/>
      <c r="M43" s="76" t="s">
        <v>383</v>
      </c>
      <c r="N43" s="1" t="str" cm="1">
        <f t="array" ref="N43">Fertiliser_Equations_InorganicN2O.VEERG_5_1_1_2__1_EmissionFactorIrrigatedMaize_Variable()</f>
        <v>EF_fjIrrigatedMaizeN2O</v>
      </c>
    </row>
    <row r="44" spans="1:24" ht="20.100000000000001" customHeight="1" x14ac:dyDescent="0.25">
      <c r="A44" s="5" t="str">
        <f>HYPERLINK("#'5.4.1.1-4 Atmos deposition'!A1", "5.4.1.1-4 Atmos. deposition")</f>
        <v>5.4.1.1-4 Atmos. deposition</v>
      </c>
      <c r="F44" s="16"/>
      <c r="M44" s="76" t="s">
        <v>118</v>
      </c>
      <c r="N44" s="9" t="str" cm="1">
        <f t="array" ref="N44">Fertiliser_Equations_InorganicN2O.VEERG_5_1_1_2__1_EmissionFactorIrrigatedMaize_Unit()</f>
        <v>kg N2O-N/kg N applied</v>
      </c>
    </row>
    <row r="45" spans="1:24" ht="20.100000000000001" customHeight="1" x14ac:dyDescent="0.25">
      <c r="A45" s="5" t="str">
        <f>HYPERLINK("#'5.5.1.1-2 Leaching and runoff'!A1", "5.5.1.1-2 Leaching &amp; runoff")</f>
        <v>5.5.1.1-2 Leaching &amp; runoff</v>
      </c>
      <c r="F45" s="16"/>
    </row>
    <row r="46" spans="1:24" ht="20.100000000000001" customHeight="1" x14ac:dyDescent="0.25">
      <c r="A46" s="5" t="str">
        <f>HYPERLINK("#'6.2.1.1-2 Pasture residue N2O'!A1", "6.2.1.1-2 Pasture residue N2O")</f>
        <v>6.2.1.1-2 Pasture residue N2O</v>
      </c>
      <c r="D46" s="76" t="s">
        <v>383</v>
      </c>
      <c r="E46" s="1" t="str" cm="1">
        <f t="array" ref="E46">Fertiliser_Equations_InorganicN2O.VEERG_5_1_1_1__1_InorganicFertiliserApplicationN2OEmissions_Variable()</f>
        <v>E_N2O</v>
      </c>
      <c r="F46" s="16"/>
      <c r="M46" s="131" t="str" cm="1">
        <f t="array" ref="M46:N47">_xlfn.CHOOSECOLS(Fertiliser_Equations_InorganicN2O.VEERG_5_1_1_2__1_EmissionFactorIrrigatedMaize_Arguments(), 1, 2)</f>
        <v>N_fjIrrigatedMaize</v>
      </c>
      <c r="N46" s="134" t="str">
        <v>application rate of inorganic fertiliser type f in the irrigated maize crop</v>
      </c>
      <c r="O46" s="140"/>
      <c r="P46" s="131" t="str" cm="1">
        <f t="array" ref="P46:Q47">_xlfn.CHOOSECOLS(Fertiliser_Equations_InorganicN2O.VEERG_5_1_1_2__1_EmissionFactorIrrigatedMaize_Arguments(), 3,4)</f>
        <v>kg N/ha</v>
      </c>
      <c r="Q46" s="120" t="str">
        <v>Input</v>
      </c>
      <c r="R46" s="124">
        <f>$N$35</f>
        <v>182.82499999999999</v>
      </c>
      <c r="S46" s="179"/>
    </row>
    <row r="47" spans="1:24" ht="20.100000000000001" customHeight="1" x14ac:dyDescent="0.25">
      <c r="A47" s="5" t="str">
        <f>HYPERLINK("#'6.3.1.1-2 Leach runoff pasture'!A1", "6.3.1.1-2 Leach &amp; runoff (pasture)")</f>
        <v>6.3.1.1-2 Leach &amp; runoff (pasture)</v>
      </c>
      <c r="D47" s="76" t="s">
        <v>118</v>
      </c>
      <c r="E47" s="9" t="str" cm="1">
        <f t="array" ref="E47">Fertiliser_Equations_InorganicN2O.VEERG_5_1_1_1__1_InorganicFertiliserApplicationN2OEmissions_Unit()</f>
        <v>t N2O</v>
      </c>
      <c r="F47" s="16"/>
      <c r="M47" s="131" t="str">
        <v>f</v>
      </c>
      <c r="N47" s="134" t="str">
        <v>Inorganic fertiliser type</v>
      </c>
      <c r="O47" s="140"/>
      <c r="P47" s="131" t="str">
        <v/>
      </c>
      <c r="Q47" s="127" t="str">
        <v>Constant</v>
      </c>
      <c r="R47" s="134" t="s">
        <v>759</v>
      </c>
      <c r="S47" s="179"/>
    </row>
    <row r="48" spans="1:24" ht="20.100000000000001" customHeight="1" x14ac:dyDescent="0.25">
      <c r="A48" s="5" t="str">
        <f>HYPERLINK("#'8.1.1.1-2 Transport fuel'!A1", "8.1.1.1-2 Transport fuel")</f>
        <v>8.1.1.1-2 Transport fuel</v>
      </c>
      <c r="F48" s="16"/>
    </row>
    <row r="49" spans="1:19" ht="20.100000000000001" customHeight="1" x14ac:dyDescent="0.25">
      <c r="A49" s="5" t="str">
        <f>HYPERLINK("#'8.2.1.1-2 Stationary fuel'!A1", "8.2.1.1-2 Stationary fuel")</f>
        <v>8.2.1.1-2 Stationary fuel</v>
      </c>
      <c r="D49" s="131" t="str" cm="1">
        <f t="array" ref="D49:E55">_xlfn.CHOOSECOLS(Fertiliser_Equations_InorganicN2O.VEERG_5_1_1_1__1_InorganicFertiliserApplicationN2OEmissions_Arguments(), 1, 2)</f>
        <v>MN_jf</v>
      </c>
      <c r="E49" s="134" t="str">
        <v>mass of nitrogen in inorganic fertiliser type f applied to production system j</v>
      </c>
      <c r="F49" s="140"/>
      <c r="G49" s="131" t="str" cm="1">
        <f t="array" ref="G49:H55">_xlfn.CHOOSECOLS(Fertiliser_Equations_InorganicN2O.VEERG_5_1_1_1__1_InorganicFertiliserApplicationN2OEmissions_Arguments(), 3,4)</f>
        <v>kg N</v>
      </c>
      <c r="H49" s="127" t="str">
        <v>Calculated from 5.1.1.1 (2)</v>
      </c>
      <c r="I49" s="126" t="str" cm="1">
        <f t="array" aca="1" ref="I49" ca="1">HYPERLINK(Common_InputFunctions.Utility_SourceHyperlink(D16), D16)</f>
        <v>Table_MN_j_f</v>
      </c>
      <c r="M49" s="1" t="s">
        <v>760</v>
      </c>
      <c r="N49" s="1" cm="1">
        <f t="array" ref="N49">Fertiliser_Equations_InorganicN2O.VEERG_5_1_1_2__1_EmissionFactorIrrigatedMaize(R46)</f>
        <v>9.6783250000000015E-3</v>
      </c>
      <c r="O49" s="9" t="str">
        <f>N44</f>
        <v>kg N2O-N/kg N applied</v>
      </c>
    </row>
    <row r="50" spans="1:19" ht="20.100000000000001" customHeight="1" x14ac:dyDescent="0.25">
      <c r="A50" s="5" t="str">
        <f>HYPERLINK("#'9.1.1.1-2 Refrigerant use'!A1", "9.1.1.1-2 Refrigerant use")</f>
        <v>9.1.1.1-2 Refrigerant use</v>
      </c>
      <c r="D50" s="131" t="str">
        <v>EF_jN2O</v>
      </c>
      <c r="E50" s="134" t="str">
        <v>emission factor for nitrous oxide for inorganic fertilisers</v>
      </c>
      <c r="F50" s="140"/>
      <c r="G50" s="131" t="str">
        <v>kg N2O-N/kg N applied</v>
      </c>
      <c r="H50" s="127" t="str">
        <v>Constant</v>
      </c>
      <c r="I50" s="131">
        <f>Common_InputFunctions.Utility_LookupN2OEFFromProdIrrigationRainfall(I52,I54,I55,Table_SourceData_Common_EFN2O[Production system only],Table_SourceData_Common_EFN2O[Irrigation method],Table_SourceData_Common_EFN2O[Rainfall zone],Table_SourceData_Common_EFN2O[EFN2O])</f>
        <v>5.8999999999999999E-3</v>
      </c>
    </row>
    <row r="51" spans="1:19" ht="20.100000000000001" customHeight="1" x14ac:dyDescent="0.25">
      <c r="A51" s="5" t="str">
        <f>HYPERLINK("#'10.1.1-2 Solid waste treatment'!A1", "10.1.1.1-2 Solid waste")</f>
        <v>10.1.1.1-2 Solid waste</v>
      </c>
      <c r="D51" s="131" t="str">
        <v>C_N2O</v>
      </c>
      <c r="E51" s="134" t="str">
        <v>factor to convert elemental mass of nitrous oxide to molecular mass</v>
      </c>
      <c r="F51" s="140"/>
      <c r="G51" s="131" t="str">
        <v/>
      </c>
      <c r="H51" s="127" t="str">
        <v>Constant</v>
      </c>
      <c r="I51" s="131">
        <f>Common_InputFunctions.Utility_LookupValueInTableNumber("N2O",Table_GasToMolecularConversionFactor[Gas],Table_GasToMolecularConversionFactor[Conversion factor combined])</f>
        <v>1.5714285714285714</v>
      </c>
    </row>
    <row r="52" spans="1:19" ht="20.100000000000001" customHeight="1" x14ac:dyDescent="0.25">
      <c r="A52" s="5" t="str">
        <f>HYPERLINK("#'14.1.1-2 Purchased electricity'!A1", "14.1.1-2 Purchased electricity")</f>
        <v>14.1.1-2 Purchased electricity</v>
      </c>
      <c r="D52" s="131" t="str">
        <v>j</v>
      </c>
      <c r="E52" s="134" t="str">
        <v>Production system</v>
      </c>
      <c r="F52" s="140"/>
      <c r="G52" s="131" t="str">
        <v/>
      </c>
      <c r="H52" s="120" t="str">
        <v>Input</v>
      </c>
      <c r="I52" s="131" t="str">
        <f>X_Cell_Fertiliser_ProductionSystem</f>
        <v>Pasture</v>
      </c>
    </row>
    <row r="53" spans="1:19" ht="20.100000000000001" customHeight="1" x14ac:dyDescent="0.25">
      <c r="A53" s="5" t="str">
        <f>HYPERLINK("#'15 Scope 3'!A1", "15 Scope 3")</f>
        <v>15 Scope 3</v>
      </c>
      <c r="D53" s="131" t="str">
        <v>f</v>
      </c>
      <c r="E53" s="134" t="str">
        <v>Inorganic fertiliser type</v>
      </c>
      <c r="F53" s="140"/>
      <c r="G53" s="131" t="str">
        <v/>
      </c>
      <c r="H53" s="127" t="str">
        <v>Constant</v>
      </c>
      <c r="I53" s="131" t="str">
        <f>"See " &amp; D57</f>
        <v>See M1_Table_E_N2O</v>
      </c>
      <c r="M53" s="2" t="str" cm="1">
        <f t="array" ref="M53">Fertiliser_Equations_InorganicN2O.VEERG_5_1_1_2__2_EmissionFactorNonIrrigatedGrainsHighRainfall_Title()</f>
        <v>Emission factor for nitrous oxide for non-irrigated grains in high rainfall zone</v>
      </c>
    </row>
    <row r="54" spans="1:19" ht="20.100000000000001" customHeight="1" x14ac:dyDescent="0.25">
      <c r="A54" s="5" t="str">
        <f>HYPERLINK("#'Calcs - Manure sent off-site'!A1", "Calcs - Manure sent off-site")</f>
        <v>Calcs - Manure sent off-site</v>
      </c>
      <c r="D54" s="131" t="str">
        <v>ir</v>
      </c>
      <c r="E54" s="134" t="str">
        <v>irrigation method</v>
      </c>
      <c r="F54" s="140"/>
      <c r="G54" s="131" t="str">
        <v/>
      </c>
      <c r="H54" s="120" t="str">
        <v>Input</v>
      </c>
      <c r="I54" s="131" t="str">
        <f>X_Cell_Fertiliser_IrrigationMethod</f>
        <v>Surface irrigation</v>
      </c>
      <c r="M54" s="17" t="str" cm="1">
        <f t="array" ref="M54">Fertiliser_Equations_InorganicN2O.VEERG_5_1_1_2__2_EmissionFactorNonIrrigatedGrainsHighRainfall_Source()</f>
        <v>VEERG 2026: 5.1.1.2, Equation (2)</v>
      </c>
    </row>
    <row r="55" spans="1:19" ht="20.100000000000001" customHeight="1" x14ac:dyDescent="0.25">
      <c r="D55" s="131" t="str">
        <v>z</v>
      </c>
      <c r="E55" s="134" t="str">
        <v>rainfall zone</v>
      </c>
      <c r="F55" s="140"/>
      <c r="G55" s="131" t="str">
        <v/>
      </c>
      <c r="H55" s="120" t="str">
        <v>Input</v>
      </c>
      <c r="I55" s="131" t="str">
        <f>X_Cell_Site_RainfallZone</f>
        <v>High rainfall</v>
      </c>
    </row>
    <row r="56" spans="1:19" ht="20.100000000000001" customHeight="1" x14ac:dyDescent="0.25">
      <c r="F56" s="16"/>
    </row>
    <row r="57" spans="1:19" ht="20.100000000000001" customHeight="1" x14ac:dyDescent="0.25">
      <c r="A57" s="82" t="s">
        <v>1</v>
      </c>
      <c r="D57" s="121" t="s">
        <v>761</v>
      </c>
      <c r="F57" s="16"/>
      <c r="M57" s="76" t="s">
        <v>383</v>
      </c>
      <c r="N57" s="1" t="str" cm="1">
        <f t="array" ref="N57">Fertiliser_Equations_InorganicN2O.VEERG_5_1_1_2__2_EmissionFactorNonIrrigatedGrainsHighRainfall_Variable()</f>
        <v>EF_fjNonIrrigatedGrainsN2O</v>
      </c>
    </row>
    <row r="58" spans="1:19" ht="20.100000000000001" customHeight="1" x14ac:dyDescent="0.25">
      <c r="A58" s="5" t="str">
        <f>HYPERLINK("#'Constants - Dairy'!A1", "Constants - Dairy")</f>
        <v>Constants - Dairy</v>
      </c>
      <c r="D58" s="122" t="s">
        <v>762</v>
      </c>
      <c r="F58" s="16"/>
      <c r="M58" s="76" t="s">
        <v>118</v>
      </c>
      <c r="N58" s="9" t="str" cm="1">
        <f t="array" ref="N58">Fertiliser_Equations_InorganicN2O.VEERG_5_1_1_2__2_EmissionFactorNonIrrigatedGrainsHighRainfall_Unit()</f>
        <v>kg N2O-N/kg N applied</v>
      </c>
    </row>
    <row r="59" spans="1:19" ht="20.100000000000001" customHeight="1" x14ac:dyDescent="0.25">
      <c r="A59" s="5" t="str">
        <f>HYPERLINK("#'Constants - Ag Residue'!A1", "Constants - Ag residue")</f>
        <v>Constants - Ag residue</v>
      </c>
      <c r="D59" s="123" t="s">
        <v>751</v>
      </c>
      <c r="E59" s="123" t="s">
        <v>763</v>
      </c>
    </row>
    <row r="60" spans="1:19" ht="20.100000000000001" customHeight="1" x14ac:dyDescent="0.25">
      <c r="A60" s="5" t="str">
        <f>HYPERLINK("#'Constants - Common Livestock'!A1", "Constants - Common Livestock")</f>
        <v>Constants - Common Livestock</v>
      </c>
      <c r="D60" s="15" t="str" cm="1">
        <f t="array" ref="D60:D78">Table_Fertiliser_ChemicalCompounds[Fertiliser type f]</f>
        <v>Monoammonium phosphate (MAP)</v>
      </c>
      <c r="E60" s="15" cm="1">
        <f t="array" ref="E60">Fertiliser_Equations_InorganicN2O.VEERG_5_1_1_1__1_InorganicFertiliserApplicationN2OEmissions(G19,$I$50,$I$51)</f>
        <v>0</v>
      </c>
      <c r="F60" s="16" t="str">
        <f>E47</f>
        <v>t N2O</v>
      </c>
      <c r="M60" s="131" t="str" cm="1">
        <f t="array" ref="M60:N61">_xlfn.CHOOSECOLS(Fertiliser_Equations_InorganicN2O.VEERG_5_1_1_2__2_EmissionFactorNonIrrigatedGrainsHighRainfall_Arguments(), 1, 2)</f>
        <v>N_fjNonIrrigatedGrains</v>
      </c>
      <c r="N60" s="134" t="str">
        <v>application rate of inorganic fertiliser type f in the grains crop</v>
      </c>
      <c r="O60" s="140"/>
      <c r="P60" s="131" t="str" cm="1">
        <f t="array" ref="P60:Q61">_xlfn.CHOOSECOLS(Fertiliser_Equations_InorganicN2O.VEERG_5_1_1_2__2_EmissionFactorNonIrrigatedGrainsHighRainfall_Arguments(), 3,4)</f>
        <v>kg N/ha</v>
      </c>
      <c r="Q60" s="120" t="str">
        <v>Input</v>
      </c>
      <c r="R60" s="124">
        <f>$N$35</f>
        <v>182.82499999999999</v>
      </c>
      <c r="S60" s="179"/>
    </row>
    <row r="61" spans="1:19" ht="20.100000000000001" customHeight="1" x14ac:dyDescent="0.25">
      <c r="A61" s="5" t="str">
        <f>HYPERLINK("#'Constants - Electricity'!A1", "Constants - Electricity")</f>
        <v>Constants - Electricity</v>
      </c>
      <c r="D61" s="15" t="str">
        <v>Diammonium phosphate (DAP)</v>
      </c>
      <c r="E61" s="15" cm="1">
        <f t="array" ref="E61">Fertiliser_Equations_InorganicN2O.VEERG_5_1_1_1__1_InorganicFertiliserApplicationN2OEmissions(G20,$I$50,$I$51)</f>
        <v>0</v>
      </c>
      <c r="M61" s="131" t="str">
        <v>f</v>
      </c>
      <c r="N61" s="134" t="str">
        <v>Inorganic fertiliser type</v>
      </c>
      <c r="O61" s="140"/>
      <c r="P61" s="131" t="str">
        <v/>
      </c>
      <c r="Q61" s="127" t="str">
        <v>Constant</v>
      </c>
      <c r="R61" s="134" t="s">
        <v>759</v>
      </c>
      <c r="S61" s="137"/>
    </row>
    <row r="62" spans="1:19" ht="20.100000000000001" customHeight="1" x14ac:dyDescent="0.25">
      <c r="A62" s="5" t="str">
        <f>HYPERLINK("#'Constants - Fertiliser'!A1", "Constants - Fertiliser")</f>
        <v>Constants - Fertiliser</v>
      </c>
      <c r="D62" s="15" t="str">
        <v>Urea</v>
      </c>
      <c r="E62" s="15" cm="1">
        <f t="array" ref="E62">Fertiliser_Equations_InorganicN2O.VEERG_5_1_1_1__1_InorganicFertiliserApplicationN2OEmissions(G21,$I$50,$I$51)</f>
        <v>1.0754856586571429</v>
      </c>
    </row>
    <row r="63" spans="1:19" ht="20.100000000000001" customHeight="1" x14ac:dyDescent="0.25">
      <c r="A63" s="5" t="str">
        <f>HYPERLINK("#'Constants - Fuel'!A1", "Constants - Fuel")</f>
        <v>Constants - Fuel</v>
      </c>
      <c r="D63" s="15" t="str">
        <v>Sulphate of ammonia (SOA)</v>
      </c>
      <c r="E63" s="15" cm="1">
        <f t="array" ref="E63">Fertiliser_Equations_InorganicN2O.VEERG_5_1_1_1__1_InorganicFertiliserApplicationN2OEmissions(G22,$I$50,$I$51)</f>
        <v>0</v>
      </c>
      <c r="M63" s="76" t="s">
        <v>764</v>
      </c>
      <c r="N63" s="1" cm="1">
        <f t="array" ref="N63">Fertiliser_Equations_InorganicN2O.VEERG_5_1_1_2__2_EmissionFactorNonIrrigatedGrainsHighRainfall(R60)</f>
        <v>1.4492874999999999E-2</v>
      </c>
      <c r="O63" s="9" t="str">
        <f>N58</f>
        <v>kg N2O-N/kg N applied</v>
      </c>
    </row>
    <row r="64" spans="1:19" ht="20.100000000000001" customHeight="1" x14ac:dyDescent="0.25">
      <c r="A64" s="5" t="str">
        <f>HYPERLINK("#'Constants - Scope 3'!A1", "Constants - Scope 3")</f>
        <v>Constants - Scope 3</v>
      </c>
      <c r="D64" s="15" t="str">
        <v>Urea-ammonium nitrate (UAN)</v>
      </c>
      <c r="E64" s="15" cm="1">
        <f t="array" ref="E64">Fertiliser_Equations_InorganicN2O.VEERG_5_1_1_1__1_InorganicFertiliserApplicationN2OEmissions(G23,$I$50,$I$51)</f>
        <v>0</v>
      </c>
    </row>
    <row r="65" spans="1:20" ht="20.100000000000001" customHeight="1" x14ac:dyDescent="0.25">
      <c r="A65" s="5" t="str">
        <f>HYPERLINK("#'Constants - Common'!A1", "Constants - Common")</f>
        <v>Constants - Common</v>
      </c>
      <c r="D65" s="15" t="str">
        <v>Ammonium nitrate (AN)</v>
      </c>
      <c r="E65" s="15" cm="1">
        <f t="array" ref="E65">Fertiliser_Equations_InorganicN2O.VEERG_5_1_1_1__1_InorganicFertiliserApplicationN2OEmissions(G24,$I$50,$I$51)</f>
        <v>0</v>
      </c>
    </row>
    <row r="66" spans="1:20" ht="20.100000000000001" customHeight="1" x14ac:dyDescent="0.25">
      <c r="A66" s="5" t="str">
        <f>HYPERLINK("#'Constants - Refrigerants'!A1", "Constants - Refrigerants")</f>
        <v>Constants - Refrigerants</v>
      </c>
      <c r="D66" s="15" t="str">
        <v>Calcium ammonium nitrate (CAN)</v>
      </c>
      <c r="E66" s="15" cm="1">
        <f t="array" ref="E66">Fertiliser_Equations_InorganicN2O.VEERG_5_1_1_1__1_InorganicFertiliserApplicationN2OEmissions(G25,$I$50,$I$51)</f>
        <v>0</v>
      </c>
      <c r="M66" s="2" t="str" cm="1">
        <f t="array" ref="M66">Fertiliser_Equations_InorganicN2O.VEERG_5_1_1_2__3_EmissionFactorCotton_Title()</f>
        <v>Emission factor for nitrous oxide for cotton</v>
      </c>
    </row>
    <row r="67" spans="1:20" ht="20.100000000000001" customHeight="1" x14ac:dyDescent="0.25">
      <c r="A67" s="5" t="str">
        <f>HYPERLINK("#'Constants - Solid Waste'!A1", "Constants - Solid Waste")</f>
        <v>Constants - Solid Waste</v>
      </c>
      <c r="D67" s="15" t="str">
        <v>Nitrogen - Ammoniacal</v>
      </c>
      <c r="E67" s="15" cm="1">
        <f t="array" ref="E67">Fertiliser_Equations_InorganicN2O.VEERG_5_1_1_1__1_InorganicFertiliserApplicationN2OEmissions(G26,$I$50,$I$51)</f>
        <v>0.11496571428571428</v>
      </c>
      <c r="M67" s="17" t="str" cm="1">
        <f t="array" ref="M67">Fertiliser_Equations_InorganicN2O.VEERG_5_1_1_2__3_EmissionFactorCotton_Source()</f>
        <v>VEERG 2026: 5.1.1.2, Equation (3)</v>
      </c>
    </row>
    <row r="68" spans="1:20" ht="20.100000000000001" customHeight="1" x14ac:dyDescent="0.25">
      <c r="A68" s="5" t="str">
        <f>HYPERLINK("#'Acknowledgements'!A1", "Acknowledgements")</f>
        <v>Acknowledgements</v>
      </c>
      <c r="D68" s="15" t="str">
        <v>Nitrogen - Nitrate</v>
      </c>
      <c r="E68" s="15" cm="1">
        <f t="array" ref="E68">Fertiliser_Equations_InorganicN2O.VEERG_5_1_1_1__1_InorganicFertiliserApplicationN2OEmissions(G27,$I$50,$I$51)</f>
        <v>5.0992857142857131E-2</v>
      </c>
    </row>
    <row r="69" spans="1:20" ht="20.100000000000001" customHeight="1" x14ac:dyDescent="0.25">
      <c r="D69" s="15" t="str">
        <v>Nitrogen - Generic</v>
      </c>
      <c r="E69" s="15" cm="1">
        <f t="array" ref="E69">Fertiliser_Equations_InorganicN2O.VEERG_5_1_1_1__1_InorganicFertiliserApplicationN2OEmissions(G28,$I$50,$I$51)</f>
        <v>0</v>
      </c>
    </row>
    <row r="70" spans="1:20" ht="20.100000000000001" customHeight="1" x14ac:dyDescent="0.25">
      <c r="D70" s="15" t="str">
        <v>Phosphorus - Generic</v>
      </c>
      <c r="E70" s="15" cm="1">
        <f t="array" ref="E70">Fertiliser_Equations_InorganicN2O.VEERG_5_1_1_1__1_InorganicFertiliserApplicationN2OEmissions(G29,$I$50,$I$51)</f>
        <v>0</v>
      </c>
    </row>
    <row r="71" spans="1:20" ht="20.100000000000001" customHeight="1" x14ac:dyDescent="0.25">
      <c r="D71" s="15" t="str">
        <v>Potassium - Generic</v>
      </c>
      <c r="E71" s="15" cm="1">
        <f t="array" ref="E71">Fertiliser_Equations_InorganicN2O.VEERG_5_1_1_1__1_InorganicFertiliserApplicationN2OEmissions(G30,$I$50,$I$51)</f>
        <v>0</v>
      </c>
      <c r="M71" s="76" t="s">
        <v>383</v>
      </c>
      <c r="N71" s="1" t="str" cm="1">
        <f t="array" ref="N71">Fertiliser_Equations_InorganicN2O.VEERG_5_1_1_2__3_EmissionFactorCotton_Variable()</f>
        <v>EF_fjCottonN2O</v>
      </c>
    </row>
    <row r="72" spans="1:20" ht="20.100000000000001" customHeight="1" x14ac:dyDescent="0.25">
      <c r="D72" s="15" t="str">
        <v>Sulfur - Generic</v>
      </c>
      <c r="E72" s="15" cm="1">
        <f t="array" ref="E72">Fertiliser_Equations_InorganicN2O.VEERG_5_1_1_1__1_InorganicFertiliserApplicationN2OEmissions(G31,$I$50,$I$51)</f>
        <v>0</v>
      </c>
      <c r="M72" s="76" t="s">
        <v>118</v>
      </c>
      <c r="N72" s="9" t="str" cm="1">
        <f t="array" ref="N72">Fertiliser_Equations_InorganicN2O.VEERG_5_1_1_2__3_EmissionFactorCotton_Unit()</f>
        <v>kg N2O-N/kg N applied</v>
      </c>
    </row>
    <row r="73" spans="1:20" ht="20.100000000000001" customHeight="1" x14ac:dyDescent="0.25">
      <c r="D73" s="15" t="str">
        <v>Zinc - Generic</v>
      </c>
      <c r="E73" s="15" cm="1">
        <f t="array" ref="E73">Fertiliser_Equations_InorganicN2O.VEERG_5_1_1_1__1_InorganicFertiliserApplicationN2OEmissions(G32,$I$50,$I$51)</f>
        <v>0</v>
      </c>
    </row>
    <row r="74" spans="1:20" ht="20.100000000000001" customHeight="1" x14ac:dyDescent="0.25">
      <c r="D74" s="15" t="str">
        <v>Muriate of potash (MOP)</v>
      </c>
      <c r="E74" s="15" cm="1">
        <f t="array" ref="E74">Fertiliser_Equations_InorganicN2O.VEERG_5_1_1_1__1_InorganicFertiliserApplicationN2OEmissions(G33,$I$50,$I$51)</f>
        <v>0</v>
      </c>
      <c r="M74" s="69" t="s">
        <v>765</v>
      </c>
      <c r="N74" s="69"/>
      <c r="O74" s="69"/>
      <c r="P74" s="69"/>
      <c r="Q74" s="69"/>
      <c r="R74" s="69"/>
      <c r="S74" s="69"/>
      <c r="T74" s="69"/>
    </row>
    <row r="75" spans="1:20" ht="20.100000000000001" customHeight="1" x14ac:dyDescent="0.25">
      <c r="D75" s="15" t="str">
        <v>Double superphosphate</v>
      </c>
      <c r="E75" s="15" cm="1">
        <f t="array" ref="E75">Fertiliser_Equations_InorganicN2O.VEERG_5_1_1_1__1_InorganicFertiliserApplicationN2OEmissions(G34,$I$50,$I$51)</f>
        <v>0</v>
      </c>
    </row>
    <row r="76" spans="1:20" ht="20.100000000000001" customHeight="1" x14ac:dyDescent="0.25">
      <c r="D76" s="15" t="str">
        <v>Single superphosphate (SSP)</v>
      </c>
      <c r="E76" s="15" cm="1">
        <f t="array" ref="E76">Fertiliser_Equations_InorganicN2O.VEERG_5_1_1_1__1_InorganicFertiliserApplicationN2OEmissions(G35,$I$50,$I$51)</f>
        <v>0</v>
      </c>
      <c r="M76" s="131" t="str" cm="1">
        <f t="array" ref="M76:N77">_xlfn.CHOOSECOLS(Fertiliser_Equations_InorganicN2O.VEERG_5_1_1_2__3_EmissionFactorCotton_Arguments(), 1, 2)</f>
        <v>N_fjCotton</v>
      </c>
      <c r="N76" s="134" t="str">
        <v>application rate of inorganic fertiliser type f in the cotton crop</v>
      </c>
      <c r="O76" s="140"/>
      <c r="P76" s="134" t="str" cm="1">
        <f t="array" ref="P76:Q77">_xlfn.CHOOSECOLS(Fertiliser_Equations_InorganicN2O.VEERG_5_1_1_2__3_EmissionFactorCotton_Arguments(), 3,4)</f>
        <v>kg N/ha</v>
      </c>
      <c r="Q76" s="120" t="str">
        <v>Input</v>
      </c>
      <c r="R76" s="124">
        <f>MIN(300, $N$35)</f>
        <v>182.82499999999999</v>
      </c>
      <c r="S76" s="179"/>
    </row>
    <row r="77" spans="1:20" ht="20.100000000000001" customHeight="1" x14ac:dyDescent="0.25">
      <c r="D77" s="15" t="str">
        <v>Ammonia</v>
      </c>
      <c r="E77" s="15" cm="1">
        <f t="array" ref="E77">Fertiliser_Equations_InorganicN2O.VEERG_5_1_1_1__1_InorganicFertiliserApplicationN2OEmissions(G36,$I$50,$I$51)</f>
        <v>0.38175107142857145</v>
      </c>
      <c r="M77" s="131" t="str">
        <v>f</v>
      </c>
      <c r="N77" s="134" t="str">
        <v>Inorganic fertiliser type</v>
      </c>
      <c r="O77" s="140"/>
      <c r="P77" s="134" t="str">
        <v/>
      </c>
      <c r="Q77" s="127" t="str">
        <v>Constant</v>
      </c>
      <c r="R77" s="134" t="s">
        <v>759</v>
      </c>
      <c r="S77" s="137"/>
    </row>
    <row r="78" spans="1:20" ht="20.100000000000001" customHeight="1" x14ac:dyDescent="0.25">
      <c r="D78" s="15" t="str">
        <v>Calcium nitrate</v>
      </c>
      <c r="E78" s="15" cm="1">
        <f t="array" ref="E78">Fertiliser_Equations_InorganicN2O.VEERG_5_1_1_1__1_InorganicFertiliserApplicationN2OEmissions(G37,$I$50,$I$51)</f>
        <v>7.1853571428571433E-2</v>
      </c>
    </row>
    <row r="79" spans="1:20" ht="20.100000000000001" customHeight="1" x14ac:dyDescent="0.25">
      <c r="M79" s="76" t="s">
        <v>764</v>
      </c>
      <c r="N79" s="1" cm="1">
        <f t="array" ref="N79">Fertiliser_Equations_InorganicN2O.VEERG_5_1_1_2__3_EmissionFactorCotton(R76)</f>
        <v>3.231403335233797E-5</v>
      </c>
      <c r="O79" s="9" t="str">
        <f>N72</f>
        <v>kg N2O-N/kg N applied</v>
      </c>
    </row>
    <row r="80" spans="1:20" ht="20.100000000000001" customHeight="1" x14ac:dyDescent="0.25">
      <c r="D80" s="87" t="s">
        <v>766</v>
      </c>
      <c r="E80" s="90">
        <f>SUM(E60:E78)</f>
        <v>1.6950488729428572</v>
      </c>
      <c r="F80" s="89" t="str">
        <f>$E$47</f>
        <v>t N2O</v>
      </c>
    </row>
    <row r="81" spans="4:24" ht="20.100000000000001" customHeight="1" x14ac:dyDescent="0.25"/>
    <row r="82" spans="4:24" ht="20.100000000000001" customHeight="1" x14ac:dyDescent="0.25">
      <c r="D82" s="131" t="str" cm="1">
        <f t="array" ref="D82:E83">Common_Equations.Common_ConvertN2OToCO2e_Arguments()</f>
        <v>EN2O</v>
      </c>
      <c r="E82" s="134" t="str">
        <v>Nitrous oxide emissions (t N2O)</v>
      </c>
      <c r="F82" s="135"/>
      <c r="G82" s="15">
        <f>VEERG_5_1_1_1__1_InorganicFertiliserApplicationN2OEmissions_Result_Method1</f>
        <v>1.6950488729428572</v>
      </c>
      <c r="L82" s="88"/>
      <c r="M82" s="88"/>
      <c r="N82" s="88"/>
      <c r="O82" s="88"/>
      <c r="P82" s="88"/>
      <c r="Q82" s="88"/>
      <c r="R82" s="88"/>
      <c r="S82" s="88"/>
      <c r="T82" s="88"/>
      <c r="U82" s="88"/>
      <c r="V82" s="88"/>
      <c r="W82" s="88"/>
      <c r="X82" s="88"/>
    </row>
    <row r="83" spans="4:24" ht="20.100000000000001" customHeight="1" x14ac:dyDescent="0.25">
      <c r="D83" s="131" t="str">
        <v>GWPN2O</v>
      </c>
      <c r="E83" s="134" t="str">
        <v>Global warming potential for nitrous oxide (t CO2-e / t N2O)</v>
      </c>
      <c r="F83" s="135"/>
      <c r="G83" s="15">
        <f>Common_InputFunctions.Utility_LookupValueInTableNumber("N2O",Table_GWPData[Gas],Table_GWPData[CO2-e factor])</f>
        <v>265</v>
      </c>
      <c r="M83" s="2" t="str" cm="1">
        <f t="array" ref="M83">Fertiliser_Equations_InorganicN2O.VEERG_5_1_1_1__1_InorganicFertiliserApplicationN2OEmissions_Title()</f>
        <v>Nitrous oxide emissions from the application of all inorganic fertiliser types f to all production systems j</v>
      </c>
    </row>
    <row r="84" spans="4:24" ht="20.100000000000001" customHeight="1" x14ac:dyDescent="0.25">
      <c r="M84" s="17" t="str" cm="1">
        <f t="array" ref="M84">Fertiliser_Equations_InorganicN2O.VEERG_5_1_1_1__1_InorganicFertiliserApplicationN2OEmissions_Source()</f>
        <v>VEERG 2026: 5.1.1.1, Equation (1)</v>
      </c>
    </row>
    <row r="85" spans="4:24" ht="20.100000000000001" customHeight="1" x14ac:dyDescent="0.25">
      <c r="D85" s="88" t="s">
        <v>532</v>
      </c>
      <c r="E85" s="88" cm="1">
        <f t="array" ref="E85">Common_Equations.Common_ConvertN2OToCO2e(G82,G83)</f>
        <v>449.18795132985719</v>
      </c>
      <c r="F85" s="93" t="str" cm="1">
        <f t="array" ref="F85">Common_Equations.Common_ConvertN2OToCO2e_Unit()</f>
        <v>t CO2e</v>
      </c>
      <c r="M85" s="117" t="s">
        <v>382</v>
      </c>
      <c r="N85" s="117" t="str" cm="1">
        <f t="array" aca="1" ref="N85" ca="1">Common_InputFunctions.Utility_DisplayFunctionName($E$60)</f>
        <v>=Fertiliser_Equations_InorganicN2O.VEERG_5_1_1_1__1_InorganicFertiliserApplicationN2OEmissions</v>
      </c>
    </row>
    <row r="86" spans="4:24" ht="20.100000000000001" customHeight="1" x14ac:dyDescent="0.25"/>
    <row r="87" spans="4:24" ht="20.100000000000001" customHeight="1" x14ac:dyDescent="0.25"/>
    <row r="88" spans="4:24" ht="20.100000000000001" customHeight="1" x14ac:dyDescent="0.25"/>
    <row r="89" spans="4:24" ht="20.100000000000001" customHeight="1" x14ac:dyDescent="0.25">
      <c r="M89" s="76" t="s">
        <v>383</v>
      </c>
      <c r="N89" s="1" t="str" cm="1">
        <f t="array" ref="N89">Fertiliser_Equations_InorganicN2O.VEERG_5_1_1_1__1_InorganicFertiliserApplicationN2OEmissions_Variable()</f>
        <v>E_N2O</v>
      </c>
    </row>
    <row r="90" spans="4:24" ht="20.100000000000001" customHeight="1" x14ac:dyDescent="0.25">
      <c r="M90" s="76" t="s">
        <v>118</v>
      </c>
      <c r="N90" s="9" t="str" cm="1">
        <f t="array" ref="N90">Fertiliser_Equations_InorganicN2O.VEERG_5_1_1_1__1_InorganicFertiliserApplicationN2OEmissions_Unit()</f>
        <v>t N2O</v>
      </c>
    </row>
    <row r="91" spans="4:24" ht="20.100000000000001" customHeight="1" x14ac:dyDescent="0.25"/>
    <row r="92" spans="4:24" ht="20.100000000000001" customHeight="1" x14ac:dyDescent="0.25">
      <c r="M92" s="131" t="str" cm="1">
        <f t="array" ref="M92:N99">_xlfn.CHOOSECOLS(Fertiliser_Equations_InorganicN2O.VEERG_5_1_1_1__1_InorganicFertiliserApplicationN2OEmissions_Arguments_Method2(), 1, 2)</f>
        <v>MN_jf</v>
      </c>
      <c r="N92" s="134" t="str">
        <v>mass of nitrogen in inorganic fertiliser type f applied to production system j</v>
      </c>
      <c r="O92" s="140"/>
      <c r="P92" s="137"/>
      <c r="Q92" s="131" t="str" cm="1">
        <f t="array" ref="Q92:R99">_xlfn.CHOOSECOLS(Fertiliser_Equations_InorganicN2O.VEERG_5_1_1_1__1_InorganicFertiliserApplicationN2OEmissions_Arguments_Method2(), 3,4)</f>
        <v>kg N</v>
      </c>
      <c r="R92" s="127" t="str">
        <v>Calculated from 5.1.1.1 (2)</v>
      </c>
      <c r="S92" s="119">
        <f>N33</f>
        <v>182825</v>
      </c>
    </row>
    <row r="93" spans="4:24" ht="20.100000000000001" customHeight="1" x14ac:dyDescent="0.25">
      <c r="M93" s="131" t="str">
        <v>EF_jN2O</v>
      </c>
      <c r="N93" s="134" t="str">
        <v>emission factor for nitrous oxide for inorganic fertilisers</v>
      </c>
      <c r="O93" s="140"/>
      <c r="P93" s="137"/>
      <c r="Q93" s="131" t="str">
        <v>kg N2O-N/kg N applied</v>
      </c>
      <c r="R93" s="127" t="str">
        <v>Calculated from 5.1.1.2 (1)(2)(3)</v>
      </c>
      <c r="S93" s="119">
        <f>_xlfn.XLOOKUP(TRUE,N105:N108,O105:O108)</f>
        <v>5.8999999999999999E-3</v>
      </c>
    </row>
    <row r="94" spans="4:24" ht="20.100000000000001" customHeight="1" x14ac:dyDescent="0.25">
      <c r="M94" s="131" t="str">
        <v>C_N2O</v>
      </c>
      <c r="N94" s="134" t="str">
        <v>factor to convert elemental mass of nitrous oxide to molecular mass</v>
      </c>
      <c r="O94" s="140"/>
      <c r="P94" s="137"/>
      <c r="Q94" s="131" t="str">
        <v/>
      </c>
      <c r="R94" s="127" t="str">
        <v>Constant</v>
      </c>
      <c r="S94" s="131">
        <f>Common_InputFunctions.Utility_LookupValueInTableNumber("N2O",Table_GasToMolecularConversionFactor[Gas],Table_GasToMolecularConversionFactor[Conversion factor combined])</f>
        <v>1.5714285714285714</v>
      </c>
    </row>
    <row r="95" spans="4:24" ht="20.100000000000001" customHeight="1" x14ac:dyDescent="0.25">
      <c r="M95" s="131" t="str">
        <v>j</v>
      </c>
      <c r="N95" s="134" t="str">
        <v>Production system</v>
      </c>
      <c r="O95" s="140"/>
      <c r="P95" s="137"/>
      <c r="Q95" s="131" t="str">
        <v/>
      </c>
      <c r="R95" s="120" t="str">
        <v>Input</v>
      </c>
      <c r="S95" s="131" t="str">
        <f>X_Cell_Fertiliser_ProductionSystem</f>
        <v>Pasture</v>
      </c>
    </row>
    <row r="96" spans="4:24" ht="20.100000000000001" customHeight="1" x14ac:dyDescent="0.25">
      <c r="M96" s="131" t="str">
        <v>c</v>
      </c>
      <c r="N96" s="134" t="str">
        <v>Crop type</v>
      </c>
      <c r="O96" s="140"/>
      <c r="P96" s="137"/>
      <c r="Q96" s="131" t="str">
        <v/>
      </c>
      <c r="R96" s="120" t="str">
        <v>Input</v>
      </c>
      <c r="S96" s="131" t="str">
        <f>X_Cell_Fertiliser_CropType</f>
        <v>Pasture</v>
      </c>
    </row>
    <row r="97" spans="13:19" ht="20.100000000000001" customHeight="1" x14ac:dyDescent="0.25">
      <c r="M97" s="131" t="str">
        <v>f</v>
      </c>
      <c r="N97" s="134" t="str">
        <v>Inorganic fertiliser type</v>
      </c>
      <c r="O97" s="140"/>
      <c r="P97" s="137"/>
      <c r="Q97" s="131" t="str">
        <v/>
      </c>
      <c r="R97" s="127" t="str">
        <v>Constant</v>
      </c>
      <c r="S97" s="131" t="s">
        <v>767</v>
      </c>
    </row>
    <row r="98" spans="13:19" ht="20.100000000000001" customHeight="1" x14ac:dyDescent="0.25">
      <c r="M98" s="131" t="str">
        <v>ir</v>
      </c>
      <c r="N98" s="134" t="str">
        <v>irrigation method</v>
      </c>
      <c r="O98" s="140"/>
      <c r="P98" s="137"/>
      <c r="Q98" s="131" t="str">
        <v/>
      </c>
      <c r="R98" s="120" t="str">
        <v>Input</v>
      </c>
      <c r="S98" s="131" t="str">
        <f>X_Cell_Fertiliser_IrrigationMethod</f>
        <v>Surface irrigation</v>
      </c>
    </row>
    <row r="99" spans="13:19" ht="20.100000000000001" customHeight="1" x14ac:dyDescent="0.25">
      <c r="M99" s="134" t="str">
        <v>z</v>
      </c>
      <c r="N99" s="134" t="str">
        <v>rainfall zone</v>
      </c>
      <c r="O99" s="140"/>
      <c r="P99" s="140"/>
      <c r="Q99" s="131" t="str">
        <v/>
      </c>
      <c r="R99" s="120" t="str">
        <v>Input</v>
      </c>
      <c r="S99" s="131" t="str">
        <f>X_Cell_Site_RainfallZone</f>
        <v>High rainfall</v>
      </c>
    </row>
    <row r="100" spans="13:19" ht="20.100000000000001" customHeight="1" x14ac:dyDescent="0.25"/>
    <row r="101" spans="13:19" ht="20.100000000000001" customHeight="1" x14ac:dyDescent="0.25"/>
    <row r="102" spans="13:19" ht="20.100000000000001" customHeight="1" x14ac:dyDescent="0.25">
      <c r="M102" s="121" t="s">
        <v>768</v>
      </c>
    </row>
    <row r="103" spans="13:19" ht="20.100000000000001" customHeight="1" x14ac:dyDescent="0.25">
      <c r="M103" s="122" t="s">
        <v>769</v>
      </c>
    </row>
    <row r="104" spans="13:19" ht="20.100000000000001" customHeight="1" x14ac:dyDescent="0.25">
      <c r="M104" s="123" t="s">
        <v>159</v>
      </c>
      <c r="N104" s="123" t="s">
        <v>770</v>
      </c>
      <c r="O104" s="123" t="s">
        <v>771</v>
      </c>
    </row>
    <row r="105" spans="13:19" ht="20.100000000000001" customHeight="1" x14ac:dyDescent="0.25">
      <c r="M105" s="15" t="s">
        <v>772</v>
      </c>
      <c r="N105" s="15" t="b">
        <f>IF(AND(S96="Maize", NOT(S98="Not irrigated")), TRUE)</f>
        <v>0</v>
      </c>
      <c r="O105" s="15">
        <f>N49</f>
        <v>9.6783250000000015E-3</v>
      </c>
    </row>
    <row r="106" spans="13:19" ht="20.100000000000001" customHeight="1" x14ac:dyDescent="0.25">
      <c r="M106" s="15" t="s">
        <v>773</v>
      </c>
      <c r="N106" s="15" t="b">
        <f>IF(AND(S96="Grains", S98="Not irrigated", S99="High rainfall"), TRUE)</f>
        <v>0</v>
      </c>
      <c r="O106" s="15">
        <f>N63</f>
        <v>1.4492874999999999E-2</v>
      </c>
    </row>
    <row r="107" spans="13:19" ht="20.100000000000001" customHeight="1" x14ac:dyDescent="0.25">
      <c r="M107" s="15" t="s">
        <v>774</v>
      </c>
      <c r="N107" s="15" t="b">
        <f>IF(S96="Cotton", TRUE)</f>
        <v>0</v>
      </c>
      <c r="O107" s="180">
        <f>N79</f>
        <v>3.231403335233797E-5</v>
      </c>
    </row>
    <row r="108" spans="13:19" ht="20.100000000000001" customHeight="1" x14ac:dyDescent="0.25">
      <c r="M108" s="15" t="s">
        <v>775</v>
      </c>
      <c r="N108" s="15" t="b">
        <f>IF(AND(N105=FALSE, N107=FALSE, N106=FALSE),TRUE)</f>
        <v>1</v>
      </c>
      <c r="O108" s="15" cm="1">
        <f t="array" ref="O108">Common_InputFunctions.Utility_LookupN2OEFFromProdIrrigationRainfall($S$95,$S$98,$S$99,Table_SourceData_Common_EFN2O[Production system only],Table_SourceData_Common_EFN2O[Irrigation method],Table_SourceData_Common_EFN2O[Rainfall zone],Table_SourceData_Common_EFN2O[EFN2O])</f>
        <v>5.8999999999999999E-3</v>
      </c>
    </row>
    <row r="109" spans="13:19" ht="20.100000000000001" customHeight="1" x14ac:dyDescent="0.25"/>
    <row r="110" spans="13:19" ht="20.100000000000001" customHeight="1" x14ac:dyDescent="0.25">
      <c r="M110" s="87" t="s">
        <v>766</v>
      </c>
      <c r="N110" s="90" cm="1">
        <f t="array" ref="N110">Fertiliser_Equations_InorganicN2O.VEERG_5_1_1_1__1_InorganicFertiliserApplicationN2OEmissions(S92,S93,$S$94)</f>
        <v>1.6950489285714287</v>
      </c>
      <c r="O110" s="89" t="str">
        <f>$E$47</f>
        <v>t N2O</v>
      </c>
    </row>
    <row r="111" spans="13:19" ht="20.100000000000001" customHeight="1" x14ac:dyDescent="0.25"/>
    <row r="112" spans="13:19" ht="20.100000000000001" customHeight="1" x14ac:dyDescent="0.25">
      <c r="M112" s="131" t="str" cm="1">
        <f t="array" ref="M112:N113">Common_Equations.Common_ConvertN2OToCO2e_Arguments()</f>
        <v>EN2O</v>
      </c>
      <c r="N112" s="134" t="str">
        <v>Nitrous oxide emissions (t N2O)</v>
      </c>
      <c r="O112" s="135"/>
      <c r="P112" s="15">
        <f>VEERG_5_1_1_1__1_InorganicFertiliserApplicationN2OEmissions_Result_Method2</f>
        <v>1.6950489285714287</v>
      </c>
    </row>
    <row r="113" spans="13:16" ht="20.100000000000001" customHeight="1" x14ac:dyDescent="0.25">
      <c r="M113" s="131" t="str">
        <v>GWPN2O</v>
      </c>
      <c r="N113" s="134" t="str">
        <v>Global warming potential for nitrous oxide (t CO2-e / t N2O)</v>
      </c>
      <c r="O113" s="135"/>
      <c r="P113" s="15">
        <f>Common_InputFunctions.Utility_LookupValueInTableNumber("N2O",Table_GWPData[Gas],Table_GWPData[CO2-e factor])</f>
        <v>265</v>
      </c>
    </row>
    <row r="114" spans="13:16" ht="20.100000000000001" customHeight="1" x14ac:dyDescent="0.25"/>
    <row r="115" spans="13:16" ht="20.100000000000001" customHeight="1" x14ac:dyDescent="0.25">
      <c r="M115" s="88" t="s">
        <v>532</v>
      </c>
      <c r="N115" s="88" cm="1">
        <f t="array" ref="N115">Common_Equations.Common_ConvertN2OToCO2e(P112,P113)</f>
        <v>449.1879660714286</v>
      </c>
      <c r="O115" s="93" t="str" cm="1">
        <f t="array" ref="O115">Common_Equations.Common_ConvertN2OToCO2e_Unit()</f>
        <v>t CO2e</v>
      </c>
    </row>
    <row r="116" spans="13:16" ht="20.100000000000001" customHeight="1" x14ac:dyDescent="0.25"/>
    <row r="117" spans="13:16" ht="20.100000000000001" customHeight="1" x14ac:dyDescent="0.25"/>
    <row r="118" spans="13:16" ht="20.100000000000001" customHeight="1" x14ac:dyDescent="0.25"/>
    <row r="119" spans="13:16" ht="20.100000000000001" customHeight="1" x14ac:dyDescent="0.25"/>
    <row r="120" spans="13:16" ht="20.100000000000001" customHeight="1" x14ac:dyDescent="0.25"/>
    <row r="121" spans="13:16" ht="20.100000000000001" customHeight="1" x14ac:dyDescent="0.25"/>
    <row r="122" spans="13:16" ht="20.100000000000001" customHeight="1" x14ac:dyDescent="0.25"/>
    <row r="123" spans="13:16" ht="20.100000000000001" customHeight="1" x14ac:dyDescent="0.25"/>
    <row r="124" spans="13:16" ht="20.100000000000001" customHeight="1" x14ac:dyDescent="0.25"/>
    <row r="125" spans="13:16" ht="20.100000000000001" customHeight="1" x14ac:dyDescent="0.25"/>
    <row r="126" spans="13:16" ht="20.100000000000001" customHeight="1" x14ac:dyDescent="0.25"/>
    <row r="127" spans="13:16" ht="20.100000000000001" customHeight="1" x14ac:dyDescent="0.25"/>
    <row r="128" spans="13:16"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W172 E269 E228 R167:W167 G132 I129:I133 F134:I134 F129:F132 H128:H132 G129 F148:I148 I149 F150:I150" xr:uid="{1B6F09EF-E53E-4B49-B356-649DC8759DCF}"/>
  </dataValidation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6CA15-0F54-4293-9805-6578A833DF59}">
  <sheetPr>
    <tabColor rgb="FF008000"/>
  </sheetPr>
  <dimension ref="A1:U165"/>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776</v>
      </c>
    </row>
    <row r="2" spans="1:21" s="3" customFormat="1" ht="20.100000000000001" customHeight="1" x14ac:dyDescent="0.25">
      <c r="A2"/>
    </row>
    <row r="3" spans="1:21" ht="20.100000000000001" customHeight="1" x14ac:dyDescent="0.25">
      <c r="A3" s="5" t="str">
        <f>HYPERLINK("#'Home'!A1", "Home")</f>
        <v>Home</v>
      </c>
      <c r="C3" s="22"/>
      <c r="D3" s="22" t="s">
        <v>129</v>
      </c>
      <c r="E3" s="22"/>
      <c r="F3" s="22"/>
      <c r="G3" s="22"/>
      <c r="H3" s="22"/>
      <c r="I3" s="22"/>
      <c r="J3" s="22"/>
      <c r="K3" s="22"/>
      <c r="L3" s="22"/>
      <c r="N3" s="22"/>
      <c r="O3" s="22" t="s">
        <v>130</v>
      </c>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Fertiliser_Equations_InorganicCO2.VEERG_5_1_1_3__2_MassOfUreaInInorganicFertiliser_Title()</f>
        <v>Mass of urea applied to production system</v>
      </c>
    </row>
    <row r="6" spans="1:21" ht="20.100000000000001" customHeight="1" x14ac:dyDescent="0.25">
      <c r="A6" s="5" t="str">
        <f>HYPERLINK("#'Results'!A1", "Results")</f>
        <v>Results</v>
      </c>
      <c r="D6" s="17" t="str" cm="1">
        <f t="array" ref="D6">Fertiliser_Equations_InorganicCO2.VEERG_5_1_1_3__2_MassOfUreaInInorganicFertiliser_Source()</f>
        <v>VEERG 2026: 5.1.1.3, Equation (2)</v>
      </c>
    </row>
    <row r="7" spans="1:21" ht="20.100000000000001" customHeight="1" x14ac:dyDescent="0.25">
      <c r="D7" s="117" t="s">
        <v>382</v>
      </c>
      <c r="E7" s="117" t="str" cm="1">
        <f t="array" aca="1" ref="E7" ca="1">Common_InputFunctions.Utility_DisplayFunctionName(G19)</f>
        <v>=Fertiliser_Equations_InorganicCO2.VEERG_5_1_1_3__2_MassOfUreaInInorganicFertiliser</v>
      </c>
    </row>
    <row r="8" spans="1:21" ht="20.100000000000001" customHeight="1" x14ac:dyDescent="0.25"/>
    <row r="9" spans="1:21" ht="20.100000000000001" customHeight="1" x14ac:dyDescent="0.25">
      <c r="A9" s="7" t="s">
        <v>0</v>
      </c>
    </row>
    <row r="10" spans="1:21" ht="20.100000000000001" customHeight="1" x14ac:dyDescent="0.25">
      <c r="A10" s="5" t="str">
        <f>HYPERLINK("#'Input - Enterprise'!A1", "Enterprise")</f>
        <v>Enterprise</v>
      </c>
      <c r="D10" s="76" t="s">
        <v>383</v>
      </c>
      <c r="E10" s="1" t="str" cm="1">
        <f t="array" ref="E10">Fertiliser_Equations_InorganicCO2.VEERG_5_1_1_3__2_MassOfUreaInInorganicFertiliser_Variable()</f>
        <v>MU_jf</v>
      </c>
    </row>
    <row r="11" spans="1:21" ht="20.100000000000001" customHeight="1" x14ac:dyDescent="0.25">
      <c r="A11" s="5" t="str">
        <f>HYPERLINK("#'Input - Site'!A1", "Site")</f>
        <v>Site</v>
      </c>
      <c r="D11" s="76" t="s">
        <v>118</v>
      </c>
      <c r="E11" s="9" t="str" cm="1">
        <f t="array" ref="E11">Fertiliser_Equations_InorganicCO2.VEERG_5_1_1_3__2_MassOfUreaInInorganicFertiliser_Unit()</f>
        <v>kg urea</v>
      </c>
    </row>
    <row r="12" spans="1:21" ht="20.100000000000001" customHeight="1" x14ac:dyDescent="0.25">
      <c r="A12" s="5" t="str">
        <f>HYPERLINK("#'Input - Dairy'!A1", "Dairy")</f>
        <v>Dairy</v>
      </c>
    </row>
    <row r="13" spans="1:21" ht="20.100000000000001" customHeight="1" x14ac:dyDescent="0.25">
      <c r="A13" s="5" t="str">
        <f>HYPERLINK("#'Input - Livestock sales'!A1", "Livestock sales")</f>
        <v>Livestock sales</v>
      </c>
      <c r="D13" s="131" t="str" cm="1">
        <f t="array" ref="D13:E14">_xlfn.CHOOSECOLS(Fertiliser_Equations_InorganicCO2.VEERG_5_1_1_3__2_MassOfUreaInInorganicFertiliser_Arguments(), 1, 2)</f>
        <v>TM_jf</v>
      </c>
      <c r="E13" s="134" t="str">
        <v>total mass of inorganic fertiliser type f applied to production system j</v>
      </c>
      <c r="F13" s="137"/>
      <c r="G13" s="131" t="str" cm="1">
        <f t="array" ref="G13:H14">_xlfn.CHOOSECOLS(Fertiliser_Equations_InorganicCO2.VEERG_5_1_1_3__2_MassOfUreaInInorganicFertiliser_Arguments(), 3, 4)</f>
        <v>kg</v>
      </c>
      <c r="H13" s="120" t="str">
        <v>Input</v>
      </c>
      <c r="I13" s="126" t="str" cm="1">
        <f t="array" aca="1" ref="I13" ca="1">HYPERLINK(Common_InputFunctions.Utility_SourceHyperlink($D$16), $D$16)</f>
        <v>Table_MU_j_f</v>
      </c>
    </row>
    <row r="14" spans="1:21" ht="20.100000000000001" customHeight="1" x14ac:dyDescent="0.25">
      <c r="A14" s="5" t="str">
        <f>HYPERLINK("#'Input - Dairy cattle purchases'!A1", "Dairy cattle purchases")</f>
        <v>Dairy cattle purchases</v>
      </c>
      <c r="D14" s="131" t="str">
        <v>FU_f</v>
      </c>
      <c r="E14" s="134" t="str">
        <v>fraction of urea in fertiliser type f</v>
      </c>
      <c r="F14" s="137"/>
      <c r="G14" s="131" t="str">
        <v>kg urea/kg</v>
      </c>
      <c r="H14" s="127" t="str">
        <v>Lookup</v>
      </c>
      <c r="I14" s="126" t="str" cm="1">
        <f t="array" aca="1" ref="I14" ca="1">HYPERLINK(Common_InputFunctions.Utility_SourceHyperlink($D$16), $D$16)</f>
        <v>Table_MU_j_f</v>
      </c>
    </row>
    <row r="15" spans="1:21" ht="20.100000000000001" customHeight="1" x14ac:dyDescent="0.25">
      <c r="A15" s="5" t="str">
        <f>HYPERLINK("#'Input - Pasture'!A1", "Pasture")</f>
        <v>Pasture</v>
      </c>
    </row>
    <row r="16" spans="1:21" ht="20.100000000000001" customHeight="1" x14ac:dyDescent="0.25">
      <c r="A16" s="5" t="str">
        <f>HYPERLINK("#'Input - Fert Prod System'!A1", "Fert Prod System")</f>
        <v>Fert Prod System</v>
      </c>
      <c r="D16" s="121" t="s">
        <v>777</v>
      </c>
    </row>
    <row r="17" spans="1:7" ht="20.100000000000001" customHeight="1" x14ac:dyDescent="0.25">
      <c r="A17" s="5" t="str">
        <f>HYPERLINK("#'Input - Fertiliser'!A1", "Fertiliser")</f>
        <v>Fertiliser</v>
      </c>
      <c r="D17" s="122" t="s">
        <v>778</v>
      </c>
    </row>
    <row r="18" spans="1:7" ht="20.100000000000001" customHeight="1" x14ac:dyDescent="0.25">
      <c r="A18" s="5" t="str">
        <f>HYPERLINK("#'Input - Fuel'!A1", "Fuel")</f>
        <v>Fuel</v>
      </c>
      <c r="D18" s="123" t="s">
        <v>751</v>
      </c>
      <c r="E18" s="81" t="s">
        <v>752</v>
      </c>
      <c r="F18" s="123" t="s">
        <v>779</v>
      </c>
      <c r="G18" s="123" t="s">
        <v>780</v>
      </c>
    </row>
    <row r="19" spans="1:7" ht="20.100000000000001" customHeight="1" x14ac:dyDescent="0.25">
      <c r="A19" s="5" t="str">
        <f>HYPERLINK("#'Input - Electricity'!A1", "Electricity")</f>
        <v>Electricity</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f],Table_Fertiliser_ChemicalCompounds[FU f])</f>
        <v>0</v>
      </c>
      <c r="G19" s="15" cm="1">
        <f t="array" ref="G19">Fertiliser_Equations_InorganicCO2.VEERG_5_1_1_3__2_MassOfUreaInInorganicFertiliser(E19,F19)</f>
        <v>0</v>
      </c>
    </row>
    <row r="20" spans="1:7" ht="20.100000000000001" customHeight="1" x14ac:dyDescent="0.25">
      <c r="A20" s="5" t="str">
        <f>HYPERLINK("#'Input - Common farm inputs'!A1", "Common farm inputs")</f>
        <v>Common farm inputs</v>
      </c>
      <c r="D20" s="15" t="str">
        <v>Diammonium phosphate (DAP)</v>
      </c>
      <c r="E20" s="1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f],Table_Fertiliser_ChemicalCompounds[FU f])</f>
        <v>0</v>
      </c>
      <c r="G20" s="15" cm="1">
        <f t="array" ref="G20">Fertiliser_Equations_InorganicCO2.VEERG_5_1_1_3__2_MassOfUreaInInorganicFertiliser(E20,F20)</f>
        <v>0</v>
      </c>
    </row>
    <row r="21" spans="1:7" ht="20.100000000000001" customHeight="1" x14ac:dyDescent="0.25">
      <c r="A21" s="5" t="str">
        <f>HYPERLINK("#'Input - Crop pasture farm input'!A1", "Crop pasture farm input")</f>
        <v>Crop pasture farm input</v>
      </c>
      <c r="D21" s="15" t="str">
        <v>Urea</v>
      </c>
      <c r="E21" s="1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f],Table_Fertiliser_ChemicalCompounds[FU f])</f>
        <v>1</v>
      </c>
      <c r="G21" s="15" cm="1">
        <f t="array" ref="G21">Fertiliser_Equations_InorganicCO2.VEERG_5_1_1_3__2_MassOfUreaInInorganicFertiliser(E21,F21)</f>
        <v>252173.9</v>
      </c>
    </row>
    <row r="22" spans="1:7" ht="20.100000000000001" customHeight="1" x14ac:dyDescent="0.25">
      <c r="A22" s="5" t="str">
        <f>HYPERLINK("#'Input - Livestock farm Inputs'!A1", "Livestock farm Inputs")</f>
        <v>Livestock farm Inputs</v>
      </c>
      <c r="D22" s="15" t="str">
        <v>Sulphate of ammonia (SOA)</v>
      </c>
      <c r="E22" s="1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f],Table_Fertiliser_ChemicalCompounds[FU f])</f>
        <v>0</v>
      </c>
      <c r="G22" s="15" cm="1">
        <f t="array" ref="G22">Fertiliser_Equations_InorganicCO2.VEERG_5_1_1_3__2_MassOfUreaInInorganicFertiliser(E22,F22)</f>
        <v>0</v>
      </c>
    </row>
    <row r="23" spans="1:7" ht="20.100000000000001" customHeight="1" x14ac:dyDescent="0.25">
      <c r="A23" s="5" t="str">
        <f>HYPERLINK("#'Input - Freight'!A1", "Freight")</f>
        <v>Freight</v>
      </c>
      <c r="D23" s="15" t="str">
        <v>Urea-ammonium nitrate (UAN)</v>
      </c>
      <c r="E23" s="1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f],Table_Fertiliser_ChemicalCompounds[FU f])</f>
        <v>0.35</v>
      </c>
      <c r="G23" s="15" cm="1">
        <f t="array" ref="G23">Fertiliser_Equations_InorganicCO2.VEERG_5_1_1_3__2_MassOfUreaInInorganicFertiliser(E23,F23)</f>
        <v>0</v>
      </c>
    </row>
    <row r="24" spans="1:7" ht="20.100000000000001" customHeight="1" x14ac:dyDescent="0.25">
      <c r="A24" s="5" t="str">
        <f>HYPERLINK("#'Input - Solid waste'!A1", "Solid waste")</f>
        <v>Solid waste</v>
      </c>
      <c r="D24" s="15" t="str">
        <v>Ammonium nitrate (AN)</v>
      </c>
      <c r="E24" s="1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f],Table_Fertiliser_ChemicalCompounds[FU f])</f>
        <v>0</v>
      </c>
      <c r="G24" s="15" cm="1">
        <f t="array" ref="G24">Fertiliser_Equations_InorganicCO2.VEERG_5_1_1_3__2_MassOfUreaInInorganicFertiliser(E24,F24)</f>
        <v>0</v>
      </c>
    </row>
    <row r="25" spans="1:7" ht="20.100000000000001" customHeight="1" x14ac:dyDescent="0.25">
      <c r="A25" s="5" t="str">
        <f>HYPERLINK("#'Input - Manure sent off-site'!A1", "Manure sent off-site")</f>
        <v>Manure sent off-site</v>
      </c>
      <c r="D25" s="15" t="str">
        <v>Calcium ammonium nitrate (CAN)</v>
      </c>
      <c r="E25" s="1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f],Table_Fertiliser_ChemicalCompounds[FU f])</f>
        <v>0</v>
      </c>
      <c r="G25" s="15" cm="1">
        <f t="array" ref="G25">Fertiliser_Equations_InorganicCO2.VEERG_5_1_1_3__2_MassOfUreaInInorganicFertiliser(E25,F25)</f>
        <v>0</v>
      </c>
    </row>
    <row r="26" spans="1:7" ht="20.100000000000001" customHeight="1" x14ac:dyDescent="0.25">
      <c r="A26" s="5" t="str">
        <f>HYPERLINK("#'Input - Refrigerants'!A1", "Refrigerants")</f>
        <v>Refrigerants</v>
      </c>
      <c r="D26" s="15" t="str">
        <v>Nitrogen - Ammoniacal</v>
      </c>
      <c r="E26" s="1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12400</v>
      </c>
      <c r="F26" s="15" cm="1">
        <f t="array" ref="F26">Common_InputFunctions.Utility_LookupValueInTableNumber(D26,Table_Fertiliser_ChemicalCompounds[Fertiliser type f],Table_Fertiliser_ChemicalCompounds[FU f])</f>
        <v>0</v>
      </c>
      <c r="G26" s="15" cm="1">
        <f t="array" ref="G26">Fertiliser_Equations_InorganicCO2.VEERG_5_1_1_3__2_MassOfUreaInInorganicFertiliser(E26,F26)</f>
        <v>0</v>
      </c>
    </row>
    <row r="27" spans="1:7" ht="20.100000000000001" customHeight="1" x14ac:dyDescent="0.25">
      <c r="A27" s="5" t="str">
        <f>HYPERLINK("#'Input - Data quality'!A1", "Data quality")</f>
        <v>Data quality</v>
      </c>
      <c r="D27" s="15" t="str">
        <v>Nitrogen - Nitrate</v>
      </c>
      <c r="E27" s="1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5500</v>
      </c>
      <c r="F27" s="15" cm="1">
        <f t="array" ref="F27">Common_InputFunctions.Utility_LookupValueInTableNumber(D27,Table_Fertiliser_ChemicalCompounds[Fertiliser type f],Table_Fertiliser_ChemicalCompounds[FU f])</f>
        <v>0</v>
      </c>
      <c r="G27" s="15" cm="1">
        <f t="array" ref="G27">Fertiliser_Equations_InorganicCO2.VEERG_5_1_1_3__2_MassOfUreaInInorganicFertiliser(E27,F27)</f>
        <v>0</v>
      </c>
    </row>
    <row r="28" spans="1:7" ht="20.100000000000001" customHeight="1" x14ac:dyDescent="0.25">
      <c r="D28" s="15" t="str">
        <v>Nitrogen - Generic</v>
      </c>
      <c r="E28" s="1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f],Table_Fertiliser_ChemicalCompounds[FU f])</f>
        <v>0</v>
      </c>
      <c r="G28" s="15" cm="1">
        <f t="array" ref="G28">Fertiliser_Equations_InorganicCO2.VEERG_5_1_1_3__2_MassOfUreaInInorganicFertiliser(E28,F28)</f>
        <v>0</v>
      </c>
    </row>
    <row r="29" spans="1:7" ht="20.100000000000001" customHeight="1" x14ac:dyDescent="0.25">
      <c r="D29" s="15" t="str">
        <v>Phosphorus - Generic</v>
      </c>
      <c r="E29" s="1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5200</v>
      </c>
      <c r="F29" s="15" cm="1">
        <f t="array" ref="F29">Common_InputFunctions.Utility_LookupValueInTableNumber(D29,Table_Fertiliser_ChemicalCompounds[Fertiliser type f],Table_Fertiliser_ChemicalCompounds[FU f])</f>
        <v>0</v>
      </c>
      <c r="G29" s="15" cm="1">
        <f t="array" ref="G29">Fertiliser_Equations_InorganicCO2.VEERG_5_1_1_3__2_MassOfUreaInInorganicFertiliser(E29,F29)</f>
        <v>0</v>
      </c>
    </row>
    <row r="30" spans="1:7" ht="20.100000000000001" customHeight="1" x14ac:dyDescent="0.25">
      <c r="A30" s="6" t="s">
        <v>2</v>
      </c>
      <c r="D30" s="15" t="str">
        <v>Potassium - Generic</v>
      </c>
      <c r="E30" s="1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43000</v>
      </c>
      <c r="F30" s="15" cm="1">
        <f t="array" ref="F30">Common_InputFunctions.Utility_LookupValueInTableNumber(D30,Table_Fertiliser_ChemicalCompounds[Fertiliser type f],Table_Fertiliser_ChemicalCompounds[FU f])</f>
        <v>0</v>
      </c>
      <c r="G30" s="15" cm="1">
        <f t="array" ref="G30">Fertiliser_Equations_InorganicCO2.VEERG_5_1_1_3__2_MassOfUreaInInorganicFertiliser(E30,F30)</f>
        <v>0</v>
      </c>
    </row>
    <row r="31" spans="1:7" ht="20.100000000000001" customHeight="1" x14ac:dyDescent="0.25">
      <c r="A31" s="5" t="str">
        <f>HYPERLINK("#'3.3.1.1-2 Enteric Methane'!A1", "3.3.1.1-2 Enteric methane")</f>
        <v>3.3.1.1-2 Enteric methane</v>
      </c>
      <c r="D31" s="15" t="str">
        <v>Sulfur - Generic</v>
      </c>
      <c r="E31" s="1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18900</v>
      </c>
      <c r="F31" s="15" cm="1">
        <f t="array" ref="F31">Common_InputFunctions.Utility_LookupValueInTableNumber(D31,Table_Fertiliser_ChemicalCompounds[Fertiliser type f],Table_Fertiliser_ChemicalCompounds[FU f])</f>
        <v>0</v>
      </c>
      <c r="G31" s="15" cm="1">
        <f t="array" ref="G31">Fertiliser_Equations_InorganicCO2.VEERG_5_1_1_3__2_MassOfUreaInInorganicFertiliser(E31,F31)</f>
        <v>0</v>
      </c>
    </row>
    <row r="32" spans="1:7" ht="20.100000000000001" customHeight="1" x14ac:dyDescent="0.25">
      <c r="A32" s="5" t="str">
        <f>HYPERLINK("#'4.3.1.1-2 Methane'!A1", "4.3.1.1-2 Manure methane")</f>
        <v>4.3.1.1-2 Manure methane</v>
      </c>
      <c r="D32" s="15" t="str">
        <v>Zinc - Generic</v>
      </c>
      <c r="E32" s="1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20000</v>
      </c>
      <c r="F32" s="15" cm="1">
        <f t="array" ref="F32">Common_InputFunctions.Utility_LookupValueInTableNumber(D32,Table_Fertiliser_ChemicalCompounds[Fertiliser type f],Table_Fertiliser_ChemicalCompounds[FU f])</f>
        <v>0</v>
      </c>
      <c r="G32" s="15" cm="1">
        <f t="array" ref="G32">Fertiliser_Equations_InorganicCO2.VEERG_5_1_1_3__2_MassOfUreaInInorganicFertiliser(E32,F32)</f>
        <v>0</v>
      </c>
    </row>
    <row r="33" spans="1:12" ht="20.100000000000001" customHeight="1" x14ac:dyDescent="0.25">
      <c r="A33" s="5" t="str">
        <f>HYPERLINK("#'4.3.1.3-4 Direct N20'!A1", "4.3.1.3-4 Direct N20")</f>
        <v>4.3.1.3-4 Direct N20</v>
      </c>
      <c r="D33" s="15" t="str">
        <v>Muriate of potash (MOP)</v>
      </c>
      <c r="E33" s="1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f],Table_Fertiliser_ChemicalCompounds[FU f])</f>
        <v>0</v>
      </c>
      <c r="G33" s="15" cm="1">
        <f t="array" ref="G33">Fertiliser_Equations_InorganicCO2.VEERG_5_1_1_3__2_MassOfUreaInInorganicFertiliser(E33,F33)</f>
        <v>0</v>
      </c>
    </row>
    <row r="34" spans="1:12" ht="20.100000000000001" customHeight="1" x14ac:dyDescent="0.25">
      <c r="A34" s="5" t="str">
        <f>HYPERLINK("#'4.3.1.5 Atmos deposition'!A1", "4.3.1.5 Atmos deposition")</f>
        <v>4.3.1.5 Atmos deposition</v>
      </c>
      <c r="D34" s="15" t="str">
        <v>Double superphosphate</v>
      </c>
      <c r="E34" s="1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f],Table_Fertiliser_ChemicalCompounds[FU f])</f>
        <v>0</v>
      </c>
      <c r="G34" s="15" cm="1">
        <f t="array" ref="G34">Fertiliser_Equations_InorganicCO2.VEERG_5_1_1_3__2_MassOfUreaInInorganicFertiliser(E34,F34)</f>
        <v>0</v>
      </c>
    </row>
    <row r="35" spans="1:12" ht="20.100000000000001" customHeight="1" x14ac:dyDescent="0.25">
      <c r="A35" s="5" t="str">
        <f>HYPERLINK("#'4.3.1.6-7 Leaching and runoff'!A1", "4.3.1.6-7 Leaching &amp; runoff")</f>
        <v>4.3.1.6-7 Leaching &amp; runoff</v>
      </c>
      <c r="D35" s="15" t="str">
        <v>Single superphosphate (SSP)</v>
      </c>
      <c r="E35" s="1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f],Table_Fertiliser_ChemicalCompounds[FU f])</f>
        <v>0</v>
      </c>
      <c r="G35" s="15" cm="1">
        <f t="array" ref="G35">Fertiliser_Equations_InorganicCO2.VEERG_5_1_1_3__2_MassOfUreaInInorganicFertiliser(E35,F35)</f>
        <v>0</v>
      </c>
    </row>
    <row r="36" spans="1:12" ht="20.100000000000001" customHeight="1" x14ac:dyDescent="0.25">
      <c r="A36" s="5" t="str">
        <f>HYPERLINK("#'4.3.1.8 Manure applied to soils'!A1", "4.3.1.8 Manure applied to soils")</f>
        <v>4.3.1.8 Manure applied to soils</v>
      </c>
      <c r="D36" s="15" t="str">
        <v>Ammonia</v>
      </c>
      <c r="E36" s="1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6" s="15" cm="1">
        <f t="array" ref="F36">Common_InputFunctions.Utility_LookupValueInTableNumber(D36,Table_Fertiliser_ChemicalCompounds[Fertiliser type f],Table_Fertiliser_ChemicalCompounds[FU f])</f>
        <v>0</v>
      </c>
      <c r="G36" s="15" cm="1">
        <f t="array" ref="G36">Fertiliser_Equations_InorganicCO2.VEERG_5_1_1_3__2_MassOfUreaInInorganicFertiliser(E36,F36)</f>
        <v>0</v>
      </c>
    </row>
    <row r="37" spans="1:12" ht="20.100000000000001" customHeight="1" x14ac:dyDescent="0.25">
      <c r="A37" s="5" t="str">
        <f>HYPERLINK("#'4.3.1.9 Soil direct N2O'!A1", "4.3.1.9 Soil direct N2O")</f>
        <v>4.3.1.9 Soil direct N2O</v>
      </c>
      <c r="D37" s="15" t="str">
        <v>Calcium nitrate</v>
      </c>
      <c r="E37" s="1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7" s="15" cm="1">
        <f t="array" ref="F37">Common_InputFunctions.Utility_LookupValueInTableNumber(D37,Table_Fertiliser_ChemicalCompounds[Fertiliser type f],Table_Fertiliser_ChemicalCompounds[FU f])</f>
        <v>0</v>
      </c>
      <c r="G37" s="15" cm="1">
        <f t="array" ref="G37">Fertiliser_Equations_InorganicCO2.VEERG_5_1_1_3__2_MassOfUreaInInorganicFertiliser(E37,F37)</f>
        <v>0</v>
      </c>
    </row>
    <row r="38" spans="1:12" ht="20.100000000000001" customHeight="1" x14ac:dyDescent="0.25">
      <c r="A38" s="5" t="str">
        <f>HYPERLINK("#'4.3.1.10-11 Soil Atmos Dep'!A1", "4.3.1.10-11 Soil Atmos Deposition")</f>
        <v>4.3.1.10-11 Soil Atmos Deposition</v>
      </c>
    </row>
    <row r="39" spans="1:12" ht="20.100000000000001" customHeight="1" x14ac:dyDescent="0.25">
      <c r="A39" s="5" t="str">
        <f>HYPERLINK("#'4.3.1.12-13 Soil leach runoff'!A1", "4.3.1.12-13 Soil leach &amp; runoff")</f>
        <v>4.3.1.12-13 Soil leach &amp; runoff</v>
      </c>
    </row>
    <row r="40" spans="1:12" ht="20.100000000000001" customHeight="1" x14ac:dyDescent="0.25">
      <c r="A40" s="5" t="str">
        <f>HYPERLINK("#'5.1.1.1-2 Inorganic fert N2O'!A1", "5.1.1.1-2 Inorganic fert N2O")</f>
        <v>5.1.1.1-2 Inorganic fert N2O</v>
      </c>
      <c r="C40" s="88"/>
      <c r="D40" s="88"/>
      <c r="E40" s="88"/>
      <c r="F40" s="88"/>
      <c r="G40" s="88"/>
      <c r="H40" s="88"/>
      <c r="I40" s="88"/>
      <c r="J40" s="88"/>
      <c r="K40" s="88"/>
      <c r="L40" s="88"/>
    </row>
    <row r="41" spans="1:12" ht="20.100000000000001" customHeight="1" x14ac:dyDescent="0.25">
      <c r="A41" s="118" t="str">
        <f>HYPERLINK("#'5.1.1.3-4 Inorganic fert CO2'!A1", "5.1.1.3-4 Inorganic fert CO2")</f>
        <v>5.1.1.3-4 Inorganic fert CO2</v>
      </c>
      <c r="D41" s="2"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A42" s="5" t="str">
        <f>HYPERLINK("#'5.2.1.1-2 Organic Fert N2O'!A1", "5.2.1.1-2 Organic fert N2O")</f>
        <v>5.2.1.1-2 Organic fert N2O</v>
      </c>
      <c r="D42" s="17" t="str" cm="1">
        <f t="array" ref="D42">Fertiliser_Equations_InorganicCO2.VEERG_5_1_1_3__1_InorganicFertiliserApplicationCO2Emissions_Source()</f>
        <v>VEERG 2026: 5.1.1.3, Equation (1)</v>
      </c>
    </row>
    <row r="43" spans="1:12" ht="20.100000000000001" customHeight="1" x14ac:dyDescent="0.25">
      <c r="A43" s="5" t="str">
        <f>HYPERLINK("#'5.3.1.1-2 Lime CO2'!A1", "5.3.1.1-2 Lime CO2")</f>
        <v>5.3.1.1-2 Lime CO2</v>
      </c>
      <c r="D43" s="117" t="s">
        <v>382</v>
      </c>
      <c r="E43" s="117" t="str" cm="1">
        <f t="array" aca="1" ref="E43" ca="1">Common_InputFunctions.Utility_DisplayFunctionName(E58)</f>
        <v>=Fertiliser_Equations_InorganicCO2.VEERG_5_1_1_3__1_InorganicFertiliserApplicationCO2Emissions</v>
      </c>
    </row>
    <row r="44" spans="1:12" ht="20.100000000000001" customHeight="1" x14ac:dyDescent="0.25">
      <c r="A44" s="5" t="str">
        <f>HYPERLINK("#'5.4.1.1-4 Atmos deposition'!A1", "5.4.1.1-4 Atmos. deposition")</f>
        <v>5.4.1.1-4 Atmos. deposition</v>
      </c>
    </row>
    <row r="45" spans="1:12" ht="20.100000000000001" customHeight="1" x14ac:dyDescent="0.25">
      <c r="A45" s="5" t="str">
        <f>HYPERLINK("#'5.5.1.1-2 Leaching and runoff'!A1", "5.5.1.1-2 Leaching &amp; runoff")</f>
        <v>5.5.1.1-2 Leaching &amp; runoff</v>
      </c>
    </row>
    <row r="46" spans="1:12" ht="20.100000000000001" customHeight="1" x14ac:dyDescent="0.25">
      <c r="A46" s="5" t="str">
        <f>HYPERLINK("#'6.2.1.1-2 Pasture residue N2O'!A1", "6.2.1.1-2 Pasture residue N2O")</f>
        <v>6.2.1.1-2 Pasture residue N2O</v>
      </c>
      <c r="D46" s="76" t="s">
        <v>383</v>
      </c>
      <c r="E46" s="1" t="str" cm="1">
        <f t="array" ref="E46">Fertiliser_Equations_InorganicCO2.VEERG_5_1_1_3__1_InorganicFertiliserApplicationCO2Emissions_Variable()</f>
        <v>E_CO2</v>
      </c>
    </row>
    <row r="47" spans="1:12" ht="20.100000000000001" customHeight="1" x14ac:dyDescent="0.25">
      <c r="A47" s="5" t="str">
        <f>HYPERLINK("#'6.3.1.1-2 Leach runoff pasture'!A1", "6.3.1.1-2 Leach &amp; runoff (pasture)")</f>
        <v>6.3.1.1-2 Leach &amp; runoff (pasture)</v>
      </c>
      <c r="D47" s="76" t="s">
        <v>118</v>
      </c>
      <c r="E47" s="9" t="str" cm="1">
        <f t="array" ref="E47">Fertiliser_Equations_InorganicCO2.VEERG_5_1_1_3__1_InorganicFertiliserApplicationCO2Emissions_Unit()</f>
        <v>t CO2</v>
      </c>
    </row>
    <row r="48" spans="1:12" ht="20.100000000000001" customHeight="1" x14ac:dyDescent="0.25">
      <c r="A48" s="5" t="str">
        <f>HYPERLINK("#'8.1.1.1-2 Transport fuel'!A1", "8.1.1.1-2 Transport fuel")</f>
        <v>8.1.1.1-2 Transport fuel</v>
      </c>
    </row>
    <row r="49" spans="1:9" ht="20.100000000000001" customHeight="1" x14ac:dyDescent="0.25">
      <c r="A49" s="5" t="str">
        <f>HYPERLINK("#'8.2.1.1-2 Stationary fuel'!A1", "8.2.1.1-2 Stationary fuel")</f>
        <v>8.2.1.1-2 Stationary fuel</v>
      </c>
      <c r="D49" s="131" t="str" cm="1">
        <f t="array" ref="D49:E53">_xlfn.CHOOSECOLS(Fertiliser_Equations_InorganicCO2.VEERG_5_1_1_3__1_InorganicFertiliserApplicationCO2Emissions_Arguments(), 1, 2)</f>
        <v>MU_jf</v>
      </c>
      <c r="E49" s="134" t="str">
        <v>mass of urea of inorganic fertiliser type f applied to production system j</v>
      </c>
      <c r="F49" s="137"/>
      <c r="G49" s="131" t="str" cm="1">
        <f t="array" ref="G49:H53">_xlfn.CHOOSECOLS(Fertiliser_Equations_InorganicCO2.VEERG_5_1_1_3__1_InorganicFertiliserApplicationCO2Emissions_Arguments(), 3,4)</f>
        <v>kg urea</v>
      </c>
      <c r="H49" s="127" t="str">
        <v>Calculated</v>
      </c>
      <c r="I49" s="126" t="str" cm="1">
        <f t="array" aca="1" ref="I49" ca="1">HYPERLINK(Common_InputFunctions.Utility_SourceHyperlink($D$16), $D$16)</f>
        <v>Table_MU_j_f</v>
      </c>
    </row>
    <row r="50" spans="1:9" ht="20.100000000000001" customHeight="1" x14ac:dyDescent="0.25">
      <c r="A50" s="5" t="str">
        <f>HYPERLINK("#'9.1.1.1-2 Refrigerant use'!A1", "9.1.1.1-2 Refrigerant use")</f>
        <v>9.1.1.1-2 Refrigerant use</v>
      </c>
      <c r="D50" s="131" t="str">
        <v>EF_ureaCO2</v>
      </c>
      <c r="E50" s="134" t="str">
        <v>emission factor for carbon emissions from urea-based fertilisers</v>
      </c>
      <c r="F50" s="137"/>
      <c r="G50" s="131" t="str">
        <v>kg C/kg urea</v>
      </c>
      <c r="H50" s="127" t="str">
        <v>Constant</v>
      </c>
      <c r="I50" s="131">
        <f>Fertiliser_EFUreaCO2_Data</f>
        <v>0.2</v>
      </c>
    </row>
    <row r="51" spans="1:9" ht="20.100000000000001" customHeight="1" x14ac:dyDescent="0.25">
      <c r="A51" s="5" t="str">
        <f>HYPERLINK("#'10.1.1-2 Solid waste treatment'!A1", "10.1.1.1-2 Solid waste")</f>
        <v>10.1.1.1-2 Solid waste</v>
      </c>
      <c r="D51" s="131" t="str">
        <v>C_CO2</v>
      </c>
      <c r="E51" s="134" t="str">
        <v>factor to convert elemental mass of carbon to molecular mass of carbon dioxide</v>
      </c>
      <c r="F51" s="137"/>
      <c r="G51" s="131" t="str">
        <v/>
      </c>
      <c r="H51" s="127" t="str">
        <v>Constant</v>
      </c>
      <c r="I51" s="131">
        <f>Common_InputFunctions.Utility_LookupValueInTableNumber("CO2",Table_GasToMolecularConversionFactor[Gas], Table_GasToMolecularConversionFactor[Conversion factor combined])</f>
        <v>3.6666666666666665</v>
      </c>
    </row>
    <row r="52" spans="1:9" ht="20.100000000000001" customHeight="1" x14ac:dyDescent="0.25">
      <c r="A52" s="5" t="str">
        <f>HYPERLINK("#'14.1.1-2 Purchased electricity'!A1", "14.1.1-2 Purchased electricity")</f>
        <v>14.1.1-2 Purchased electricity</v>
      </c>
      <c r="D52" s="131" t="str">
        <v>j</v>
      </c>
      <c r="E52" s="134" t="str">
        <v>Production system</v>
      </c>
      <c r="F52" s="137"/>
      <c r="G52" s="131" t="str">
        <v/>
      </c>
      <c r="H52" s="120" t="str">
        <v>Input</v>
      </c>
      <c r="I52" s="131" t="str">
        <f>X_Cell_Fertiliser_ProductionSystem</f>
        <v>Pasture</v>
      </c>
    </row>
    <row r="53" spans="1:9" ht="20.100000000000001" customHeight="1" x14ac:dyDescent="0.25">
      <c r="A53" s="5" t="str">
        <f>HYPERLINK("#'15 Scope 3'!A1", "15 Scope 3")</f>
        <v>15 Scope 3</v>
      </c>
      <c r="D53" s="131" t="str">
        <v>f</v>
      </c>
      <c r="E53" s="134" t="str">
        <v>Inorganic fertiliser type</v>
      </c>
      <c r="F53" s="137"/>
      <c r="G53" s="131" t="str">
        <v/>
      </c>
      <c r="H53" s="127" t="str">
        <v>Lookup</v>
      </c>
      <c r="I53" s="126" t="str" cm="1">
        <f t="array" aca="1" ref="I53" ca="1">HYPERLINK(Common_InputFunctions.Utility_SourceHyperlink($D$16), $D$16)</f>
        <v>Table_MU_j_f</v>
      </c>
    </row>
    <row r="54" spans="1:9" ht="20.100000000000001" customHeight="1" x14ac:dyDescent="0.25">
      <c r="A54" s="5" t="str">
        <f>HYPERLINK("#'Calcs - Manure sent off-site'!A1", "Calcs - Manure sent off-site")</f>
        <v>Calcs - Manure sent off-site</v>
      </c>
    </row>
    <row r="55" spans="1:9" ht="20.100000000000001" customHeight="1" x14ac:dyDescent="0.25">
      <c r="D55" s="121" t="s">
        <v>781</v>
      </c>
    </row>
    <row r="56" spans="1:9" ht="20.100000000000001" customHeight="1" x14ac:dyDescent="0.25">
      <c r="D56" s="122" t="s">
        <v>782</v>
      </c>
    </row>
    <row r="57" spans="1:9" ht="20.100000000000001" customHeight="1" x14ac:dyDescent="0.25">
      <c r="A57" s="82" t="s">
        <v>1</v>
      </c>
      <c r="D57" s="123" t="s">
        <v>751</v>
      </c>
      <c r="E57" s="123" t="s">
        <v>763</v>
      </c>
    </row>
    <row r="58" spans="1:9" ht="20.100000000000001" customHeight="1" x14ac:dyDescent="0.25">
      <c r="A58" s="5" t="str">
        <f>HYPERLINK("#'Constants - Dairy'!A1", "Constants - Dairy")</f>
        <v>Constants - Dairy</v>
      </c>
      <c r="D58" s="15" t="str" cm="1">
        <f t="array" ref="D58:D76">Table_Fertiliser_ChemicalCompounds[Fertiliser type f]</f>
        <v>Monoammonium phosphate (MAP)</v>
      </c>
      <c r="E58" s="15" cm="1">
        <f t="array" ref="E58">Fertiliser_Equations_InorganicCO2.VEERG_5_1_1_3__1_InorganicFertiliserApplicationCO2Emissions(G19,$I$50,$I$51)</f>
        <v>0</v>
      </c>
      <c r="F58" s="16" t="str">
        <f>$E$47</f>
        <v>t CO2</v>
      </c>
    </row>
    <row r="59" spans="1:9" ht="20.100000000000001" customHeight="1" x14ac:dyDescent="0.25">
      <c r="A59" s="5" t="str">
        <f>HYPERLINK("#'Constants - Ag Residue'!A1", "Constants - Ag residue")</f>
        <v>Constants - Ag residue</v>
      </c>
      <c r="D59" s="15" t="str">
        <v>Diammonium phosphate (DAP)</v>
      </c>
      <c r="E59" s="15" cm="1">
        <f t="array" ref="E59">Fertiliser_Equations_InorganicCO2.VEERG_5_1_1_3__1_InorganicFertiliserApplicationCO2Emissions(G20,$I$50,$I$51)</f>
        <v>0</v>
      </c>
    </row>
    <row r="60" spans="1:9" ht="20.100000000000001" customHeight="1" x14ac:dyDescent="0.25">
      <c r="A60" s="5" t="str">
        <f>HYPERLINK("#'Constants - Common Livestock'!A1", "Constants - Common Livestock")</f>
        <v>Constants - Common Livestock</v>
      </c>
      <c r="D60" s="15" t="str">
        <v>Urea</v>
      </c>
      <c r="E60" s="15" cm="1">
        <f t="array" ref="E60">Fertiliser_Equations_InorganicCO2.VEERG_5_1_1_3__1_InorganicFertiliserApplicationCO2Emissions(G21,$I$50,$I$51)</f>
        <v>184.92752666666664</v>
      </c>
    </row>
    <row r="61" spans="1:9" ht="20.100000000000001" customHeight="1" x14ac:dyDescent="0.25">
      <c r="A61" s="5" t="str">
        <f>HYPERLINK("#'Constants - Electricity'!A1", "Constants - Electricity")</f>
        <v>Constants - Electricity</v>
      </c>
      <c r="D61" s="15" t="str">
        <v>Sulphate of ammonia (SOA)</v>
      </c>
      <c r="E61" s="15" cm="1">
        <f t="array" ref="E61">Fertiliser_Equations_InorganicCO2.VEERG_5_1_1_3__1_InorganicFertiliserApplicationCO2Emissions(G22,$I$50,$I$51)</f>
        <v>0</v>
      </c>
    </row>
    <row r="62" spans="1:9" ht="20.100000000000001" customHeight="1" x14ac:dyDescent="0.25">
      <c r="A62" s="5" t="str">
        <f>HYPERLINK("#'Constants - Fertiliser'!A1", "Constants - Fertiliser")</f>
        <v>Constants - Fertiliser</v>
      </c>
      <c r="D62" s="15" t="str">
        <v>Urea-ammonium nitrate (UAN)</v>
      </c>
      <c r="E62" s="15" cm="1">
        <f t="array" ref="E62">Fertiliser_Equations_InorganicCO2.VEERG_5_1_1_3__1_InorganicFertiliserApplicationCO2Emissions(G23,$I$50,$I$51)</f>
        <v>0</v>
      </c>
    </row>
    <row r="63" spans="1:9" ht="20.100000000000001" customHeight="1" x14ac:dyDescent="0.25">
      <c r="A63" s="5" t="str">
        <f>HYPERLINK("#'Constants - Fuel'!A1", "Constants - Fuel")</f>
        <v>Constants - Fuel</v>
      </c>
      <c r="D63" s="15" t="str">
        <v>Ammonium nitrate (AN)</v>
      </c>
      <c r="E63" s="15" cm="1">
        <f t="array" ref="E63">Fertiliser_Equations_InorganicCO2.VEERG_5_1_1_3__1_InorganicFertiliserApplicationCO2Emissions(G24,$I$50,$I$51)</f>
        <v>0</v>
      </c>
    </row>
    <row r="64" spans="1:9" ht="20.100000000000001" customHeight="1" x14ac:dyDescent="0.25">
      <c r="A64" s="5" t="str">
        <f>HYPERLINK("#'Constants - Scope 3'!A1", "Constants - Scope 3")</f>
        <v>Constants - Scope 3</v>
      </c>
      <c r="D64" s="15" t="str">
        <v>Calcium ammonium nitrate (CAN)</v>
      </c>
      <c r="E64" s="15" cm="1">
        <f t="array" ref="E64">Fertiliser_Equations_InorganicCO2.VEERG_5_1_1_3__1_InorganicFertiliserApplicationCO2Emissions(G25,$I$50,$I$51)</f>
        <v>0</v>
      </c>
    </row>
    <row r="65" spans="1:6" ht="20.100000000000001" customHeight="1" x14ac:dyDescent="0.25">
      <c r="A65" s="5" t="str">
        <f>HYPERLINK("#'Constants - Common'!A1", "Constants - Common")</f>
        <v>Constants - Common</v>
      </c>
      <c r="D65" s="15" t="str">
        <v>Nitrogen - Ammoniacal</v>
      </c>
      <c r="E65" s="15" cm="1">
        <f t="array" ref="E65">Fertiliser_Equations_InorganicCO2.VEERG_5_1_1_3__1_InorganicFertiliserApplicationCO2Emissions(G26,$I$50,$I$51)</f>
        <v>0</v>
      </c>
    </row>
    <row r="66" spans="1:6" ht="20.100000000000001" customHeight="1" x14ac:dyDescent="0.25">
      <c r="A66" s="5" t="str">
        <f>HYPERLINK("#'Constants - Refrigerants'!A1", "Constants - Refrigerants")</f>
        <v>Constants - Refrigerants</v>
      </c>
      <c r="D66" s="15" t="str">
        <v>Nitrogen - Nitrate</v>
      </c>
      <c r="E66" s="15" cm="1">
        <f t="array" ref="E66">Fertiliser_Equations_InorganicCO2.VEERG_5_1_1_3__1_InorganicFertiliserApplicationCO2Emissions(G27,$I$50,$I$51)</f>
        <v>0</v>
      </c>
    </row>
    <row r="67" spans="1:6" ht="20.100000000000001" customHeight="1" x14ac:dyDescent="0.25">
      <c r="A67" s="5" t="str">
        <f>HYPERLINK("#'Constants - Solid Waste'!A1", "Constants - Solid Waste")</f>
        <v>Constants - Solid Waste</v>
      </c>
      <c r="D67" s="15" t="str">
        <v>Nitrogen - Generic</v>
      </c>
      <c r="E67" s="15" cm="1">
        <f t="array" ref="E67">Fertiliser_Equations_InorganicCO2.VEERG_5_1_1_3__1_InorganicFertiliserApplicationCO2Emissions(G28,$I$50,$I$51)</f>
        <v>0</v>
      </c>
    </row>
    <row r="68" spans="1:6" ht="20.100000000000001" customHeight="1" x14ac:dyDescent="0.25">
      <c r="A68" s="5" t="str">
        <f>HYPERLINK("#'Acknowledgements'!A1", "Acknowledgements")</f>
        <v>Acknowledgements</v>
      </c>
      <c r="D68" s="15" t="str">
        <v>Phosphorus - Generic</v>
      </c>
      <c r="E68" s="15" cm="1">
        <f t="array" ref="E68">Fertiliser_Equations_InorganicCO2.VEERG_5_1_1_3__1_InorganicFertiliserApplicationCO2Emissions(G29,$I$50,$I$51)</f>
        <v>0</v>
      </c>
    </row>
    <row r="69" spans="1:6" ht="20.100000000000001" customHeight="1" x14ac:dyDescent="0.25">
      <c r="D69" s="15" t="str">
        <v>Potassium - Generic</v>
      </c>
      <c r="E69" s="15" cm="1">
        <f t="array" ref="E69">Fertiliser_Equations_InorganicCO2.VEERG_5_1_1_3__1_InorganicFertiliserApplicationCO2Emissions(G30,$I$50,$I$51)</f>
        <v>0</v>
      </c>
    </row>
    <row r="70" spans="1:6" ht="20.100000000000001" customHeight="1" x14ac:dyDescent="0.25">
      <c r="D70" s="15" t="str">
        <v>Sulfur - Generic</v>
      </c>
      <c r="E70" s="15" cm="1">
        <f t="array" ref="E70">Fertiliser_Equations_InorganicCO2.VEERG_5_1_1_3__1_InorganicFertiliserApplicationCO2Emissions(G31,$I$50,$I$51)</f>
        <v>0</v>
      </c>
    </row>
    <row r="71" spans="1:6" ht="20.100000000000001" customHeight="1" x14ac:dyDescent="0.25">
      <c r="D71" s="15" t="str">
        <v>Zinc - Generic</v>
      </c>
      <c r="E71" s="15" cm="1">
        <f t="array" ref="E71">Fertiliser_Equations_InorganicCO2.VEERG_5_1_1_3__1_InorganicFertiliserApplicationCO2Emissions(G32,$I$50,$I$51)</f>
        <v>0</v>
      </c>
    </row>
    <row r="72" spans="1:6" ht="20.100000000000001" customHeight="1" x14ac:dyDescent="0.25">
      <c r="D72" s="15" t="str">
        <v>Muriate of potash (MOP)</v>
      </c>
      <c r="E72" s="15" cm="1">
        <f t="array" ref="E72">Fertiliser_Equations_InorganicCO2.VEERG_5_1_1_3__1_InorganicFertiliserApplicationCO2Emissions(G33,$I$50,$I$51)</f>
        <v>0</v>
      </c>
    </row>
    <row r="73" spans="1:6" ht="20.100000000000001" customHeight="1" x14ac:dyDescent="0.25">
      <c r="D73" s="15" t="str">
        <v>Double superphosphate</v>
      </c>
      <c r="E73" s="15" cm="1">
        <f t="array" ref="E73">Fertiliser_Equations_InorganicCO2.VEERG_5_1_1_3__1_InorganicFertiliserApplicationCO2Emissions(G34,$I$50,$I$51)</f>
        <v>0</v>
      </c>
    </row>
    <row r="74" spans="1:6" ht="20.100000000000001" customHeight="1" x14ac:dyDescent="0.25">
      <c r="D74" s="15" t="str">
        <v>Single superphosphate (SSP)</v>
      </c>
      <c r="E74" s="15" cm="1">
        <f t="array" ref="E74">Fertiliser_Equations_InorganicCO2.VEERG_5_1_1_3__1_InorganicFertiliserApplicationCO2Emissions(G35,$I$50,$I$51)</f>
        <v>0</v>
      </c>
    </row>
    <row r="75" spans="1:6" ht="20.100000000000001" customHeight="1" x14ac:dyDescent="0.25">
      <c r="D75" s="15" t="str">
        <v>Ammonia</v>
      </c>
      <c r="E75" s="15" cm="1">
        <f t="array" ref="E75">Fertiliser_Equations_InorganicCO2.VEERG_5_1_1_3__1_InorganicFertiliserApplicationCO2Emissions(G36,$I$50,$I$51)</f>
        <v>0</v>
      </c>
    </row>
    <row r="76" spans="1:6" ht="20.100000000000001" customHeight="1" x14ac:dyDescent="0.25">
      <c r="D76" s="15" t="str">
        <v>Calcium nitrate</v>
      </c>
      <c r="E76" s="15" cm="1">
        <f t="array" ref="E76">Fertiliser_Equations_InorganicCO2.VEERG_5_1_1_3__1_InorganicFertiliserApplicationCO2Emissions(G37,$I$50,$I$51)</f>
        <v>0</v>
      </c>
    </row>
    <row r="77" spans="1:6" ht="20.100000000000001" customHeight="1" x14ac:dyDescent="0.25"/>
    <row r="78" spans="1:6" ht="20.100000000000001" customHeight="1" x14ac:dyDescent="0.25">
      <c r="D78" s="87" t="s">
        <v>783</v>
      </c>
      <c r="E78" s="90">
        <f>SUM(E58:E76)</f>
        <v>184.92752666666664</v>
      </c>
      <c r="F78" s="89" t="str">
        <f>$E$47</f>
        <v>t CO2</v>
      </c>
    </row>
    <row r="79" spans="1:6" ht="20.100000000000001" customHeight="1" x14ac:dyDescent="0.25"/>
    <row r="80" spans="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4C92-5B95-4625-8205-B24F23CDDEF4}">
  <sheetPr>
    <tabColor rgb="FF008000"/>
  </sheetPr>
  <dimension ref="A1:U165"/>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784</v>
      </c>
    </row>
    <row r="2" spans="1:21" s="3" customFormat="1" ht="20.100000000000001" customHeight="1" x14ac:dyDescent="0.25">
      <c r="A2"/>
    </row>
    <row r="3" spans="1:21" ht="20.100000000000001" customHeight="1" x14ac:dyDescent="0.25">
      <c r="A3" s="5" t="str">
        <f>HYPERLINK("#'Home'!A1", "Home")</f>
        <v>Home</v>
      </c>
      <c r="C3" s="22"/>
      <c r="D3" s="22" t="s">
        <v>129</v>
      </c>
      <c r="E3" s="22"/>
      <c r="F3" s="22"/>
      <c r="G3" s="22"/>
      <c r="H3" s="22"/>
      <c r="I3" s="22"/>
      <c r="J3" s="22"/>
      <c r="K3" s="22"/>
      <c r="L3" s="22"/>
      <c r="N3" s="22"/>
      <c r="O3" s="22" t="s">
        <v>130</v>
      </c>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Fertiliser_Equations_OrganicN2O.VEERG_5_2_1_1__2_MassOfNitrogenInOrganicFertiliser_Title()</f>
        <v>Mass of nitrogen in purchased organic fertilisers applied to production system</v>
      </c>
    </row>
    <row r="6" spans="1:21" ht="20.100000000000001" customHeight="1" x14ac:dyDescent="0.25">
      <c r="A6" s="5" t="str">
        <f>HYPERLINK("#'Results'!A1", "Results")</f>
        <v>Results</v>
      </c>
      <c r="D6" s="17" t="str" cm="1">
        <f t="array" ref="D6">Fertiliser_Equations_OrganicN2O.VEERG_5_2_1_1__2_MassOfNitrogenInOrganicFertiliser_Source()</f>
        <v>VEERG 2026: 5.2.1.1, Equation (2)</v>
      </c>
    </row>
    <row r="7" spans="1:21" ht="20.100000000000001" customHeight="1" x14ac:dyDescent="0.25">
      <c r="D7" s="117" t="s">
        <v>382</v>
      </c>
      <c r="E7" s="117" t="str" cm="1">
        <f t="array" aca="1" ref="E7" ca="1">Common_InputFunctions.Utility_DisplayFunctionName($I$20)</f>
        <v>=Fertiliser_Equations_OrganicN2O.VEERG_5_2_1_1__2_MassOfNitrogenInOrganicFertiliser</v>
      </c>
    </row>
    <row r="8" spans="1:21" ht="20.100000000000001" customHeight="1" x14ac:dyDescent="0.25"/>
    <row r="9" spans="1:21" ht="20.100000000000001" customHeight="1" x14ac:dyDescent="0.25">
      <c r="A9" s="7" t="s">
        <v>0</v>
      </c>
    </row>
    <row r="10" spans="1:21" ht="20.100000000000001" customHeight="1" x14ac:dyDescent="0.25">
      <c r="A10" s="5" t="str">
        <f>HYPERLINK("#'Input - Enterprise'!A1", "Enterprise")</f>
        <v>Enterprise</v>
      </c>
      <c r="D10" s="76" t="s">
        <v>383</v>
      </c>
      <c r="E10" s="1" t="str" cm="1">
        <f t="array" ref="E10">Fertiliser_Equations_OrganicN2O.VEERG_5_2_1_1__2_MassOfNitrogenInOrganicFertiliser_Variable()</f>
        <v>MNSoil_jf</v>
      </c>
    </row>
    <row r="11" spans="1:21" ht="20.100000000000001" customHeight="1" x14ac:dyDescent="0.25">
      <c r="A11" s="5" t="str">
        <f>HYPERLINK("#'Input - Site'!A1", "Site")</f>
        <v>Site</v>
      </c>
      <c r="D11" s="76" t="s">
        <v>118</v>
      </c>
      <c r="E11" s="9" t="str" cm="1">
        <f t="array" ref="E11">Fertiliser_Equations_OrganicN2O.VEERG_5_2_1_1__2_MassOfNitrogenInOrganicFertiliser_Unit()</f>
        <v>kg N</v>
      </c>
    </row>
    <row r="12" spans="1:21" ht="20.100000000000001" customHeight="1" x14ac:dyDescent="0.25">
      <c r="A12" s="5" t="str">
        <f>HYPERLINK("#'Input - Dairy'!A1", "Dairy")</f>
        <v>Dairy</v>
      </c>
    </row>
    <row r="13" spans="1:21" ht="20.100000000000001" customHeight="1" x14ac:dyDescent="0.25">
      <c r="A13" s="5" t="str">
        <f>HYPERLINK("#'Input - Livestock sales'!A1", "Livestock sales")</f>
        <v>Livestock sales</v>
      </c>
      <c r="D13" s="131" t="str" cm="1">
        <f t="array" ref="D13:E15">_xlfn.CHOOSECOLS(Fertiliser_Equations_OrganicN2O.VEERG_5_2_1_1__2_MassOfNitrogenInOrganicFertiliser_Arguments(), 1, 2)</f>
        <v>M_organicjf</v>
      </c>
      <c r="E13" s="134" t="str">
        <v>mass of organic fertiliser type f applied to production system j</v>
      </c>
      <c r="F13" s="137"/>
      <c r="G13" s="119" t="str" cm="1">
        <f t="array" ref="G13:H15">_xlfn.CHOOSECOLS(Fertiliser_Equations_OrganicN2O.VEERG_5_2_1_1__2_MassOfNitrogenInOrganicFertiliser_Arguments(), 3,4)</f>
        <v>kg</v>
      </c>
      <c r="H13" s="120" t="str">
        <v>Input</v>
      </c>
      <c r="I13" s="126" t="str" cm="1">
        <f t="array" aca="1" ref="I13" ca="1">HYPERLINK(Common_InputFunctions.Utility_SourceHyperlink($D$17), $D$17)</f>
        <v>Table_MNSoil_j_f</v>
      </c>
    </row>
    <row r="14" spans="1:21" ht="20.100000000000001" customHeight="1" x14ac:dyDescent="0.25">
      <c r="A14" s="5" t="str">
        <f>HYPERLINK("#'Input - Dairy cattle purchases'!A1", "Dairy cattle purchases")</f>
        <v>Dairy cattle purchases</v>
      </c>
      <c r="D14" s="131" t="str">
        <v>FN_organicf</v>
      </c>
      <c r="E14" s="134" t="str">
        <v>nitrogen fraction of organic fertiliser type f</v>
      </c>
      <c r="F14" s="137"/>
      <c r="G14" s="119" t="str">
        <v>kg N/kg</v>
      </c>
      <c r="H14" s="120" t="str">
        <v>Input</v>
      </c>
      <c r="I14" s="126" t="str" cm="1">
        <f t="array" aca="1" ref="I14" ca="1">HYPERLINK(Common_InputFunctions.Utility_SourceHyperlink($D$17), $D$17)</f>
        <v>Table_MNSoil_j_f</v>
      </c>
    </row>
    <row r="15" spans="1:21" ht="20.100000000000001" customHeight="1" x14ac:dyDescent="0.25">
      <c r="A15" s="5" t="str">
        <f>HYPERLINK("#'Input - Pasture'!A1", "Pasture")</f>
        <v>Pasture</v>
      </c>
      <c r="D15" s="131" t="str">
        <v>f</v>
      </c>
      <c r="E15" s="134" t="str">
        <v>Organic fertiliser type</v>
      </c>
      <c r="F15" s="137"/>
      <c r="G15" s="119" t="str">
        <v/>
      </c>
      <c r="H15" s="120" t="str">
        <v>Input</v>
      </c>
      <c r="I15" s="126" t="str" cm="1">
        <f t="array" aca="1" ref="I15" ca="1">HYPERLINK(Common_InputFunctions.Utility_SourceHyperlink($D$17), $D$17)</f>
        <v>Table_MNSoil_j_f</v>
      </c>
    </row>
    <row r="16" spans="1:21" ht="20.100000000000001" customHeight="1" x14ac:dyDescent="0.25">
      <c r="A16" s="5" t="str">
        <f>HYPERLINK("#'Input - Fert Prod System'!A1", "Fert Prod System")</f>
        <v>Fert Prod System</v>
      </c>
    </row>
    <row r="17" spans="1:10" ht="20.100000000000001" customHeight="1" x14ac:dyDescent="0.25">
      <c r="A17" s="5" t="str">
        <f>HYPERLINK("#'Input - Fertiliser'!A1", "Fertiliser")</f>
        <v>Fertiliser</v>
      </c>
      <c r="D17" s="121" t="s">
        <v>785</v>
      </c>
    </row>
    <row r="18" spans="1:10" ht="20.100000000000001" customHeight="1" x14ac:dyDescent="0.25">
      <c r="A18" s="5" t="str">
        <f>HYPERLINK("#'Input - Fuel'!A1", "Fuel")</f>
        <v>Fuel</v>
      </c>
      <c r="D18" s="122" t="s">
        <v>786</v>
      </c>
    </row>
    <row r="19" spans="1:10" ht="20.100000000000001" customHeight="1" x14ac:dyDescent="0.25">
      <c r="A19" s="5" t="str">
        <f>HYPERLINK("#'Input - Electricity'!A1", "Electricity")</f>
        <v>Electricity</v>
      </c>
      <c r="D19" s="81" t="s">
        <v>787</v>
      </c>
      <c r="E19" s="81" t="s">
        <v>788</v>
      </c>
      <c r="F19" s="81" t="s">
        <v>677</v>
      </c>
      <c r="G19" s="181" t="s">
        <v>789</v>
      </c>
      <c r="H19" s="81" t="s">
        <v>790</v>
      </c>
      <c r="I19" s="181" t="s">
        <v>791</v>
      </c>
    </row>
    <row r="20" spans="1:10" ht="20.100000000000001" customHeight="1" x14ac:dyDescent="0.25">
      <c r="A20" s="5" t="str">
        <f>HYPERLINK("#'Input - Common farm inputs'!A1", "Common farm inputs")</f>
        <v>Common farm inputs</v>
      </c>
      <c r="D20" s="15" t="str" cm="1">
        <f t="array" ref="D20:D22">Table_Input_OrganicFertiliser[Organic fertiliser type (select)]</f>
        <v>Manure - Other</v>
      </c>
      <c r="E20" s="182" cm="1">
        <f t="array" ref="E20:E22">Table_Input_OrganicFertiliser[Amount applied (kg/hectare)]</f>
        <v>10</v>
      </c>
      <c r="F20" s="182" cm="1">
        <f t="array" ref="F20:F22">Table_Input_OrganicFertiliser[Application area (ha)]</f>
        <v>1000</v>
      </c>
      <c r="G20" s="15" cm="1">
        <f t="array" ref="G20:G22">Table_Input_OrganicFertiliser[Amount applied (kg/hectare)]*Table_Input_OrganicFertiliser[Application area (ha)]</f>
        <v>10000</v>
      </c>
      <c r="H20" s="183" cm="1">
        <f t="array" ref="H20:H22">Table_Input_OrganicFertiliser[Percentage of N in fertiliser]</f>
        <v>0.3</v>
      </c>
      <c r="I20" s="15" cm="1">
        <f t="array" ref="I20">Fertiliser_Equations_OrganicN2O.VEERG_5_2_1_1__2_MassOfNitrogenInOrganicFertiliser(G20,H20)</f>
        <v>3000</v>
      </c>
    </row>
    <row r="21" spans="1:10" ht="20.100000000000001" customHeight="1" x14ac:dyDescent="0.25">
      <c r="A21" s="5" t="str">
        <f>HYPERLINK("#'Input - Crop pasture farm input'!A1", "Crop pasture farm input")</f>
        <v>Crop pasture farm input</v>
      </c>
      <c r="D21" s="15" t="str">
        <v>Manure - Poultry</v>
      </c>
      <c r="E21" s="15">
        <v>10</v>
      </c>
      <c r="F21" s="15">
        <v>1000</v>
      </c>
      <c r="G21" s="15">
        <v>10000</v>
      </c>
      <c r="H21" s="15">
        <v>0.25</v>
      </c>
      <c r="I21" s="15" cm="1">
        <f t="array" ref="I21">Fertiliser_Equations_Organic.VEERG_5_2_1_1__2_MassOfNitrogenInOrganicFertiliser(G21,H21)</f>
        <v>2500</v>
      </c>
    </row>
    <row r="22" spans="1:10" ht="20.100000000000001" customHeight="1" x14ac:dyDescent="0.25">
      <c r="A22" s="5" t="str">
        <f>HYPERLINK("#'Input - Livestock farm Inputs'!A1", "Livestock farm Inputs")</f>
        <v>Livestock farm Inputs</v>
      </c>
      <c r="D22" s="15" t="str">
        <v>Other organic fertiliser</v>
      </c>
      <c r="E22" s="15">
        <v>10</v>
      </c>
      <c r="F22" s="15">
        <v>1000</v>
      </c>
      <c r="G22" s="15">
        <v>10000</v>
      </c>
      <c r="H22" s="15">
        <v>0.16</v>
      </c>
      <c r="I22" s="15" cm="1">
        <f t="array" ref="I22">Fertiliser_Equations_Organic.VEERG_5_2_1_1__2_MassOfNitrogenInOrganicFertiliser(G22,H22)</f>
        <v>1600</v>
      </c>
    </row>
    <row r="23" spans="1:10" ht="20.100000000000001" customHeight="1" x14ac:dyDescent="0.25">
      <c r="A23" s="5" t="str">
        <f>HYPERLINK("#'Input - Freight'!A1", "Freight")</f>
        <v>Freight</v>
      </c>
      <c r="D23" s="15"/>
      <c r="E23" s="15"/>
      <c r="F23" s="15"/>
      <c r="G23" s="15"/>
      <c r="H23" s="15"/>
      <c r="I23" s="15" cm="1">
        <f t="array" ref="I23">Fertiliser_Equations_Organic.VEERG_5_2_1_1__2_MassOfNitrogenInOrganicFertiliser(G23,H23)</f>
        <v>0</v>
      </c>
    </row>
    <row r="24" spans="1:10" ht="20.100000000000001" customHeight="1" x14ac:dyDescent="0.25">
      <c r="A24" s="5" t="str">
        <f>HYPERLINK("#'Input - Solid waste'!A1", "Solid waste")</f>
        <v>Solid waste</v>
      </c>
      <c r="D24" s="15"/>
      <c r="E24" s="15"/>
      <c r="F24" s="15"/>
      <c r="G24" s="15"/>
      <c r="H24" s="15"/>
      <c r="I24" s="15" cm="1">
        <f t="array" ref="I24">Fertiliser_Equations_Organic.VEERG_5_2_1_1__2_MassOfNitrogenInOrganicFertiliser(G24,H24)</f>
        <v>0</v>
      </c>
    </row>
    <row r="25" spans="1:10" ht="20.100000000000001" customHeight="1" x14ac:dyDescent="0.25">
      <c r="A25" s="5" t="str">
        <f>HYPERLINK("#'Input - Manure sent off-site'!A1", "Manure sent off-site")</f>
        <v>Manure sent off-site</v>
      </c>
      <c r="D25" s="15"/>
      <c r="E25" s="15"/>
      <c r="F25" s="15"/>
      <c r="G25" s="15"/>
      <c r="H25" s="15"/>
      <c r="I25" s="15" cm="1">
        <f t="array" ref="I25">Fertiliser_Equations_Organic.VEERG_5_2_1_1__2_MassOfNitrogenInOrganicFertiliser(G25,H25)</f>
        <v>0</v>
      </c>
    </row>
    <row r="26" spans="1:10" ht="20.100000000000001" customHeight="1" x14ac:dyDescent="0.25">
      <c r="A26" s="5" t="str">
        <f>HYPERLINK("#'Input - Refrigerants'!A1", "Refrigerants")</f>
        <v>Refrigerants</v>
      </c>
      <c r="D26" s="15"/>
      <c r="E26" s="15"/>
      <c r="F26" s="15"/>
      <c r="G26" s="15"/>
      <c r="H26" s="15"/>
      <c r="I26" s="15" cm="1">
        <f t="array" ref="I26">Fertiliser_Equations_Organic.VEERG_5_2_1_1__2_MassOfNitrogenInOrganicFertiliser(G26,H26)</f>
        <v>0</v>
      </c>
    </row>
    <row r="27" spans="1:10" ht="20.100000000000001" customHeight="1" x14ac:dyDescent="0.25">
      <c r="A27" s="5" t="str">
        <f>HYPERLINK("#'Input - Data quality'!A1", "Data quality")</f>
        <v>Data quality</v>
      </c>
      <c r="D27" s="15"/>
      <c r="E27" s="15"/>
      <c r="F27" s="15"/>
      <c r="G27" s="15"/>
      <c r="H27" s="15"/>
      <c r="I27" s="15" cm="1">
        <f t="array" ref="I27">Fertiliser_Equations_Organic.VEERG_5_2_1_1__2_MassOfNitrogenInOrganicFertiliser(G27,H27)</f>
        <v>0</v>
      </c>
    </row>
    <row r="28" spans="1:10" ht="20.100000000000001" customHeight="1" x14ac:dyDescent="0.25">
      <c r="D28" s="15"/>
      <c r="E28" s="15"/>
      <c r="F28" s="15"/>
      <c r="G28" s="15"/>
      <c r="H28" s="15"/>
      <c r="I28" s="15" cm="1">
        <f t="array" ref="I28">Fertiliser_Equations_Organic.VEERG_5_2_1_1__2_MassOfNitrogenInOrganicFertiliser(G28,H28)</f>
        <v>0</v>
      </c>
    </row>
    <row r="29" spans="1:10" ht="20.100000000000001" customHeight="1" x14ac:dyDescent="0.25">
      <c r="D29" s="15"/>
      <c r="E29" s="15"/>
      <c r="F29" s="15"/>
      <c r="G29" s="15"/>
      <c r="H29" s="15"/>
      <c r="I29" s="15" cm="1">
        <f t="array" ref="I29">Fertiliser_Equations_Organic.VEERG_5_2_1_1__2_MassOfNitrogenInOrganicFertiliser(G29,H29)</f>
        <v>0</v>
      </c>
    </row>
    <row r="30" spans="1:10" ht="20.100000000000001" customHeight="1" x14ac:dyDescent="0.25">
      <c r="A30" s="6" t="s">
        <v>2</v>
      </c>
      <c r="D30" s="15"/>
      <c r="E30" s="15"/>
      <c r="F30" s="15"/>
      <c r="G30" s="15"/>
      <c r="H30" s="15"/>
      <c r="I30" s="15" cm="1">
        <f t="array" ref="I30">Fertiliser_Equations_Organic.VEERG_5_2_1_1__2_MassOfNitrogenInOrganicFertiliser(G30,H30)</f>
        <v>0</v>
      </c>
    </row>
    <row r="31" spans="1:10" ht="20.100000000000001" customHeight="1" x14ac:dyDescent="0.25">
      <c r="A31" s="5" t="str">
        <f>HYPERLINK("#'3.3.1.1-2 Enteric Methane'!A1", "3.3.1.1-2 Enteric methane")</f>
        <v>3.3.1.1-2 Enteric methane</v>
      </c>
      <c r="D31" s="184"/>
      <c r="E31" s="184"/>
      <c r="F31" s="184"/>
      <c r="G31" s="184"/>
      <c r="H31" s="184"/>
      <c r="I31" s="184"/>
      <c r="J31" s="184"/>
    </row>
    <row r="32" spans="1:10" ht="20.100000000000001" customHeight="1" x14ac:dyDescent="0.25">
      <c r="A32" s="5" t="str">
        <f>HYPERLINK("#'4.3.1.1-2 Methane'!A1", "4.3.1.1-2 Manure methane")</f>
        <v>4.3.1.1-2 Manure methane</v>
      </c>
      <c r="D32" s="92" t="s">
        <v>792</v>
      </c>
      <c r="E32" s="92">
        <f>SUM(I20:I30)</f>
        <v>7100</v>
      </c>
      <c r="F32" s="185" t="str">
        <f>$E$11</f>
        <v>kg N</v>
      </c>
      <c r="G32" s="184"/>
      <c r="H32" s="184"/>
      <c r="I32" s="184"/>
      <c r="J32" s="184"/>
    </row>
    <row r="33" spans="1:12" ht="20.100000000000001" customHeight="1" x14ac:dyDescent="0.25">
      <c r="A33" s="5" t="str">
        <f>HYPERLINK("#'4.3.1.3-4 Direct N20'!A1", "4.3.1.3-4 Direct N20")</f>
        <v>4.3.1.3-4 Direct N20</v>
      </c>
    </row>
    <row r="34" spans="1:12" ht="20.100000000000001" customHeight="1" x14ac:dyDescent="0.25">
      <c r="A34" s="5" t="str">
        <f>HYPERLINK("#'4.3.1.5 Atmos deposition'!A1", "4.3.1.5 Atmos deposition")</f>
        <v>4.3.1.5 Atmos deposition</v>
      </c>
    </row>
    <row r="35" spans="1:12" ht="20.100000000000001" customHeight="1" x14ac:dyDescent="0.25">
      <c r="A35" s="5" t="str">
        <f>HYPERLINK("#'4.3.1.6-7 Leaching and runoff'!A1", "4.3.1.6-7 Leaching &amp; runoff")</f>
        <v>4.3.1.6-7 Leaching &amp; runoff</v>
      </c>
      <c r="C35" s="186"/>
      <c r="D35" s="186"/>
      <c r="E35" s="186"/>
      <c r="F35" s="186"/>
      <c r="G35" s="186"/>
      <c r="H35" s="186"/>
      <c r="I35" s="186"/>
      <c r="J35" s="186"/>
      <c r="K35" s="186"/>
      <c r="L35" s="186"/>
    </row>
    <row r="36" spans="1:12" ht="20.100000000000001" customHeight="1" x14ac:dyDescent="0.25">
      <c r="A36" s="5" t="str">
        <f>HYPERLINK("#'4.3.1.8 Manure applied to soils'!A1", "4.3.1.8 Manure applied to soils")</f>
        <v>4.3.1.8 Manure applied to soils</v>
      </c>
      <c r="D36" s="2"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A37" s="5" t="str">
        <f>HYPERLINK("#'4.3.1.9 Soil direct N2O'!A1", "4.3.1.9 Soil direct N2O")</f>
        <v>4.3.1.9 Soil direct N2O</v>
      </c>
      <c r="D37" s="17" t="str" cm="1">
        <f t="array" ref="D37">Fertiliser_Equations_OrganicN2O.VEERG_5_2_1_1__1_OrganicFertiliserApplicationN2OEmissions_Source()</f>
        <v>VEERG 2026: 5.2.1.1, Equation (1)</v>
      </c>
    </row>
    <row r="38" spans="1:12" ht="20.100000000000001" customHeight="1" x14ac:dyDescent="0.25">
      <c r="A38" s="5" t="str">
        <f>HYPERLINK("#'4.3.1.10-11 Soil Atmos Dep'!A1", "4.3.1.10-11 Soil Atmos Deposition")</f>
        <v>4.3.1.10-11 Soil Atmos Deposition</v>
      </c>
      <c r="D38" s="117" t="s">
        <v>382</v>
      </c>
      <c r="E38" s="117" t="str" cm="1">
        <f t="array" aca="1" ref="E38" ca="1">Common_InputFunctions.Utility_DisplayFunctionName($I$20)</f>
        <v>=Fertiliser_Equations_OrganicN2O.VEERG_5_2_1_1__2_MassOfNitrogenInOrganicFertiliser</v>
      </c>
    </row>
    <row r="39" spans="1:12" ht="20.100000000000001" customHeight="1" x14ac:dyDescent="0.25">
      <c r="A39" s="5" t="str">
        <f>HYPERLINK("#'4.3.1.12-13 Soil leach runoff'!A1", "4.3.1.12-13 Soil leach &amp; runoff")</f>
        <v>4.3.1.12-13 Soil leach &amp; runoff</v>
      </c>
    </row>
    <row r="40" spans="1:12" ht="20.100000000000001" customHeight="1" x14ac:dyDescent="0.25">
      <c r="A40" s="5" t="str">
        <f>HYPERLINK("#'5.1.1.1-2 Inorganic fert N2O'!A1", "5.1.1.1-2 Inorganic fert N2O")</f>
        <v>5.1.1.1-2 Inorganic fert N2O</v>
      </c>
    </row>
    <row r="41" spans="1:12" ht="20.100000000000001" customHeight="1" x14ac:dyDescent="0.25">
      <c r="A41" s="5" t="str">
        <f>HYPERLINK("#'5.1.1.3-4 Inorganic fert CO2'!A1", "5.1.1.3-4 Inorganic fert CO2")</f>
        <v>5.1.1.3-4 Inorganic fert CO2</v>
      </c>
      <c r="D41" s="76" t="s">
        <v>383</v>
      </c>
      <c r="E41" s="1" t="str" cm="1">
        <f t="array" ref="E41">Fertiliser_Equations_OrganicN2O.VEERG_5_2_1_1__1_OrganicFertiliserApplicationN2OEmissions_Variable()</f>
        <v>E_N2O</v>
      </c>
    </row>
    <row r="42" spans="1:12" ht="20.100000000000001" customHeight="1" x14ac:dyDescent="0.25">
      <c r="A42" s="118" t="str">
        <f>HYPERLINK("#'5.2.1.1-2 Organic Fert N2O'!A1", "5.2.1.1-2 Organic fert N2O")</f>
        <v>5.2.1.1-2 Organic fert N2O</v>
      </c>
      <c r="D42" s="76" t="s">
        <v>118</v>
      </c>
      <c r="E42" s="9" t="str" cm="1">
        <f t="array" ref="E42">Fertiliser_Equations_OrganicN2O.VEERG_5_2_1_1__1_OrganicFertiliserApplicationN2OEmissions_Unit()</f>
        <v>t N2O</v>
      </c>
    </row>
    <row r="43" spans="1:12" ht="20.100000000000001" customHeight="1" x14ac:dyDescent="0.25">
      <c r="A43" s="5" t="str">
        <f>HYPERLINK("#'5.3.1.1-2 Lime CO2'!A1", "5.3.1.1-2 Lime CO2")</f>
        <v>5.3.1.1-2 Lime CO2</v>
      </c>
    </row>
    <row r="44" spans="1:12" ht="20.100000000000001" customHeight="1" x14ac:dyDescent="0.25">
      <c r="A44" s="5" t="str">
        <f>HYPERLINK("#'5.4.1.1-4 Atmos deposition'!A1", "5.4.1.1-4 Atmos. deposition")</f>
        <v>5.4.1.1-4 Atmos. deposition</v>
      </c>
      <c r="D44" s="119" t="str" cm="1">
        <f t="array" ref="D44:E48">_xlfn.CHOOSECOLS(Fertiliser_Equations_OrganicN2O.VEERG_5_2_1_1__1_OrganicFertiliserApplicationN2OEmissions_Arguments(), 1, 2)</f>
        <v>MNSoil_jf</v>
      </c>
      <c r="E44" s="124" t="str">
        <v>mass of nitrogen in organic fertiliser type f applied to production system j</v>
      </c>
      <c r="F44" s="132"/>
      <c r="G44" s="132"/>
      <c r="H44" s="125"/>
      <c r="I44" s="119" t="str" cm="1">
        <f t="array" ref="I44:J48">_xlfn.CHOOSECOLS(Fertiliser_Equations_OrganicN2O.VEERG_5_2_1_1__1_OrganicFertiliserApplicationN2OEmissions_Arguments(), 3,4)</f>
        <v>kg N</v>
      </c>
      <c r="J44" s="127" t="str">
        <v>Calculated from 5.2.1.1 (2)</v>
      </c>
      <c r="K44" s="119">
        <f>$E$32</f>
        <v>7100</v>
      </c>
    </row>
    <row r="45" spans="1:12" ht="20.100000000000001" customHeight="1" x14ac:dyDescent="0.25">
      <c r="A45" s="5" t="str">
        <f>HYPERLINK("#'5.5.1.1-2 Leaching and runoff'!A1", "5.5.1.1-2 Leaching &amp; runoff")</f>
        <v>5.5.1.1-2 Leaching &amp; runoff</v>
      </c>
      <c r="D45" s="119" t="str">
        <v>EF_N2Oi</v>
      </c>
      <c r="E45" s="124" t="str">
        <v>emission factor for direct nitrous oxide emissions from organic fertiliser applied to soils and aquatic systems in climate zone i</v>
      </c>
      <c r="F45" s="132"/>
      <c r="G45" s="132"/>
      <c r="H45" s="125"/>
      <c r="I45" s="119" t="str">
        <v>kg N2O-N/kg N</v>
      </c>
      <c r="J45" s="127" t="str">
        <v>Lookup</v>
      </c>
      <c r="K45" s="119">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A46" s="5" t="str">
        <f>HYPERLINK("#'6.2.1.1-2 Pasture residue N2O'!A1", "6.2.1.1-2 Pasture residue N2O")</f>
        <v>6.2.1.1-2 Pasture residue N2O</v>
      </c>
      <c r="D46" s="119" t="str">
        <v>C_N2O</v>
      </c>
      <c r="E46" s="124" t="str">
        <v>factor to convert elemental mass of nitrous oxide to molecular mass</v>
      </c>
      <c r="F46" s="132"/>
      <c r="G46" s="132"/>
      <c r="H46" s="125"/>
      <c r="I46" s="119" t="str">
        <v/>
      </c>
      <c r="J46" s="127" t="str">
        <v>Constant</v>
      </c>
      <c r="K46" s="131">
        <f>Common_InputFunctions.Utility_LookupValueInTableNumber("N2O",Table_GasToMolecularConversionFactor[Gas],Table_GasToMolecularConversionFactor[Conversion factor combined])</f>
        <v>1.5714285714285714</v>
      </c>
    </row>
    <row r="47" spans="1:12" ht="20.100000000000001" customHeight="1" x14ac:dyDescent="0.25">
      <c r="A47" s="5" t="str">
        <f>HYPERLINK("#'6.3.1.1-2 Leach runoff pasture'!A1", "6.3.1.1-2 Leach &amp; runoff (pasture)")</f>
        <v>6.3.1.1-2 Leach &amp; runoff (pasture)</v>
      </c>
      <c r="D47" s="119" t="str">
        <v>j</v>
      </c>
      <c r="E47" s="124" t="str">
        <v>Production system</v>
      </c>
      <c r="F47" s="132"/>
      <c r="G47" s="132"/>
      <c r="H47" s="125"/>
      <c r="I47" s="119" t="str">
        <v/>
      </c>
      <c r="J47" s="120" t="str">
        <v>Input</v>
      </c>
      <c r="K47" s="119" t="str">
        <f>X_Cell_Fertiliser_ProductionSystem</f>
        <v>Pasture</v>
      </c>
    </row>
    <row r="48" spans="1:12" ht="20.100000000000001" customHeight="1" x14ac:dyDescent="0.25">
      <c r="A48" s="5" t="str">
        <f>HYPERLINK("#'8.1.1.1-2 Transport fuel'!A1", "8.1.1.1-2 Transport fuel")</f>
        <v>8.1.1.1-2 Transport fuel</v>
      </c>
      <c r="D48" s="119" t="str">
        <v>i</v>
      </c>
      <c r="E48" s="124" t="str">
        <v>Wet or dry climate zone</v>
      </c>
      <c r="F48" s="132"/>
      <c r="G48" s="132"/>
      <c r="H48" s="125"/>
      <c r="I48" s="119" t="str">
        <v/>
      </c>
      <c r="J48" s="120" t="str">
        <v>Input</v>
      </c>
      <c r="K48" s="119" t="str">
        <f>X_Cell_Site_WetOrDryClimateZone</f>
        <v>Dry climate zone</v>
      </c>
    </row>
    <row r="49" spans="1:7" ht="20.100000000000001" customHeight="1" x14ac:dyDescent="0.25">
      <c r="A49" s="5" t="str">
        <f>HYPERLINK("#'8.2.1.1-2 Stationary fuel'!A1", "8.2.1.1-2 Stationary fuel")</f>
        <v>8.2.1.1-2 Stationary fuel</v>
      </c>
    </row>
    <row r="50" spans="1:7" ht="20.100000000000001" customHeight="1" x14ac:dyDescent="0.25">
      <c r="A50" s="5" t="str">
        <f>HYPERLINK("#'9.1.1.1-2 Refrigerant use'!A1", "9.1.1.1-2 Refrigerant use")</f>
        <v>9.1.1.1-2 Refrigerant use</v>
      </c>
      <c r="D50" s="87" t="s">
        <v>766</v>
      </c>
      <c r="E50" s="90" cm="1">
        <f t="array" ref="E50">Fertiliser_Equations_OrganicN2O.VEERG_5_2_1_1__1_OrganicFertiliserApplicationN2OEmissions(K44,K45,K46)</f>
        <v>5.5785714285714286E-2</v>
      </c>
      <c r="F50" s="89" t="str">
        <f>$E$42</f>
        <v>t N2O</v>
      </c>
    </row>
    <row r="51" spans="1:7" ht="20.100000000000001" customHeight="1" x14ac:dyDescent="0.25">
      <c r="A51" s="5" t="str">
        <f>HYPERLINK("#'10.1.1-2 Solid waste treatment'!A1", "10.1.1.1-2 Solid waste")</f>
        <v>10.1.1.1-2 Solid waste</v>
      </c>
    </row>
    <row r="52" spans="1:7" ht="20.100000000000001" customHeight="1" x14ac:dyDescent="0.25">
      <c r="A52" s="5" t="str">
        <f>HYPERLINK("#'14.1.1-2 Purchased electricity'!A1", "14.1.1-2 Purchased electricity")</f>
        <v>14.1.1-2 Purchased electricity</v>
      </c>
      <c r="D52" s="131" t="str" cm="1">
        <f t="array" ref="D52:E53">Common_Equations.Common_ConvertN2OToCO2e_Arguments()</f>
        <v>EN2O</v>
      </c>
      <c r="E52" s="134" t="str">
        <v>Nitrous oxide emissions (t N2O)</v>
      </c>
      <c r="F52" s="135"/>
      <c r="G52" s="15">
        <f>VEERG_5_2_1_1__2_MassOfNitrogenInOrganicFertiliser_Result_Method1</f>
        <v>5.5785714285714286E-2</v>
      </c>
    </row>
    <row r="53" spans="1:7" ht="20.100000000000001" customHeight="1" x14ac:dyDescent="0.25">
      <c r="A53" s="5" t="str">
        <f>HYPERLINK("#'15 Scope 3'!A1", "15 Scope 3")</f>
        <v>15 Scope 3</v>
      </c>
      <c r="D53" s="131" t="str">
        <v>GWPN2O</v>
      </c>
      <c r="E53" s="134" t="str">
        <v>Global warming potential for nitrous oxide (t CO2-e / t N2O)</v>
      </c>
      <c r="F53" s="135"/>
      <c r="G53" s="15">
        <f>Common_InputFunctions.Utility_LookupValueInTableNumber("N2O",Table_GWPData[Gas],Table_GWPData[CO2-e factor])</f>
        <v>265</v>
      </c>
    </row>
    <row r="54" spans="1:7" ht="20.100000000000001" customHeight="1" x14ac:dyDescent="0.25">
      <c r="A54" s="5" t="str">
        <f>HYPERLINK("#'Calcs - Manure sent off-site'!A1", "Calcs - Manure sent off-site")</f>
        <v>Calcs - Manure sent off-site</v>
      </c>
    </row>
    <row r="55" spans="1:7" ht="20.100000000000001" customHeight="1" x14ac:dyDescent="0.25">
      <c r="D55" s="88" t="s">
        <v>532</v>
      </c>
      <c r="E55" s="88" cm="1">
        <f t="array" ref="E55">Common_Equations.Common_ConvertN2OToCO2e(G52,G53)</f>
        <v>14.783214285714285</v>
      </c>
      <c r="F55" s="93" t="str" cm="1">
        <f t="array" ref="F55">Common_Equations.Common_ConvertN2OToCO2e_Unit()</f>
        <v>t CO2e</v>
      </c>
    </row>
    <row r="56" spans="1:7" ht="20.100000000000001" customHeight="1" x14ac:dyDescent="0.25"/>
    <row r="57" spans="1:7" ht="20.100000000000001" customHeight="1" x14ac:dyDescent="0.25">
      <c r="A57" s="82" t="s">
        <v>1</v>
      </c>
    </row>
    <row r="58" spans="1:7" ht="20.100000000000001" customHeight="1" x14ac:dyDescent="0.25">
      <c r="A58" s="5" t="str">
        <f>HYPERLINK("#'Constants - Dairy'!A1", "Constants - Dairy")</f>
        <v>Constants - Dairy</v>
      </c>
    </row>
    <row r="59" spans="1:7" ht="20.100000000000001" customHeight="1" x14ac:dyDescent="0.25">
      <c r="A59" s="5" t="str">
        <f>HYPERLINK("#'Constants - Ag Residue'!A1", "Constants - Ag residue")</f>
        <v>Constants - Ag residue</v>
      </c>
    </row>
    <row r="60" spans="1:7" ht="20.100000000000001" customHeight="1" x14ac:dyDescent="0.25">
      <c r="A60" s="5" t="str">
        <f>HYPERLINK("#'Constants - Common Livestock'!A1", "Constants - Common Livestock")</f>
        <v>Constants - Common Livestock</v>
      </c>
    </row>
    <row r="61" spans="1:7" ht="20.100000000000001" customHeight="1" x14ac:dyDescent="0.25">
      <c r="A61" s="5" t="str">
        <f>HYPERLINK("#'Constants - Electricity'!A1", "Constants - Electricity")</f>
        <v>Constants - Electricity</v>
      </c>
    </row>
    <row r="62" spans="1:7" ht="20.100000000000001" customHeight="1" x14ac:dyDescent="0.25">
      <c r="A62" s="5" t="str">
        <f>HYPERLINK("#'Constants - Fertiliser'!A1", "Constants - Fertiliser")</f>
        <v>Constants - Fertiliser</v>
      </c>
    </row>
    <row r="63" spans="1:7" ht="20.100000000000001" customHeight="1" x14ac:dyDescent="0.25">
      <c r="A63" s="5" t="str">
        <f>HYPERLINK("#'Constants - Fuel'!A1", "Constants - Fuel")</f>
        <v>Constants - Fuel</v>
      </c>
    </row>
    <row r="64" spans="1:7" ht="20.100000000000001" customHeight="1" x14ac:dyDescent="0.25">
      <c r="A64" s="5" t="str">
        <f>HYPERLINK("#'Constants - Scope 3'!A1", "Constants - Scope 3")</f>
        <v>Constants - Scope 3</v>
      </c>
    </row>
    <row r="65" spans="1:1" ht="20.100000000000001" customHeight="1" x14ac:dyDescent="0.25">
      <c r="A65" s="5" t="str">
        <f>HYPERLINK("#'Constants - Common'!A1", "Constants - Common")</f>
        <v>Constants - Common</v>
      </c>
    </row>
    <row r="66" spans="1:1" ht="20.100000000000001" customHeight="1" x14ac:dyDescent="0.25">
      <c r="A66" s="5" t="str">
        <f>HYPERLINK("#'Constants - Refrigerants'!A1", "Constants - Refrigerants")</f>
        <v>Constants - Refrigerants</v>
      </c>
    </row>
    <row r="67" spans="1:1" ht="20.100000000000001" customHeight="1" x14ac:dyDescent="0.25">
      <c r="A67" s="5" t="str">
        <f>HYPERLINK("#'Constants - Solid Waste'!A1", "Constants - Solid Waste")</f>
        <v>Constants - Solid Waste</v>
      </c>
    </row>
    <row r="68" spans="1:1" ht="20.100000000000001" customHeight="1" x14ac:dyDescent="0.25">
      <c r="A68" s="5" t="str">
        <f>HYPERLINK("#'Acknowledgements'!A1", "Acknowledgements")</f>
        <v>Acknowledgements</v>
      </c>
    </row>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363A5-B500-4D58-A86F-B4B1654494C2}">
  <sheetPr>
    <tabColor rgb="FF008000"/>
  </sheetPr>
  <dimension ref="A1:U165"/>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793</v>
      </c>
    </row>
    <row r="2" spans="1:21" s="3" customFormat="1" ht="20.100000000000001" customHeight="1" x14ac:dyDescent="0.25">
      <c r="A2"/>
    </row>
    <row r="3" spans="1:21" ht="20.100000000000001" customHeight="1" x14ac:dyDescent="0.25">
      <c r="A3" s="5" t="str">
        <f>HYPERLINK("#'Home'!A1", "Home")</f>
        <v>Home</v>
      </c>
      <c r="C3" s="22"/>
      <c r="D3" s="22" t="s">
        <v>129</v>
      </c>
      <c r="E3" s="22"/>
      <c r="F3" s="22"/>
      <c r="G3" s="22"/>
      <c r="H3" s="22"/>
      <c r="I3" s="22"/>
      <c r="J3" s="22"/>
      <c r="K3" s="22"/>
      <c r="L3" s="22"/>
      <c r="N3" s="22"/>
      <c r="O3" s="22" t="s">
        <v>130</v>
      </c>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Fertiliser_Equations_Lime.VEERG_5_3_1_1__1_LimeApplicationCO2Emissions_Title()</f>
        <v>Emissions from the application of lime and dolomite to production systems</v>
      </c>
    </row>
    <row r="6" spans="1:21" ht="20.100000000000001" customHeight="1" x14ac:dyDescent="0.25">
      <c r="A6" s="5" t="str">
        <f>HYPERLINK("#'Results'!A1", "Results")</f>
        <v>Results</v>
      </c>
      <c r="D6" s="17" t="str" cm="1">
        <f t="array" ref="D6">Fertiliser_Equations_Lime.VEERG_5_3_1_1__1_LimeApplicationCO2Emissions_Source()</f>
        <v>VEERG 2026: 5.3.1.1, Equation (1)</v>
      </c>
    </row>
    <row r="7" spans="1:21" ht="20.100000000000001" customHeight="1" x14ac:dyDescent="0.25">
      <c r="D7" s="117" t="s">
        <v>382</v>
      </c>
      <c r="E7" s="117" t="str" cm="1">
        <f t="array" aca="1" ref="E7" ca="1">Common_InputFunctions.Utility_DisplayFunctionName(H25)</f>
        <v>=Fertiliser_Equations_Lime.VEERG_5_3_1_1__1_LimeApplicationCO2Emissions</v>
      </c>
    </row>
    <row r="8" spans="1:21" ht="20.100000000000001" customHeight="1" x14ac:dyDescent="0.25"/>
    <row r="9" spans="1:21" ht="20.100000000000001" customHeight="1" x14ac:dyDescent="0.25">
      <c r="A9" s="7" t="s">
        <v>0</v>
      </c>
    </row>
    <row r="10" spans="1:21" ht="20.100000000000001" customHeight="1" x14ac:dyDescent="0.25">
      <c r="A10" s="5" t="str">
        <f>HYPERLINK("#'Input - Enterprise'!A1", "Enterprise")</f>
        <v>Enterprise</v>
      </c>
      <c r="D10" s="76" t="s">
        <v>383</v>
      </c>
      <c r="E10" s="1" t="str" cm="1">
        <f t="array" ref="E10">Fertiliser_Equations_Lime.VEERG_5_3_1_1__1_LimeApplicationCO2Emissions_Variable()</f>
        <v>E_lime</v>
      </c>
    </row>
    <row r="11" spans="1:21" ht="20.100000000000001" customHeight="1" x14ac:dyDescent="0.25">
      <c r="A11" s="5" t="str">
        <f>HYPERLINK("#'Input - Site'!A1", "Site")</f>
        <v>Site</v>
      </c>
      <c r="D11" s="76" t="s">
        <v>118</v>
      </c>
      <c r="E11" s="9" t="str" cm="1">
        <f t="array" ref="E11">Fertiliser_Equations_Lime.VEERG_5_3_1_1__1_LimeApplicationCO2Emissions_Unit()</f>
        <v>t CO2</v>
      </c>
    </row>
    <row r="12" spans="1:21" ht="20.100000000000001" customHeight="1" x14ac:dyDescent="0.25">
      <c r="A12" s="5" t="str">
        <f>HYPERLINK("#'Input - Dairy'!A1", "Dairy")</f>
        <v>Dairy</v>
      </c>
    </row>
    <row r="13" spans="1:21" ht="20.100000000000001" customHeight="1" x14ac:dyDescent="0.25">
      <c r="A13" s="5" t="str">
        <f>HYPERLINK("#'Input - Livestock sales'!A1", "Livestock sales")</f>
        <v>Livestock sales</v>
      </c>
      <c r="D13" s="119" t="str" cm="1">
        <f t="array" ref="D13:E20">_xlfn.CHOOSECOLS(Fertiliser_Equations_Lime.VEERG_5_3_1_1__1_LimeApplicationCO2Emissions_Arguments(), 1, 2)</f>
        <v>M_lime</v>
      </c>
      <c r="E13" s="124" t="str">
        <v>total mass of lime applied to production system</v>
      </c>
      <c r="F13" s="125"/>
      <c r="G13" s="119" t="str" cm="1">
        <f t="array" ref="G13:H20">_xlfn.CHOOSECOLS(Fertiliser_Equations_Lime.VEERG_5_3_1_1__1_LimeApplicationCO2Emissions_Arguments(), 3,4)</f>
        <v>kg</v>
      </c>
      <c r="H13" s="120" t="str">
        <v>Input</v>
      </c>
      <c r="I13" s="126" t="str" cm="1">
        <f t="array" aca="1" ref="I13" ca="1">HYPERLINK(Common_InputFunctions.Utility_SourceHyperlink($D$22), $D$22)</f>
        <v>Table_E_lime</v>
      </c>
    </row>
    <row r="14" spans="1:21" ht="20.100000000000001" customHeight="1" x14ac:dyDescent="0.25">
      <c r="A14" s="5" t="str">
        <f>HYPERLINK("#'Input - Dairy cattle purchases'!A1", "Dairy cattle purchases")</f>
        <v>Dairy cattle purchases</v>
      </c>
      <c r="D14" s="119" t="str">
        <v>FracLime</v>
      </c>
      <c r="E14" s="124" t="str">
        <v>fraction of lime as limestone (CaCO3)</v>
      </c>
      <c r="F14" s="125"/>
      <c r="G14" s="119" t="str">
        <v>fraction</v>
      </c>
      <c r="H14" s="120" t="str">
        <v>Input</v>
      </c>
      <c r="I14" s="126" t="str" cm="1">
        <f t="array" aca="1" ref="I14" ca="1">HYPERLINK(Common_InputFunctions.Utility_SourceHyperlink($D$22), $D$22)</f>
        <v>Table_E_lime</v>
      </c>
    </row>
    <row r="15" spans="1:21" ht="20.100000000000001" customHeight="1" x14ac:dyDescent="0.25">
      <c r="A15" s="5" t="str">
        <f>HYPERLINK("#'Input - Pasture'!A1", "Pasture")</f>
        <v>Pasture</v>
      </c>
      <c r="D15" s="119" t="str">
        <v>P_lime</v>
      </c>
      <c r="E15" s="124" t="str">
        <v>fractional purity of limestone</v>
      </c>
      <c r="F15" s="125"/>
      <c r="G15" s="119" t="str">
        <v>fraction</v>
      </c>
      <c r="H15" s="127" t="str">
        <v>Constant</v>
      </c>
      <c r="I15" s="119">
        <f>'Constants - Fertiliser'!$E$66</f>
        <v>0.9</v>
      </c>
    </row>
    <row r="16" spans="1:21" ht="20.100000000000001" customHeight="1" x14ac:dyDescent="0.25">
      <c r="A16" s="5" t="str">
        <f>HYPERLINK("#'Input - Fert Prod System'!A1", "Fert Prod System")</f>
        <v>Fert Prod System</v>
      </c>
      <c r="D16" s="119" t="str">
        <v>EF_lime</v>
      </c>
      <c r="E16" s="124" t="str">
        <v>emission factor for limestone fraction of lime</v>
      </c>
      <c r="F16" s="125"/>
      <c r="G16" s="119" t="str">
        <v>kg C/kg</v>
      </c>
      <c r="H16" s="127" t="str">
        <v>Constant</v>
      </c>
      <c r="I16" s="119">
        <f>'Constants - Fertiliser'!$F$66</f>
        <v>0.12</v>
      </c>
    </row>
    <row r="17" spans="1:9" ht="20.100000000000001" customHeight="1" x14ac:dyDescent="0.25">
      <c r="A17" s="5" t="str">
        <f>HYPERLINK("#'Input - Fertiliser'!A1", "Fertiliser")</f>
        <v>Fertiliser</v>
      </c>
      <c r="D17" s="119" t="str">
        <v>FracDol</v>
      </c>
      <c r="E17" s="124" t="str">
        <v>fraction of lime as dolomite</v>
      </c>
      <c r="F17" s="125"/>
      <c r="G17" s="119" t="str">
        <v>fraction</v>
      </c>
      <c r="H17" s="120" t="str">
        <v>Input</v>
      </c>
      <c r="I17" s="126" t="str" cm="1">
        <f t="array" aca="1" ref="I17" ca="1">HYPERLINK(Common_InputFunctions.Utility_SourceHyperlink($D$22), $D$22)</f>
        <v>Table_E_lime</v>
      </c>
    </row>
    <row r="18" spans="1:9" ht="20.100000000000001" customHeight="1" x14ac:dyDescent="0.25">
      <c r="A18" s="5" t="str">
        <f>HYPERLINK("#'Input - Fuel'!A1", "Fuel")</f>
        <v>Fuel</v>
      </c>
      <c r="D18" s="119" t="str">
        <v>P_dol</v>
      </c>
      <c r="E18" s="124" t="str">
        <v>fractional purity of dolomite</v>
      </c>
      <c r="F18" s="125"/>
      <c r="G18" s="119" t="str">
        <v>fraction</v>
      </c>
      <c r="H18" s="127" t="str">
        <v>Constant</v>
      </c>
      <c r="I18" s="119">
        <f>'Constants - Fertiliser'!$E$67</f>
        <v>0.95</v>
      </c>
    </row>
    <row r="19" spans="1:9" ht="20.100000000000001" customHeight="1" x14ac:dyDescent="0.25">
      <c r="A19" s="5" t="str">
        <f>HYPERLINK("#'Input - Electricity'!A1", "Electricity")</f>
        <v>Electricity</v>
      </c>
      <c r="D19" s="119" t="str">
        <v>EF_dol</v>
      </c>
      <c r="E19" s="124" t="str">
        <v>emission factor for dolomite fraction of lime</v>
      </c>
      <c r="F19" s="125"/>
      <c r="G19" s="119" t="str">
        <v>kg C/kg</v>
      </c>
      <c r="H19" s="127" t="str">
        <v>Constant</v>
      </c>
      <c r="I19" s="119">
        <f>'Constants - Fertiliser'!$F$67</f>
        <v>0.13</v>
      </c>
    </row>
    <row r="20" spans="1:9" ht="20.100000000000001" customHeight="1" x14ac:dyDescent="0.25">
      <c r="A20" s="5" t="str">
        <f>HYPERLINK("#'Input - Common farm inputs'!A1", "Common farm inputs")</f>
        <v>Common farm inputs</v>
      </c>
      <c r="D20" s="119" t="str">
        <v>C_CO2</v>
      </c>
      <c r="E20" s="124" t="str">
        <v>factor to convert elemental mass of carbon dioxide to molecular mass</v>
      </c>
      <c r="F20" s="125"/>
      <c r="G20" s="119" t="str">
        <v/>
      </c>
      <c r="H20" s="127" t="str">
        <v>Constant</v>
      </c>
      <c r="I20" s="131">
        <f>Common_InputFunctions.Utility_LookupValueInTableNumber("CO2",Table_GasToMolecularConversionFactor[Gas], Table_GasToMolecularConversionFactor[Conversion factor combined])</f>
        <v>3.6666666666666665</v>
      </c>
    </row>
    <row r="21" spans="1:9" ht="20.100000000000001" customHeight="1" x14ac:dyDescent="0.25">
      <c r="A21" s="5" t="str">
        <f>HYPERLINK("#'Input - Crop pasture farm input'!A1", "Crop pasture farm input")</f>
        <v>Crop pasture farm input</v>
      </c>
    </row>
    <row r="22" spans="1:9" ht="20.100000000000001" customHeight="1" x14ac:dyDescent="0.25">
      <c r="A22" s="5" t="str">
        <f>HYPERLINK("#'Input - Livestock farm Inputs'!A1", "Livestock farm Inputs")</f>
        <v>Livestock farm Inputs</v>
      </c>
      <c r="D22" s="121" t="s">
        <v>794</v>
      </c>
    </row>
    <row r="23" spans="1:9" ht="20.100000000000001" customHeight="1" x14ac:dyDescent="0.25">
      <c r="A23" s="5" t="str">
        <f>HYPERLINK("#'Input - Freight'!A1", "Freight")</f>
        <v>Freight</v>
      </c>
      <c r="D23" s="122" t="s">
        <v>714</v>
      </c>
    </row>
    <row r="24" spans="1:9" ht="20.100000000000001" customHeight="1" x14ac:dyDescent="0.25">
      <c r="A24" s="5" t="str">
        <f>HYPERLINK("#'Input - Solid waste'!A1", "Solid waste")</f>
        <v>Solid waste</v>
      </c>
      <c r="D24" s="81" t="s">
        <v>795</v>
      </c>
      <c r="E24" s="81" t="s">
        <v>796</v>
      </c>
      <c r="F24" s="81" t="s">
        <v>797</v>
      </c>
      <c r="G24" s="81" t="s">
        <v>798</v>
      </c>
      <c r="H24" s="123" t="s">
        <v>799</v>
      </c>
    </row>
    <row r="25" spans="1:9" ht="20.100000000000001" customHeight="1" x14ac:dyDescent="0.25">
      <c r="A25" s="5" t="str">
        <f>HYPERLINK("#'Input - Manure sent off-site'!A1", "Manure sent off-site")</f>
        <v>Manure sent off-site</v>
      </c>
      <c r="D25" s="15" t="str" cm="1">
        <f t="array" ref="D25:D27">Table_Input_Lime[Product]</f>
        <v>Lime product 1</v>
      </c>
      <c r="E25" s="133" cm="1">
        <f t="array" ref="E25:E27">Table_Input_Lime[Total amount applied (t)]*10^3</f>
        <v>1000000</v>
      </c>
      <c r="F25" s="187" cm="1">
        <f t="array" ref="F25:F27">Table_Input_Lime[Percent Lime CaCO3]</f>
        <v>0.8</v>
      </c>
      <c r="G25" s="187" cm="1">
        <f t="array" ref="G25:G27">Table_Input_Lime[Percent Dolomite CaMg(CO3)2]</f>
        <v>0.1</v>
      </c>
      <c r="H25" s="15" cm="1">
        <f t="array" ref="H25">Fertiliser_Equations_Lime.VEERG_5_3_1_1__1_LimeApplicationCO2Emissions(E25,F25,$I$15,$I$16,G25,$I$18,$I$19,$I$20)</f>
        <v>362.08333333333331</v>
      </c>
    </row>
    <row r="26" spans="1:9" ht="20.100000000000001" customHeight="1" x14ac:dyDescent="0.25">
      <c r="A26" s="5" t="str">
        <f>HYPERLINK("#'Input - Refrigerants'!A1", "Refrigerants")</f>
        <v>Refrigerants</v>
      </c>
      <c r="D26" s="15" t="str">
        <v>Lime product 2</v>
      </c>
      <c r="E26" s="15">
        <v>1000000</v>
      </c>
      <c r="F26" s="15">
        <v>1</v>
      </c>
      <c r="G26" s="15">
        <v>0</v>
      </c>
      <c r="H26" s="15" cm="1">
        <f t="array" ref="H26">Fertiliser_Equations_Lime.VEERG_5_3_1_1__1_LimeApplicationCO2Emissions(E26,F26,$I$15,$I$16,G26,$I$18,$I$19,$I$20)</f>
        <v>396</v>
      </c>
    </row>
    <row r="27" spans="1:9" ht="20.100000000000001" customHeight="1" x14ac:dyDescent="0.25">
      <c r="A27" s="5" t="str">
        <f>HYPERLINK("#'Input - Data quality'!A1", "Data quality")</f>
        <v>Data quality</v>
      </c>
      <c r="D27" s="15" t="str">
        <v>Lime product 3</v>
      </c>
      <c r="E27" s="15">
        <v>1000000</v>
      </c>
      <c r="F27" s="15">
        <v>0</v>
      </c>
      <c r="G27" s="15">
        <v>0</v>
      </c>
      <c r="H27" s="15" cm="1">
        <f t="array" ref="H27">Fertiliser_Equations_Lime.VEERG_5_3_1_1__1_LimeApplicationCO2Emissions(E27,F27,$I$15,$I$16,G27,$I$18,$I$19,$I$20)</f>
        <v>0</v>
      </c>
    </row>
    <row r="28" spans="1:9" ht="20.100000000000001" customHeight="1" x14ac:dyDescent="0.25">
      <c r="D28" s="15"/>
      <c r="E28" s="15"/>
      <c r="F28" s="15"/>
      <c r="G28" s="15"/>
      <c r="H28" s="15" cm="1">
        <f t="array" ref="H28">Fertiliser_Equations_Lime.VEERG_5_3_1_1__1_LimeApplicationCO2Emissions(E28,F28,$I$15,$I$16,G28,$I$18,$I$19,$I$20)</f>
        <v>0</v>
      </c>
    </row>
    <row r="29" spans="1:9" ht="20.100000000000001" customHeight="1" x14ac:dyDescent="0.25">
      <c r="D29" s="15"/>
      <c r="E29" s="15"/>
      <c r="F29" s="15"/>
      <c r="G29" s="15"/>
      <c r="H29" s="15" cm="1">
        <f t="array" ref="H29">Fertiliser_Equations_Lime.VEERG_5_3_1_1__1_LimeApplicationCO2Emissions(E29,F29,$I$15,$I$16,G29,$I$18,$I$19,$I$20)</f>
        <v>0</v>
      </c>
    </row>
    <row r="30" spans="1:9" ht="20.100000000000001" customHeight="1" x14ac:dyDescent="0.25">
      <c r="A30" s="6" t="s">
        <v>2</v>
      </c>
    </row>
    <row r="31" spans="1:9" ht="20.100000000000001" customHeight="1" x14ac:dyDescent="0.25">
      <c r="A31" s="5" t="str">
        <f>HYPERLINK("#'3.3.1.1-2 Enteric Methane'!A1", "3.3.1.1-2 Enteric methane")</f>
        <v>3.3.1.1-2 Enteric methane</v>
      </c>
      <c r="D31" s="87" t="s">
        <v>800</v>
      </c>
      <c r="E31" s="90">
        <f>SUM(H25:H29)</f>
        <v>758.08333333333326</v>
      </c>
      <c r="F31" s="188" t="s">
        <v>126</v>
      </c>
    </row>
    <row r="32" spans="1:9" ht="20.100000000000001" customHeight="1" x14ac:dyDescent="0.25">
      <c r="A32" s="5" t="str">
        <f>HYPERLINK("#'4.3.1.1-2 Methane'!A1", "4.3.1.1-2 Manure methane")</f>
        <v>4.3.1.1-2 Manure methane</v>
      </c>
    </row>
    <row r="33" spans="1:1" ht="20.100000000000001" customHeight="1" x14ac:dyDescent="0.25">
      <c r="A33" s="5" t="str">
        <f>HYPERLINK("#'4.3.1.3-4 Direct N20'!A1", "4.3.1.3-4 Direct N20")</f>
        <v>4.3.1.3-4 Direct N20</v>
      </c>
    </row>
    <row r="34" spans="1:1" ht="20.100000000000001" customHeight="1" x14ac:dyDescent="0.25">
      <c r="A34" s="5" t="str">
        <f>HYPERLINK("#'4.3.1.5 Atmos deposition'!A1", "4.3.1.5 Atmos deposition")</f>
        <v>4.3.1.5 Atmos deposition</v>
      </c>
    </row>
    <row r="35" spans="1:1" ht="20.100000000000001" customHeight="1" x14ac:dyDescent="0.25">
      <c r="A35" s="5" t="str">
        <f>HYPERLINK("#'4.3.1.6-7 Leaching and runoff'!A1", "4.3.1.6-7 Leaching &amp; runoff")</f>
        <v>4.3.1.6-7 Leaching &amp; runoff</v>
      </c>
    </row>
    <row r="36" spans="1:1" ht="20.100000000000001" customHeight="1" x14ac:dyDescent="0.25">
      <c r="A36" s="5" t="str">
        <f>HYPERLINK("#'4.3.1.8 Manure applied to soils'!A1", "4.3.1.8 Manure applied to soils")</f>
        <v>4.3.1.8 Manure applied to soils</v>
      </c>
    </row>
    <row r="37" spans="1:1" ht="20.100000000000001" customHeight="1" x14ac:dyDescent="0.25">
      <c r="A37" s="5" t="str">
        <f>HYPERLINK("#'4.3.1.9 Soil direct N2O'!A1", "4.3.1.9 Soil direct N2O")</f>
        <v>4.3.1.9 Soil direct N2O</v>
      </c>
    </row>
    <row r="38" spans="1:1" ht="20.100000000000001" customHeight="1" x14ac:dyDescent="0.25">
      <c r="A38" s="5" t="str">
        <f>HYPERLINK("#'4.3.1.10-11 Soil Atmos Dep'!A1", "4.3.1.10-11 Soil Atmos Deposition")</f>
        <v>4.3.1.10-11 Soil Atmos Deposition</v>
      </c>
    </row>
    <row r="39" spans="1:1" ht="20.100000000000001" customHeight="1" x14ac:dyDescent="0.25">
      <c r="A39" s="5" t="str">
        <f>HYPERLINK("#'4.3.1.12-13 Soil leach runoff'!A1", "4.3.1.12-13 Soil leach &amp; runoff")</f>
        <v>4.3.1.12-13 Soil leach &amp; runoff</v>
      </c>
    </row>
    <row r="40" spans="1:1" ht="20.100000000000001" customHeight="1" x14ac:dyDescent="0.25">
      <c r="A40" s="5" t="str">
        <f>HYPERLINK("#'5.1.1.1-2 Inorganic fert N2O'!A1", "5.1.1.1-2 Inorganic fert N2O")</f>
        <v>5.1.1.1-2 Inorganic fert N2O</v>
      </c>
    </row>
    <row r="41" spans="1:1" ht="20.100000000000001" customHeight="1" x14ac:dyDescent="0.25">
      <c r="A41" s="5" t="str">
        <f>HYPERLINK("#'5.1.1.3-4 Inorganic fert CO2'!A1", "5.1.1.3-4 Inorganic fert CO2")</f>
        <v>5.1.1.3-4 Inorganic fert CO2</v>
      </c>
    </row>
    <row r="42" spans="1:1" ht="20.100000000000001" customHeight="1" x14ac:dyDescent="0.25">
      <c r="A42" s="5" t="str">
        <f>HYPERLINK("#'5.2.1.1-2 Organic Fert N2O'!A1", "5.2.1.1-2 Organic fert N2O")</f>
        <v>5.2.1.1-2 Organic fert N2O</v>
      </c>
    </row>
    <row r="43" spans="1:1" ht="20.100000000000001" customHeight="1" x14ac:dyDescent="0.25">
      <c r="A43" s="118" t="str">
        <f>HYPERLINK("#'5.3.1.1-2 Lime CO2'!A1", "5.3.1.1-2 Lime CO2")</f>
        <v>5.3.1.1-2 Lime CO2</v>
      </c>
    </row>
    <row r="44" spans="1:1" ht="20.100000000000001" customHeight="1" x14ac:dyDescent="0.25">
      <c r="A44" s="5" t="str">
        <f>HYPERLINK("#'5.4.1.1-4 Atmos deposition'!A1", "5.4.1.1-4 Atmos. deposition")</f>
        <v>5.4.1.1-4 Atmos. deposition</v>
      </c>
    </row>
    <row r="45" spans="1:1" ht="20.100000000000001" customHeight="1" x14ac:dyDescent="0.25">
      <c r="A45" s="5" t="str">
        <f>HYPERLINK("#'5.5.1.1-2 Leaching and runoff'!A1", "5.5.1.1-2 Leaching &amp; runoff")</f>
        <v>5.5.1.1-2 Leaching &amp; runoff</v>
      </c>
    </row>
    <row r="46" spans="1:1" ht="20.100000000000001" customHeight="1" x14ac:dyDescent="0.25">
      <c r="A46" s="5" t="str">
        <f>HYPERLINK("#'6.2.1.1-2 Pasture residue N2O'!A1", "6.2.1.1-2 Pasture residue N2O")</f>
        <v>6.2.1.1-2 Pasture residue N2O</v>
      </c>
    </row>
    <row r="47" spans="1:1" ht="20.100000000000001" customHeight="1" x14ac:dyDescent="0.25">
      <c r="A47" s="5" t="str">
        <f>HYPERLINK("#'6.3.1.1-2 Leach runoff pasture'!A1", "6.3.1.1-2 Leach &amp; runoff (pasture)")</f>
        <v>6.3.1.1-2 Leach &amp; runoff (pasture)</v>
      </c>
    </row>
    <row r="48" spans="1:1" ht="20.100000000000001" customHeight="1" x14ac:dyDescent="0.25">
      <c r="A48" s="5" t="str">
        <f>HYPERLINK("#'8.1.1.1-2 Transport fuel'!A1", "8.1.1.1-2 Transport fuel")</f>
        <v>8.1.1.1-2 Transport fuel</v>
      </c>
    </row>
    <row r="49" spans="1:1" ht="20.100000000000001" customHeight="1" x14ac:dyDescent="0.25">
      <c r="A49" s="5" t="str">
        <f>HYPERLINK("#'8.2.1.1-2 Stationary fuel'!A1", "8.2.1.1-2 Stationary fuel")</f>
        <v>8.2.1.1-2 Stationary fuel</v>
      </c>
    </row>
    <row r="50" spans="1:1" ht="20.100000000000001" customHeight="1" x14ac:dyDescent="0.25">
      <c r="A50" s="5" t="str">
        <f>HYPERLINK("#'9.1.1.1-2 Refrigerant use'!A1", "9.1.1.1-2 Refrigerant use")</f>
        <v>9.1.1.1-2 Refrigerant use</v>
      </c>
    </row>
    <row r="51" spans="1:1" ht="20.100000000000001" customHeight="1" x14ac:dyDescent="0.25">
      <c r="A51" s="5" t="str">
        <f>HYPERLINK("#'10.1.1-2 Solid waste treatment'!A1", "10.1.1.1-2 Solid waste")</f>
        <v>10.1.1.1-2 Solid waste</v>
      </c>
    </row>
    <row r="52" spans="1:1" ht="20.100000000000001" customHeight="1" x14ac:dyDescent="0.25">
      <c r="A52" s="5" t="str">
        <f>HYPERLINK("#'14.1.1-2 Purchased electricity'!A1", "14.1.1-2 Purchased electricity")</f>
        <v>14.1.1-2 Purchased electricity</v>
      </c>
    </row>
    <row r="53" spans="1:1" ht="20.100000000000001" customHeight="1" x14ac:dyDescent="0.25">
      <c r="A53" s="5" t="str">
        <f>HYPERLINK("#'15 Scope 3'!A1", "15 Scope 3")</f>
        <v>15 Scope 3</v>
      </c>
    </row>
    <row r="54" spans="1:1" ht="20.100000000000001" customHeight="1" x14ac:dyDescent="0.25">
      <c r="A54" s="5" t="str">
        <f>HYPERLINK("#'Calcs - Manure sent off-site'!A1", "Calcs - Manure sent off-site")</f>
        <v>Calcs - Manure sent off-site</v>
      </c>
    </row>
    <row r="55" spans="1:1" ht="20.100000000000001" customHeight="1" x14ac:dyDescent="0.25"/>
    <row r="56" spans="1:1" ht="20.100000000000001" customHeight="1" x14ac:dyDescent="0.25"/>
    <row r="57" spans="1:1" ht="20.100000000000001" customHeight="1" x14ac:dyDescent="0.25">
      <c r="A57" s="82" t="s">
        <v>1</v>
      </c>
    </row>
    <row r="58" spans="1:1" ht="20.100000000000001" customHeight="1" x14ac:dyDescent="0.25">
      <c r="A58" s="5" t="str">
        <f>HYPERLINK("#'Constants - Dairy'!A1", "Constants - Dairy")</f>
        <v>Constants - Dairy</v>
      </c>
    </row>
    <row r="59" spans="1:1" ht="20.100000000000001" customHeight="1" x14ac:dyDescent="0.25">
      <c r="A59" s="5" t="str">
        <f>HYPERLINK("#'Constants - Ag Residue'!A1", "Constants - Ag residue")</f>
        <v>Constants - Ag residue</v>
      </c>
    </row>
    <row r="60" spans="1:1" ht="20.100000000000001" customHeight="1" x14ac:dyDescent="0.25">
      <c r="A60" s="5" t="str">
        <f>HYPERLINK("#'Constants - Common Livestock'!A1", "Constants - Common Livestock")</f>
        <v>Constants - Common Livestock</v>
      </c>
    </row>
    <row r="61" spans="1:1" ht="20.100000000000001" customHeight="1" x14ac:dyDescent="0.25">
      <c r="A61" s="5" t="str">
        <f>HYPERLINK("#'Constants - Electricity'!A1", "Constants - Electricity")</f>
        <v>Constants - Electricity</v>
      </c>
    </row>
    <row r="62" spans="1:1" ht="20.100000000000001" customHeight="1" x14ac:dyDescent="0.25">
      <c r="A62" s="5" t="str">
        <f>HYPERLINK("#'Constants - Fertiliser'!A1", "Constants - Fertiliser")</f>
        <v>Constants - Fertiliser</v>
      </c>
    </row>
    <row r="63" spans="1:1" ht="20.100000000000001" customHeight="1" x14ac:dyDescent="0.25">
      <c r="A63" s="5" t="str">
        <f>HYPERLINK("#'Constants - Fuel'!A1", "Constants - Fuel")</f>
        <v>Constants - Fuel</v>
      </c>
    </row>
    <row r="64" spans="1:1" ht="20.100000000000001" customHeight="1" x14ac:dyDescent="0.25">
      <c r="A64" s="5" t="str">
        <f>HYPERLINK("#'Constants - Scope 3'!A1", "Constants - Scope 3")</f>
        <v>Constants - Scope 3</v>
      </c>
    </row>
    <row r="65" spans="1:1" ht="20.100000000000001" customHeight="1" x14ac:dyDescent="0.25">
      <c r="A65" s="5" t="str">
        <f>HYPERLINK("#'Constants - Common'!A1", "Constants - Common")</f>
        <v>Constants - Common</v>
      </c>
    </row>
    <row r="66" spans="1:1" ht="20.100000000000001" customHeight="1" x14ac:dyDescent="0.25">
      <c r="A66" s="5" t="str">
        <f>HYPERLINK("#'Constants - Refrigerants'!A1", "Constants - Refrigerants")</f>
        <v>Constants - Refrigerants</v>
      </c>
    </row>
    <row r="67" spans="1:1" ht="20.100000000000001" customHeight="1" x14ac:dyDescent="0.25">
      <c r="A67" s="5" t="str">
        <f>HYPERLINK("#'Constants - Solid Waste'!A1", "Constants - Solid Waste")</f>
        <v>Constants - Solid Waste</v>
      </c>
    </row>
    <row r="68" spans="1:1" ht="20.100000000000001" customHeight="1" x14ac:dyDescent="0.25">
      <c r="A68" s="5" t="str">
        <f>HYPERLINK("#'Acknowledgements'!A1", "Acknowledgements")</f>
        <v>Acknowledgements</v>
      </c>
    </row>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A299F-6332-4D4E-BC26-27968DABADB1}">
  <sheetPr>
    <tabColor rgb="FF008000"/>
  </sheetPr>
  <dimension ref="A1:U165"/>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801</v>
      </c>
    </row>
    <row r="2" spans="1:21" s="3" customFormat="1" ht="20.100000000000001" customHeight="1" x14ac:dyDescent="0.25">
      <c r="A2"/>
    </row>
    <row r="3" spans="1:21" ht="20.100000000000001" customHeight="1" x14ac:dyDescent="0.25">
      <c r="A3" s="5" t="str">
        <f>HYPERLINK("#'Home'!A1", "Home")</f>
        <v>Home</v>
      </c>
      <c r="C3" s="22"/>
      <c r="D3" s="22" t="s">
        <v>129</v>
      </c>
      <c r="E3" s="22"/>
      <c r="F3" s="22"/>
      <c r="G3" s="22"/>
      <c r="H3" s="22"/>
      <c r="I3" s="22"/>
      <c r="J3" s="22"/>
      <c r="K3" s="22"/>
      <c r="L3" s="22"/>
      <c r="N3" s="22"/>
      <c r="O3" s="22" t="s">
        <v>130</v>
      </c>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5" t="str">
        <f>HYPERLINK("#'Results'!A1", "Results")</f>
        <v>Results</v>
      </c>
      <c r="D6" s="17" t="str" cm="1">
        <f t="array" ref="D6">Fertiliser_Equations_AtmosphericDeposition.VEERG_5_4_1_1__2_MassOfNitrogenVolatilisedFromInorganicFertiliser_Source()</f>
        <v>VEERG 2026: 5.4.1.1, Equation (2)</v>
      </c>
    </row>
    <row r="7" spans="1:21" ht="20.100000000000001" customHeight="1" x14ac:dyDescent="0.25">
      <c r="D7" s="117" t="s">
        <v>382</v>
      </c>
      <c r="E7" s="117" t="str" cm="1">
        <f t="array" aca="1" ref="E7" ca="1">Common_InputFunctions.Utility_DisplayFunctionName(H19)</f>
        <v>=Fertiliser_Equations_AtmosphericDeposition.VEERG_5_4_1_1__2_MassOfNitrogenVolatilisedFromInorganicFertiliser</v>
      </c>
    </row>
    <row r="8" spans="1:21" ht="20.100000000000001" customHeight="1" x14ac:dyDescent="0.25"/>
    <row r="9" spans="1:21" ht="20.100000000000001" customHeight="1" x14ac:dyDescent="0.25">
      <c r="A9" s="7" t="s">
        <v>0</v>
      </c>
    </row>
    <row r="10" spans="1:21" ht="20.100000000000001" customHeight="1" x14ac:dyDescent="0.25">
      <c r="A10" s="5" t="str">
        <f>HYPERLINK("#'Input - Enterprise'!A1", "Enterprise")</f>
        <v>Enterprise</v>
      </c>
      <c r="D10" s="76" t="s">
        <v>383</v>
      </c>
      <c r="E10" s="1" t="str" cm="1">
        <f t="array" ref="E10">Fertiliser_Equations_AtmosphericDeposition.VEERG_5_4_1_1__2_MassOfNitrogenVolatilisedFromInorganicFertiliser_Variable()</f>
        <v>M_volinorganicjf</v>
      </c>
    </row>
    <row r="11" spans="1:21" ht="20.100000000000001" customHeight="1" x14ac:dyDescent="0.25">
      <c r="A11" s="5" t="str">
        <f>HYPERLINK("#'Input - Site'!A1", "Site")</f>
        <v>Site</v>
      </c>
      <c r="D11" s="76" t="s">
        <v>118</v>
      </c>
      <c r="E11" s="9" t="str" cm="1">
        <f t="array" ref="E11">Fertiliser_Equations_AtmosphericDeposition.VEERG_5_4_1_1__2_MassOfNitrogenVolatilisedFromInorganicFertiliser_Unit()</f>
        <v>kg N</v>
      </c>
    </row>
    <row r="12" spans="1:21" ht="20.100000000000001" customHeight="1" x14ac:dyDescent="0.25">
      <c r="A12" s="5" t="str">
        <f>HYPERLINK("#'Input - Dairy'!A1", "Dairy")</f>
        <v>Dairy</v>
      </c>
    </row>
    <row r="13" spans="1:21" ht="20.100000000000001" customHeight="1" x14ac:dyDescent="0.25">
      <c r="A13" s="5" t="str">
        <f>HYPERLINK("#'Input - Livestock sales'!A1", "Livestock sales")</f>
        <v>Livestock sales</v>
      </c>
      <c r="D13" s="119" t="str" cm="1">
        <f t="array" ref="D13:E14">_xlfn.CHOOSECOLS(Fertiliser_Equations_AtmosphericDeposition.VEERG_5_4_1_1__2_MassOfNitrogenVolatilisedFromInorganicFertiliser_Arguments(), 1, 2)</f>
        <v>MN_jf</v>
      </c>
      <c r="E13" s="124" t="str">
        <v>mass of nitrogen in inorganic fertiliser applied</v>
      </c>
      <c r="F13" s="125"/>
      <c r="G13" s="119" t="str" cm="1">
        <f t="array" ref="G13:H14">_xlfn.CHOOSECOLS(Fertiliser_Equations_AtmosphericDeposition.VEERG_5_4_1_1__2_MassOfNitrogenVolatilisedFromInorganicFertiliser_Arguments(), 3,4)</f>
        <v>kg N</v>
      </c>
      <c r="H13" s="127" t="str">
        <v>Calculated from 5.1.1.1 (2)</v>
      </c>
      <c r="I13" s="126" t="str" cm="1">
        <f t="array" aca="1" ref="I13" ca="1">HYPERLINK(Common_InputFunctions.Utility_SourceHyperlink($D$16),$D$16)</f>
        <v>Table_M_vol_inorganic_j_f</v>
      </c>
    </row>
    <row r="14" spans="1:21" ht="20.100000000000001" customHeight="1" x14ac:dyDescent="0.25">
      <c r="A14" s="5" t="str">
        <f>HYPERLINK("#'Input - Dairy cattle purchases'!A1", "Dairy cattle purchases")</f>
        <v>Dairy cattle purchases</v>
      </c>
      <c r="D14" s="119" t="str">
        <v>FracGASF_f</v>
      </c>
      <c r="E14" s="124" t="str">
        <v>fraction of inorganic fertiliser that volatilises</v>
      </c>
      <c r="F14" s="125"/>
      <c r="G14" s="119" t="str">
        <v>(kg NH3-N + NOx-N)/kg N</v>
      </c>
      <c r="H14" s="127" t="str">
        <v>Constant</v>
      </c>
      <c r="I14" s="126" t="str" cm="1">
        <f t="array" aca="1" ref="I14" ca="1">HYPERLINK(Common_InputFunctions.Utility_SourceHyperlink($D$16),$D$16)</f>
        <v>Table_M_vol_inorganic_j_f</v>
      </c>
    </row>
    <row r="15" spans="1:21" ht="20.100000000000001" customHeight="1" x14ac:dyDescent="0.25">
      <c r="A15" s="5" t="str">
        <f>HYPERLINK("#'Input - Pasture'!A1", "Pasture")</f>
        <v>Pasture</v>
      </c>
    </row>
    <row r="16" spans="1:21" ht="20.100000000000001" customHeight="1" x14ac:dyDescent="0.25">
      <c r="A16" s="5" t="str">
        <f>HYPERLINK("#'Input - Fert Prod System'!A1", "Fert Prod System")</f>
        <v>Fert Prod System</v>
      </c>
      <c r="D16" s="121" t="s">
        <v>802</v>
      </c>
    </row>
    <row r="17" spans="1:8" ht="20.100000000000001" customHeight="1" x14ac:dyDescent="0.25">
      <c r="A17" s="5" t="str">
        <f>HYPERLINK("#'Input - Fertiliser'!A1", "Fertiliser")</f>
        <v>Fertiliser</v>
      </c>
      <c r="D17" s="122" t="s">
        <v>803</v>
      </c>
    </row>
    <row r="18" spans="1:8" ht="20.100000000000001" customHeight="1" x14ac:dyDescent="0.25">
      <c r="A18" s="5" t="str">
        <f>HYPERLINK("#'Input - Fuel'!A1", "Fuel")</f>
        <v>Fuel</v>
      </c>
      <c r="D18" s="123" t="s">
        <v>804</v>
      </c>
      <c r="E18" s="123" t="s">
        <v>805</v>
      </c>
      <c r="F18" s="123" t="s">
        <v>806</v>
      </c>
      <c r="G18" s="189" t="s">
        <v>807</v>
      </c>
      <c r="H18" s="189" t="s">
        <v>808</v>
      </c>
    </row>
    <row r="19" spans="1:8" ht="20.100000000000001" customHeight="1" x14ac:dyDescent="0.25">
      <c r="A19" s="5" t="str">
        <f>HYPERLINK("#'Input - Electricity'!A1", "Electricity")</f>
        <v>Electricity</v>
      </c>
      <c r="D19" s="15" t="str" cm="1">
        <f t="array" ref="D19:D37">Table_Fertiliser_ChemicalCompounds[Fertiliser type f]</f>
        <v>Monoammonium phosphate (MAP)</v>
      </c>
      <c r="E19" s="15">
        <f>INDEX(Table_MN_j_f,2,4)</f>
        <v>0</v>
      </c>
      <c r="F19" s="15" t="str" cm="1">
        <f t="array" ref="F19">Common_InputFunctions.Utility_LookupValueInTable(D19, Table_Fertiliser_ChemicalCompounds[Fertiliser type f],Table_Fertiliser_ChemicalCompounds[Basis])</f>
        <v>Ammonium-based fertilisers</v>
      </c>
      <c r="G19" s="15" cm="1">
        <f t="array" ref="G19">Common_InputFunctions.Utility_LookupValueInTableNumber(F19, Table_SourceData_Fertiliser_FracGASF[Fertiliser type f],Table_SourceData_Fertiliser_FracGASF[FracGASF f])</f>
        <v>0.08</v>
      </c>
      <c r="H19" s="15" cm="1">
        <f t="array" ref="H19">Fertiliser_Equations_AtmosphericDeposition.VEERG_5_4_1_1__2_MassOfNitrogenVolatilisedFromInorganicFertiliser(E19,G19)</f>
        <v>0</v>
      </c>
    </row>
    <row r="20" spans="1:8" ht="20.100000000000001" customHeight="1" x14ac:dyDescent="0.25">
      <c r="A20" s="5" t="str">
        <f>HYPERLINK("#'Input - Common farm inputs'!A1", "Common farm inputs")</f>
        <v>Common farm inputs</v>
      </c>
      <c r="D20" s="15" t="str">
        <v>Diammonium phosphate (DAP)</v>
      </c>
      <c r="E20" s="15">
        <f>INDEX(Table_MN_j_f,3,4)</f>
        <v>0</v>
      </c>
      <c r="F20" s="15" t="str" cm="1">
        <f t="array" ref="F20">Common_InputFunctions.Utility_LookupValueInTable(D20, Table_Fertiliser_ChemicalCompounds[Fertiliser type f],Table_Fertiliser_ChemicalCompounds[Basis])</f>
        <v>Ammonium-based fertilisers</v>
      </c>
      <c r="G20" s="15" cm="1">
        <f t="array" ref="G20">Common_InputFunctions.Utility_LookupValueInTableNumber(F20, Table_SourceData_Fertiliser_FracGASF[Fertiliser type f],Table_SourceData_Fertiliser_FracGASF[FracGASF f])</f>
        <v>0.08</v>
      </c>
      <c r="H20" s="15" cm="1">
        <f t="array" ref="H20">Fertiliser_Equations_AtmosphericDeposition.VEERG_5_4_1_1__2_MassOfNitrogenVolatilisedFromInorganicFertiliser(E20,G20)</f>
        <v>0</v>
      </c>
    </row>
    <row r="21" spans="1:8" ht="20.100000000000001" customHeight="1" x14ac:dyDescent="0.25">
      <c r="A21" s="5" t="str">
        <f>HYPERLINK("#'Input - Crop pasture farm input'!A1", "Crop pasture farm input")</f>
        <v>Crop pasture farm input</v>
      </c>
      <c r="D21" s="15" t="str">
        <v>Urea</v>
      </c>
      <c r="E21" s="15">
        <f>INDEX(Table_MN_j_f,4,4)</f>
        <v>115999.99400000001</v>
      </c>
      <c r="F21" s="15" t="str" cm="1">
        <f t="array" ref="F21">Common_InputFunctions.Utility_LookupValueInTable(D21, Table_Fertiliser_ChemicalCompounds[Fertiliser type f],Table_Fertiliser_ChemicalCompounds[Basis])</f>
        <v>Urea-based fertilisers</v>
      </c>
      <c r="G21" s="15" cm="1">
        <f t="array" ref="G21">Common_InputFunctions.Utility_LookupValueInTableNumber(F21, Table_SourceData_Fertiliser_FracGASF[Fertiliser type f],Table_SourceData_Fertiliser_FracGASF[FracGASF f])</f>
        <v>0.15</v>
      </c>
      <c r="H21" s="15" cm="1">
        <f t="array" ref="H21">Fertiliser_Equations_AtmosphericDeposition.VEERG_5_4_1_1__2_MassOfNitrogenVolatilisedFromInorganicFertiliser(E21,G21)</f>
        <v>17399.999100000001</v>
      </c>
    </row>
    <row r="22" spans="1:8" ht="20.100000000000001" customHeight="1" x14ac:dyDescent="0.25">
      <c r="A22" s="5" t="str">
        <f>HYPERLINK("#'Input - Livestock farm Inputs'!A1", "Livestock farm Inputs")</f>
        <v>Livestock farm Inputs</v>
      </c>
      <c r="D22" s="15" t="str">
        <v>Sulphate of ammonia (SOA)</v>
      </c>
      <c r="E22" s="15">
        <f>INDEX(Table_MN_j_f,5,4)</f>
        <v>0</v>
      </c>
      <c r="F22" s="15" t="str" cm="1">
        <f t="array" ref="F22">Common_InputFunctions.Utility_LookupValueInTable(D22, Table_Fertiliser_ChemicalCompounds[Fertiliser type f],Table_Fertiliser_ChemicalCompounds[Basis])</f>
        <v>Ammonium-based fertilisers</v>
      </c>
      <c r="G22" s="15" cm="1">
        <f t="array" ref="G22">Common_InputFunctions.Utility_LookupValueInTableNumber(F22, Table_SourceData_Fertiliser_FracGASF[Fertiliser type f],Table_SourceData_Fertiliser_FracGASF[FracGASF f])</f>
        <v>0.08</v>
      </c>
      <c r="H22" s="15" cm="1">
        <f t="array" ref="H22">Fertiliser_Equations_AtmosphericDeposition.VEERG_5_4_1_1__2_MassOfNitrogenVolatilisedFromInorganicFertiliser(E22,G22)</f>
        <v>0</v>
      </c>
    </row>
    <row r="23" spans="1:8" ht="20.100000000000001" customHeight="1" x14ac:dyDescent="0.25">
      <c r="A23" s="5" t="str">
        <f>HYPERLINK("#'Input - Freight'!A1", "Freight")</f>
        <v>Freight</v>
      </c>
      <c r="D23" s="15" t="str">
        <v>Urea-ammonium nitrate (UAN)</v>
      </c>
      <c r="E23" s="15">
        <f>INDEX(Table_MN_j_f,6,4)</f>
        <v>0</v>
      </c>
      <c r="F23" s="15" t="str" cm="1">
        <f t="array" ref="F23">Common_InputFunctions.Utility_LookupValueInTable(D23, Table_Fertiliser_ChemicalCompounds[Fertiliser type f],Table_Fertiliser_ChemicalCompounds[Basis])</f>
        <v>Urea-based fertilisers</v>
      </c>
      <c r="G23" s="15" cm="1">
        <f t="array" ref="G23">Common_InputFunctions.Utility_LookupValueInTableNumber(F23, Table_SourceData_Fertiliser_FracGASF[Fertiliser type f],Table_SourceData_Fertiliser_FracGASF[FracGASF f])</f>
        <v>0.15</v>
      </c>
      <c r="H23" s="15" cm="1">
        <f t="array" ref="H23">Fertiliser_Equations_AtmosphericDeposition.VEERG_5_4_1_1__2_MassOfNitrogenVolatilisedFromInorganicFertiliser(E23,G23)</f>
        <v>0</v>
      </c>
    </row>
    <row r="24" spans="1:8" ht="20.100000000000001" customHeight="1" x14ac:dyDescent="0.25">
      <c r="A24" s="5" t="str">
        <f>HYPERLINK("#'Input - Solid waste'!A1", "Solid waste")</f>
        <v>Solid waste</v>
      </c>
      <c r="D24" s="15" t="str">
        <v>Ammonium nitrate (AN)</v>
      </c>
      <c r="E24" s="15">
        <f>INDEX(Table_MN_j_f,7,4)</f>
        <v>0</v>
      </c>
      <c r="F24" s="15" t="str" cm="1">
        <f t="array" ref="F24">Common_InputFunctions.Utility_LookupValueInTable(D24, Table_Fertiliser_ChemicalCompounds[Fertiliser type f],Table_Fertiliser_ChemicalCompounds[Basis])</f>
        <v>Ammonium-nitrate based fertilisers</v>
      </c>
      <c r="G24" s="15" cm="1">
        <f t="array" ref="G24">Common_InputFunctions.Utility_LookupValueInTableNumber(F24, Table_SourceData_Fertiliser_FracGASF[Fertiliser type f],Table_SourceData_Fertiliser_FracGASF[FracGASF f])</f>
        <v>0.05</v>
      </c>
      <c r="H24" s="15" cm="1">
        <f t="array" ref="H24">Fertiliser_Equations_AtmosphericDeposition.VEERG_5_4_1_1__2_MassOfNitrogenVolatilisedFromInorganicFertiliser(E24,G24)</f>
        <v>0</v>
      </c>
    </row>
    <row r="25" spans="1:8" ht="20.100000000000001" customHeight="1" x14ac:dyDescent="0.25">
      <c r="A25" s="5" t="str">
        <f>HYPERLINK("#'Input - Manure sent off-site'!A1", "Manure sent off-site")</f>
        <v>Manure sent off-site</v>
      </c>
      <c r="D25" s="15" t="str">
        <v>Calcium ammonium nitrate (CAN)</v>
      </c>
      <c r="E25" s="15">
        <f>INDEX(Table_MN_j_f,8,4)</f>
        <v>0</v>
      </c>
      <c r="F25" s="15" t="str" cm="1">
        <f t="array" ref="F25">Common_InputFunctions.Utility_LookupValueInTable(D25, Table_Fertiliser_ChemicalCompounds[Fertiliser type f],Table_Fertiliser_ChemicalCompounds[Basis])</f>
        <v>Ammonium-nitrate based fertilisers</v>
      </c>
      <c r="G25" s="15" cm="1">
        <f t="array" ref="G25">Common_InputFunctions.Utility_LookupValueInTableNumber(F25, Table_SourceData_Fertiliser_FracGASF[Fertiliser type f],Table_SourceData_Fertiliser_FracGASF[FracGASF f])</f>
        <v>0.05</v>
      </c>
      <c r="H25" s="15" cm="1">
        <f t="array" ref="H25">Fertiliser_Equations_AtmosphericDeposition.VEERG_5_4_1_1__2_MassOfNitrogenVolatilisedFromInorganicFertiliser(E25,G25)</f>
        <v>0</v>
      </c>
    </row>
    <row r="26" spans="1:8" ht="20.100000000000001" customHeight="1" x14ac:dyDescent="0.25">
      <c r="A26" s="5" t="str">
        <f>HYPERLINK("#'Input - Refrigerants'!A1", "Refrigerants")</f>
        <v>Refrigerants</v>
      </c>
      <c r="D26" s="15" t="str">
        <v>Nitrogen - Ammoniacal</v>
      </c>
      <c r="E26" s="15">
        <f>INDEX(Table_MN_j_f,9,4)</f>
        <v>12400</v>
      </c>
      <c r="F26" s="15" t="str" cm="1">
        <f t="array" ref="F26">Common_InputFunctions.Utility_LookupValueInTable(D26, Table_Fertiliser_ChemicalCompounds[Fertiliser type f],Table_Fertiliser_ChemicalCompounds[Basis])</f>
        <v>Ammonium-based fertilisers</v>
      </c>
      <c r="G26" s="15" cm="1">
        <f t="array" ref="G26">Common_InputFunctions.Utility_LookupValueInTableNumber(F26, Table_SourceData_Fertiliser_FracGASF[Fertiliser type f],Table_SourceData_Fertiliser_FracGASF[FracGASF f])</f>
        <v>0.08</v>
      </c>
      <c r="H26" s="15" cm="1">
        <f t="array" ref="H26">Fertiliser_Equations_AtmosphericDeposition.VEERG_5_4_1_1__2_MassOfNitrogenVolatilisedFromInorganicFertiliser(E26,G26)</f>
        <v>992</v>
      </c>
    </row>
    <row r="27" spans="1:8" ht="20.100000000000001" customHeight="1" x14ac:dyDescent="0.25">
      <c r="A27" s="5" t="str">
        <f>HYPERLINK("#'Input - Data quality'!A1", "Data quality")</f>
        <v>Data quality</v>
      </c>
      <c r="D27" s="15" t="str">
        <v>Nitrogen - Nitrate</v>
      </c>
      <c r="E27" s="15">
        <f>INDEX(Table_MN_j_f,10,4)</f>
        <v>5500</v>
      </c>
      <c r="F27" s="15" t="str" cm="1">
        <f t="array" ref="F27">Common_InputFunctions.Utility_LookupValueInTable(D27, Table_Fertiliser_ChemicalCompounds[Fertiliser type f],Table_Fertiliser_ChemicalCompounds[Basis])</f>
        <v>Nitrate-based fertilisers</v>
      </c>
      <c r="G27" s="15" cm="1">
        <f t="array" ref="G27">Common_InputFunctions.Utility_LookupValueInTableNumber(F27, Table_SourceData_Fertiliser_FracGASF[Fertiliser type f],Table_SourceData_Fertiliser_FracGASF[FracGASF f])</f>
        <v>0.01</v>
      </c>
      <c r="H27" s="15" cm="1">
        <f t="array" ref="H27">Fertiliser_Equations_AtmosphericDeposition.VEERG_5_4_1_1__2_MassOfNitrogenVolatilisedFromInorganicFertiliser(E27,G27)</f>
        <v>55</v>
      </c>
    </row>
    <row r="28" spans="1:8" ht="20.100000000000001" customHeight="1" x14ac:dyDescent="0.25">
      <c r="D28" s="15" t="str">
        <v>Nitrogen - Generic</v>
      </c>
      <c r="E28" s="15">
        <f>INDEX(Table_MN_j_f,11,4)</f>
        <v>0</v>
      </c>
      <c r="F28" s="15" t="str" cm="1">
        <f t="array" ref="F28">Common_InputFunctions.Utility_LookupValueInTable(D28, Table_Fertiliser_ChemicalCompounds[Fertiliser type f],Table_Fertiliser_ChemicalCompounds[Basis])</f>
        <v>Urea-based fertilisers</v>
      </c>
      <c r="G28" s="15" cm="1">
        <f t="array" ref="G28">Common_InputFunctions.Utility_LookupValueInTableNumber(F28, Table_SourceData_Fertiliser_FracGASF[Fertiliser type f],Table_SourceData_Fertiliser_FracGASF[FracGASF f])</f>
        <v>0.15</v>
      </c>
      <c r="H28" s="15" cm="1">
        <f t="array" ref="H28">Fertiliser_Equations_AtmosphericDeposition.VEERG_5_4_1_1__2_MassOfNitrogenVolatilisedFromInorganicFertiliser(E28,G28)</f>
        <v>0</v>
      </c>
    </row>
    <row r="29" spans="1:8" ht="20.100000000000001" customHeight="1" x14ac:dyDescent="0.25">
      <c r="D29" s="15" t="str">
        <v>Phosphorus - Generic</v>
      </c>
      <c r="E29" s="15">
        <f>INDEX(Table_MN_j_f,12,4)</f>
        <v>0</v>
      </c>
      <c r="F29" s="15" t="str" cm="1">
        <f t="array" ref="F29">Common_InputFunctions.Utility_LookupValueInTable(D29, Table_Fertiliser_ChemicalCompounds[Fertiliser type f],Table_Fertiliser_ChemicalCompounds[Basis])</f>
        <v>Other fertilisers</v>
      </c>
      <c r="G29" s="15" cm="1">
        <f t="array" ref="G29">Common_InputFunctions.Utility_LookupValueInTableNumber(F29, Table_SourceData_Fertiliser_FracGASF[Fertiliser type f],Table_SourceData_Fertiliser_FracGASF[FracGASF f])</f>
        <v>0.11</v>
      </c>
      <c r="H29" s="15" cm="1">
        <f t="array" ref="H29">Fertiliser_Equations_AtmosphericDeposition.VEERG_5_4_1_1__2_MassOfNitrogenVolatilisedFromInorganicFertiliser(E29,G29)</f>
        <v>0</v>
      </c>
    </row>
    <row r="30" spans="1:8" ht="20.100000000000001" customHeight="1" x14ac:dyDescent="0.25">
      <c r="A30" s="6" t="s">
        <v>2</v>
      </c>
      <c r="D30" s="15" t="str">
        <v>Potassium - Generic</v>
      </c>
      <c r="E30" s="15">
        <f>INDEX(Table_MN_j_f,13,4)</f>
        <v>0</v>
      </c>
      <c r="F30" s="15" t="str" cm="1">
        <f t="array" ref="F30">Common_InputFunctions.Utility_LookupValueInTable(D30, Table_Fertiliser_ChemicalCompounds[Fertiliser type f],Table_Fertiliser_ChemicalCompounds[Basis])</f>
        <v>Other fertilisers</v>
      </c>
      <c r="G30" s="15" cm="1">
        <f t="array" ref="G30">Common_InputFunctions.Utility_LookupValueInTableNumber(F30, Table_SourceData_Fertiliser_FracGASF[Fertiliser type f],Table_SourceData_Fertiliser_FracGASF[FracGASF f])</f>
        <v>0.11</v>
      </c>
      <c r="H30" s="15" cm="1">
        <f t="array" ref="H30">Fertiliser_Equations_AtmosphericDeposition.VEERG_5_4_1_1__2_MassOfNitrogenVolatilisedFromInorganicFertiliser(E30,G30)</f>
        <v>0</v>
      </c>
    </row>
    <row r="31" spans="1:8" ht="20.100000000000001" customHeight="1" x14ac:dyDescent="0.25">
      <c r="A31" s="5" t="str">
        <f>HYPERLINK("#'3.3.1.1-2 Enteric Methane'!A1", "3.3.1.1-2 Enteric methane")</f>
        <v>3.3.1.1-2 Enteric methane</v>
      </c>
      <c r="D31" s="15" t="str">
        <v>Sulfur - Generic</v>
      </c>
      <c r="E31" s="15">
        <f>INDEX(Table_MN_j_f,14,4)</f>
        <v>0</v>
      </c>
      <c r="F31" s="15" t="str" cm="1">
        <f t="array" ref="F31">Common_InputFunctions.Utility_LookupValueInTable(D31, Table_Fertiliser_ChemicalCompounds[Fertiliser type f],Table_Fertiliser_ChemicalCompounds[Basis])</f>
        <v>Other fertilisers</v>
      </c>
      <c r="G31" s="15" cm="1">
        <f t="array" ref="G31">Common_InputFunctions.Utility_LookupValueInTableNumber(F31, Table_SourceData_Fertiliser_FracGASF[Fertiliser type f],Table_SourceData_Fertiliser_FracGASF[FracGASF f])</f>
        <v>0.11</v>
      </c>
      <c r="H31" s="15" cm="1">
        <f t="array" ref="H31">Fertiliser_Equations_AtmosphericDeposition.VEERG_5_4_1_1__2_MassOfNitrogenVolatilisedFromInorganicFertiliser(E31,G31)</f>
        <v>0</v>
      </c>
    </row>
    <row r="32" spans="1:8" ht="20.100000000000001" customHeight="1" x14ac:dyDescent="0.25">
      <c r="A32" s="5" t="str">
        <f>HYPERLINK("#'4.3.1.1-2 Methane'!A1", "4.3.1.1-2 Manure methane")</f>
        <v>4.3.1.1-2 Manure methane</v>
      </c>
      <c r="D32" s="15" t="str">
        <v>Zinc - Generic</v>
      </c>
      <c r="E32" s="15">
        <f>INDEX(Table_MN_j_f,15,4)</f>
        <v>0</v>
      </c>
      <c r="F32" s="15" t="str" cm="1">
        <f t="array" ref="F32">Common_InputFunctions.Utility_LookupValueInTable(D32, Table_Fertiliser_ChemicalCompounds[Fertiliser type f],Table_Fertiliser_ChemicalCompounds[Basis])</f>
        <v>Other fertilisers</v>
      </c>
      <c r="G32" s="15" cm="1">
        <f t="array" ref="G32">Common_InputFunctions.Utility_LookupValueInTableNumber(F32, Table_SourceData_Fertiliser_FracGASF[Fertiliser type f],Table_SourceData_Fertiliser_FracGASF[FracGASF f])</f>
        <v>0.11</v>
      </c>
      <c r="H32" s="15" cm="1">
        <f t="array" ref="H32">Fertiliser_Equations_AtmosphericDeposition.VEERG_5_4_1_1__2_MassOfNitrogenVolatilisedFromInorganicFertiliser(E32,G32)</f>
        <v>0</v>
      </c>
    </row>
    <row r="33" spans="1:12" ht="20.100000000000001" customHeight="1" x14ac:dyDescent="0.25">
      <c r="A33" s="5" t="str">
        <f>HYPERLINK("#'4.3.1.3-4 Direct N20'!A1", "4.3.1.3-4 Direct N20")</f>
        <v>4.3.1.3-4 Direct N20</v>
      </c>
      <c r="D33" s="15" t="str">
        <v>Muriate of potash (MOP)</v>
      </c>
      <c r="E33" s="15">
        <f>INDEX(Table_MN_j_f,16,4)</f>
        <v>0</v>
      </c>
      <c r="F33" s="15" t="str" cm="1">
        <f t="array" ref="F33">Common_InputFunctions.Utility_LookupValueInTable(D33, Table_Fertiliser_ChemicalCompounds[Fertiliser type f],Table_Fertiliser_ChemicalCompounds[Basis])</f>
        <v>Other fertilisers</v>
      </c>
      <c r="G33" s="15" cm="1">
        <f t="array" ref="G33">Common_InputFunctions.Utility_LookupValueInTableNumber(F33, Table_SourceData_Fertiliser_FracGASF[Fertiliser type f],Table_SourceData_Fertiliser_FracGASF[FracGASF f])</f>
        <v>0.11</v>
      </c>
      <c r="H33" s="15" cm="1">
        <f t="array" ref="H33">Fertiliser_Equations_AtmosphericDeposition.VEERG_5_4_1_1__2_MassOfNitrogenVolatilisedFromInorganicFertiliser(E33,G33)</f>
        <v>0</v>
      </c>
    </row>
    <row r="34" spans="1:12" ht="20.100000000000001" customHeight="1" x14ac:dyDescent="0.25">
      <c r="A34" s="5" t="str">
        <f>HYPERLINK("#'4.3.1.5 Atmos deposition'!A1", "4.3.1.5 Atmos deposition")</f>
        <v>4.3.1.5 Atmos deposition</v>
      </c>
      <c r="D34" s="15" t="str">
        <v>Double superphosphate</v>
      </c>
      <c r="E34" s="15">
        <f>INDEX(Table_MN_j_f,17,4)</f>
        <v>0</v>
      </c>
      <c r="F34" s="15" t="str" cm="1">
        <f t="array" ref="F34">Common_InputFunctions.Utility_LookupValueInTable(D34, Table_Fertiliser_ChemicalCompounds[Fertiliser type f],Table_Fertiliser_ChemicalCompounds[Basis])</f>
        <v>Other fertilisers</v>
      </c>
      <c r="G34" s="15" cm="1">
        <f t="array" ref="G34">Common_InputFunctions.Utility_LookupValueInTableNumber(F34, Table_SourceData_Fertiliser_FracGASF[Fertiliser type f],Table_SourceData_Fertiliser_FracGASF[FracGASF f])</f>
        <v>0.11</v>
      </c>
      <c r="H34" s="15" cm="1">
        <f t="array" ref="H34">Fertiliser_Equations_AtmosphericDeposition.VEERG_5_4_1_1__2_MassOfNitrogenVolatilisedFromInorganicFertiliser(E34,G34)</f>
        <v>0</v>
      </c>
    </row>
    <row r="35" spans="1:12" ht="20.100000000000001" customHeight="1" x14ac:dyDescent="0.25">
      <c r="A35" s="5" t="str">
        <f>HYPERLINK("#'4.3.1.6-7 Leaching and runoff'!A1", "4.3.1.6-7 Leaching &amp; runoff")</f>
        <v>4.3.1.6-7 Leaching &amp; runoff</v>
      </c>
      <c r="D35" s="15" t="str">
        <v>Single superphosphate (SSP)</v>
      </c>
      <c r="E35" s="15">
        <f>INDEX(Table_MN_j_f,18,4)</f>
        <v>0</v>
      </c>
      <c r="F35" s="15" t="str" cm="1">
        <f t="array" ref="F35">Common_InputFunctions.Utility_LookupValueInTable(D35, Table_Fertiliser_ChemicalCompounds[Fertiliser type f],Table_Fertiliser_ChemicalCompounds[Basis])</f>
        <v>Other fertilisers</v>
      </c>
      <c r="G35" s="15" cm="1">
        <f t="array" ref="G35">Common_InputFunctions.Utility_LookupValueInTableNumber(F35, Table_SourceData_Fertiliser_FracGASF[Fertiliser type f],Table_SourceData_Fertiliser_FracGASF[FracGASF f])</f>
        <v>0.11</v>
      </c>
      <c r="H35" s="15" cm="1">
        <f t="array" ref="H35">Fertiliser_Equations_AtmosphericDeposition.VEERG_5_4_1_1__2_MassOfNitrogenVolatilisedFromInorganicFertiliser(E35,G35)</f>
        <v>0</v>
      </c>
    </row>
    <row r="36" spans="1:12" ht="20.100000000000001" customHeight="1" x14ac:dyDescent="0.25">
      <c r="A36" s="5" t="str">
        <f>HYPERLINK("#'4.3.1.8 Manure applied to soils'!A1", "4.3.1.8 Manure applied to soils")</f>
        <v>4.3.1.8 Manure applied to soils</v>
      </c>
      <c r="D36" s="15" t="str">
        <v>Ammonia</v>
      </c>
      <c r="E36" s="15">
        <f>INDEX(Table_MN_j_f,19,4)</f>
        <v>41175</v>
      </c>
      <c r="F36" s="15" t="str" cm="1">
        <f t="array" ref="F36">Common_InputFunctions.Utility_LookupValueInTable(D36, Table_Fertiliser_ChemicalCompounds[Fertiliser type f],Table_Fertiliser_ChemicalCompounds[Basis])</f>
        <v>Ammonium-based fertilisers</v>
      </c>
      <c r="G36" s="15" cm="1">
        <f t="array" ref="G36">Common_InputFunctions.Utility_LookupValueInTableNumber(F36, Table_SourceData_Fertiliser_FracGASF[Fertiliser type f],Table_SourceData_Fertiliser_FracGASF[FracGASF f])</f>
        <v>0.08</v>
      </c>
      <c r="H36" s="15" cm="1">
        <f t="array" ref="H36">Fertiliser_Equations_AtmosphericDeposition.VEERG_5_4_1_1__2_MassOfNitrogenVolatilisedFromInorganicFertiliser(E36,G36)</f>
        <v>3294</v>
      </c>
    </row>
    <row r="37" spans="1:12" ht="20.100000000000001" customHeight="1" x14ac:dyDescent="0.25">
      <c r="A37" s="5" t="str">
        <f>HYPERLINK("#'4.3.1.9 Soil direct N2O'!A1", "4.3.1.9 Soil direct N2O")</f>
        <v>4.3.1.9 Soil direct N2O</v>
      </c>
      <c r="D37" s="15" t="str">
        <v>Calcium nitrate</v>
      </c>
      <c r="E37" s="15">
        <f>INDEX(Table_MN_j_f,20,4)</f>
        <v>7750</v>
      </c>
      <c r="F37" s="15" t="str" cm="1">
        <f t="array" ref="F37">Common_InputFunctions.Utility_LookupValueInTable(D37, Table_Fertiliser_ChemicalCompounds[Fertiliser type f],Table_Fertiliser_ChemicalCompounds[Basis])</f>
        <v>Nitrate-based fertilisers</v>
      </c>
      <c r="G37" s="15" cm="1">
        <f t="array" ref="G37">Common_InputFunctions.Utility_LookupValueInTableNumber(F37, Table_SourceData_Fertiliser_FracGASF[Fertiliser type f],Table_SourceData_Fertiliser_FracGASF[FracGASF f])</f>
        <v>0.01</v>
      </c>
      <c r="H37" s="15" cm="1">
        <f t="array" ref="H37">Fertiliser_Equations_AtmosphericDeposition.VEERG_5_4_1_1__2_MassOfNitrogenVolatilisedFromInorganicFertiliser(E37,G37)</f>
        <v>77.5</v>
      </c>
    </row>
    <row r="38" spans="1:12" ht="20.100000000000001" customHeight="1" x14ac:dyDescent="0.25">
      <c r="A38" s="5" t="str">
        <f>HYPERLINK("#'4.3.1.10-11 Soil Atmos Dep'!A1", "4.3.1.10-11 Soil Atmos Deposition")</f>
        <v>4.3.1.10-11 Soil Atmos Deposition</v>
      </c>
    </row>
    <row r="39" spans="1:12" ht="20.100000000000001" customHeight="1" x14ac:dyDescent="0.25">
      <c r="A39" s="5" t="str">
        <f>HYPERLINK("#'4.3.1.12-13 Soil leach runoff'!A1", "4.3.1.12-13 Soil leach &amp; runoff")</f>
        <v>4.3.1.12-13 Soil leach &amp; runoff</v>
      </c>
    </row>
    <row r="40" spans="1:12" ht="20.100000000000001" customHeight="1" x14ac:dyDescent="0.25">
      <c r="A40" s="5" t="str">
        <f>HYPERLINK("#'5.1.1.1-2 Inorganic fert N2O'!A1", "5.1.1.1-2 Inorganic fert N2O")</f>
        <v>5.1.1.1-2 Inorganic fert N2O</v>
      </c>
      <c r="C40" s="186"/>
      <c r="D40" s="186"/>
      <c r="E40" s="186"/>
      <c r="F40" s="186"/>
      <c r="G40" s="186"/>
      <c r="H40" s="186"/>
      <c r="I40" s="186"/>
      <c r="J40" s="186"/>
      <c r="K40" s="186"/>
      <c r="L40" s="186"/>
    </row>
    <row r="41" spans="1:12" ht="20.100000000000001" customHeight="1" x14ac:dyDescent="0.25">
      <c r="A41" s="5" t="str">
        <f>HYPERLINK("#'5.1.1.3-4 Inorganic fert CO2'!A1", "5.1.1.3-4 Inorganic fert CO2")</f>
        <v>5.1.1.3-4 Inorganic fert CO2</v>
      </c>
      <c r="D41" s="2"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A42" s="5" t="str">
        <f>HYPERLINK("#'5.2.1.1-2 Organic Fert N2O'!A1", "5.2.1.1-2 Organic fert N2O")</f>
        <v>5.2.1.1-2 Organic fert N2O</v>
      </c>
      <c r="D42" s="17" t="str" cm="1">
        <f t="array" ref="D42">Fertiliser_Equations_AtmosphericDeposition.VEERG_5_4_1_1__1_InorganicFertiliserAtmosphericDepositionN2OEmissions_Source()</f>
        <v>VEERG 2026: 5.4.1.1, Equation (1)</v>
      </c>
    </row>
    <row r="43" spans="1:12" ht="20.100000000000001" customHeight="1" x14ac:dyDescent="0.25">
      <c r="A43" s="5" t="str">
        <f>HYPERLINK("#'5.3.1.1-2 Lime CO2'!A1", "5.3.1.1-2 Lime CO2")</f>
        <v>5.3.1.1-2 Lime CO2</v>
      </c>
      <c r="D43" s="117" t="s">
        <v>382</v>
      </c>
      <c r="E43" s="117" t="str" cm="1">
        <f t="array" aca="1" ref="E43" ca="1">Common_InputFunctions.Utility_DisplayFunctionName(F59)</f>
        <v>=Fertiliser_Equations_AtmosphericDeposition.VEERG_5_4_1_1__1_InorganicFertiliserAtmosphericDepositionN2OEmissions</v>
      </c>
    </row>
    <row r="44" spans="1:12" ht="20.100000000000001" customHeight="1" x14ac:dyDescent="0.25">
      <c r="A44" s="118" t="str">
        <f>HYPERLINK("#'5.4.1.1-4 Atmos deposition'!A1", "5.4.1.1-4 Atmos. deposition")</f>
        <v>5.4.1.1-4 Atmos. deposition</v>
      </c>
    </row>
    <row r="45" spans="1:12" ht="20.100000000000001" customHeight="1" x14ac:dyDescent="0.25">
      <c r="A45" s="5" t="str">
        <f>HYPERLINK("#'5.5.1.1-2 Leaching and runoff'!A1", "5.5.1.1-2 Leaching &amp; runoff")</f>
        <v>5.5.1.1-2 Leaching &amp; runoff</v>
      </c>
    </row>
    <row r="46" spans="1:12" ht="20.100000000000001" customHeight="1" x14ac:dyDescent="0.25">
      <c r="A46" s="5" t="str">
        <f>HYPERLINK("#'6.2.1.1-2 Pasture residue N2O'!A1", "6.2.1.1-2 Pasture residue N2O")</f>
        <v>6.2.1.1-2 Pasture residue N2O</v>
      </c>
      <c r="D46" s="76" t="s">
        <v>383</v>
      </c>
      <c r="E46" s="1" t="str" cm="1">
        <f t="array" ref="E46">Fertiliser_Equations_AtmosphericDeposition.VEERG_5_4_1_1__1_InorganicFertiliserAtmosphericDepositionN2OEmissions_Variable()</f>
        <v>E_adinorganic</v>
      </c>
    </row>
    <row r="47" spans="1:12" ht="20.100000000000001" customHeight="1" x14ac:dyDescent="0.25">
      <c r="A47" s="5" t="str">
        <f>HYPERLINK("#'6.3.1.1-2 Leach runoff pasture'!A1", "6.3.1.1-2 Leach &amp; runoff (pasture)")</f>
        <v>6.3.1.1-2 Leach &amp; runoff (pasture)</v>
      </c>
      <c r="D47" s="76" t="s">
        <v>118</v>
      </c>
      <c r="E47" s="9" t="str" cm="1">
        <f t="array" ref="E47">Fertiliser_Equations_AtmosphericDeposition.VEERG_5_4_1_1__1_InorganicFertiliserAtmosphericDepositionN2OEmissions_Unit()</f>
        <v>t N2O</v>
      </c>
    </row>
    <row r="48" spans="1:12" ht="20.100000000000001" customHeight="1" x14ac:dyDescent="0.25">
      <c r="A48" s="5" t="str">
        <f>HYPERLINK("#'8.1.1.1-2 Transport fuel'!A1", "8.1.1.1-2 Transport fuel")</f>
        <v>8.1.1.1-2 Transport fuel</v>
      </c>
    </row>
    <row r="49" spans="1:10" ht="20.100000000000001" customHeight="1" x14ac:dyDescent="0.25">
      <c r="A49" s="5" t="str">
        <f>HYPERLINK("#'8.2.1.1-2 Stationary fuel'!A1", "8.2.1.1-2 Stationary fuel")</f>
        <v>8.2.1.1-2 Stationary fuel</v>
      </c>
      <c r="D49" s="119" t="str" cm="1">
        <f t="array" ref="D49:E54">_xlfn.CHOOSECOLS(Fertiliser_Equations_AtmosphericDeposition.VEERG_5_4_1_1__1_InorganicFertiliserAtmosphericDepositionN2OEmissions_Arguments(), 1, 2)</f>
        <v>M_volinorganicjf</v>
      </c>
      <c r="E49" s="124" t="str">
        <v>mass of nitrogen volatilised from inorganic fertiliser applied to production system</v>
      </c>
      <c r="F49" s="132"/>
      <c r="G49" s="125"/>
      <c r="H49" s="119" t="str" cm="1">
        <f t="array" ref="H49:I54">_xlfn.CHOOSECOLS(Fertiliser_Equations_AtmosphericDeposition.VEERG_5_4_1_1__1_InorganicFertiliserAtmosphericDepositionN2OEmissions_Arguments(), 3,4)</f>
        <v>kg N</v>
      </c>
      <c r="I49" s="127" t="str">
        <v>Calculated from 5.4.1.1 (2)</v>
      </c>
      <c r="J49" s="126" t="str" cm="1">
        <f t="array" aca="1" ref="J49" ca="1">HYPERLINK(Common_InputFunctions.Utility_SourceHyperlink($D$16),$D$16)</f>
        <v>Table_M_vol_inorganic_j_f</v>
      </c>
    </row>
    <row r="50" spans="1:10" ht="20.100000000000001" customHeight="1" x14ac:dyDescent="0.25">
      <c r="A50" s="5" t="str">
        <f>HYPERLINK("#'9.1.1.1-2 Refrigerant use'!A1", "9.1.1.1-2 Refrigerant use")</f>
        <v>9.1.1.1-2 Refrigerant use</v>
      </c>
      <c r="D50" s="119" t="str">
        <v>EF_N2Oj</v>
      </c>
      <c r="E50" s="124" t="str">
        <v>emission factor for atmospheric deposition</v>
      </c>
      <c r="F50" s="132"/>
      <c r="G50" s="125"/>
      <c r="H50" s="119" t="str">
        <v>kg N2O-N/kg N</v>
      </c>
      <c r="I50" s="127" t="str">
        <v>Constant</v>
      </c>
      <c r="J50" s="119">
        <f>Common_InputFunctions.Utility_LookupN2OEFFromProdIrrigationRainfall(J52,J53,J54,Table_SourceData_Common_EFN2O[Production system only],Table_SourceData_Common_EFN2O[Irrigation method],Table_SourceData_Common_EFN2O[Rainfall zone],Table_SourceData_Common_EFN2O[EFN2O])</f>
        <v>5.8999999999999999E-3</v>
      </c>
    </row>
    <row r="51" spans="1:10" ht="20.100000000000001" customHeight="1" x14ac:dyDescent="0.25">
      <c r="A51" s="5" t="str">
        <f>HYPERLINK("#'10.1.1-2 Solid waste treatment'!A1", "10.1.1.1-2 Solid waste")</f>
        <v>10.1.1.1-2 Solid waste</v>
      </c>
      <c r="D51" s="119" t="str">
        <v>C_N2O</v>
      </c>
      <c r="E51" s="124" t="str">
        <v>factor to convert elemental mass of nitrous oxide to molecular mass</v>
      </c>
      <c r="F51" s="132"/>
      <c r="G51" s="125"/>
      <c r="H51" s="119" t="str">
        <v/>
      </c>
      <c r="I51" s="127" t="str">
        <v>Constant</v>
      </c>
      <c r="J51" s="131">
        <f>Common_InputFunctions.Utility_LookupValueInTableNumber("N2O",Table_GasToMolecularConversionFactor[Gas],Table_GasToMolecularConversionFactor[Conversion factor combined])</f>
        <v>1.5714285714285714</v>
      </c>
    </row>
    <row r="52" spans="1:10" ht="20.100000000000001" customHeight="1" x14ac:dyDescent="0.25">
      <c r="A52" s="5" t="str">
        <f>HYPERLINK("#'14.1.1-2 Purchased electricity'!A1", "14.1.1-2 Purchased electricity")</f>
        <v>14.1.1-2 Purchased electricity</v>
      </c>
      <c r="D52" s="119" t="str">
        <v>j</v>
      </c>
      <c r="E52" s="124" t="str">
        <v>Production system</v>
      </c>
      <c r="F52" s="132"/>
      <c r="G52" s="125"/>
      <c r="H52" s="119" t="str">
        <v/>
      </c>
      <c r="I52" s="120" t="str">
        <v>Input</v>
      </c>
      <c r="J52" s="119" t="str">
        <f>X_Cell_Fertiliser_ProductionSystem</f>
        <v>Pasture</v>
      </c>
    </row>
    <row r="53" spans="1:10" ht="20.100000000000001" customHeight="1" x14ac:dyDescent="0.25">
      <c r="A53" s="5" t="str">
        <f>HYPERLINK("#'15 Scope 3'!A1", "15 Scope 3")</f>
        <v>15 Scope 3</v>
      </c>
      <c r="D53" s="119" t="str">
        <v>ir</v>
      </c>
      <c r="E53" s="124" t="str">
        <v>irrigation method</v>
      </c>
      <c r="F53" s="132"/>
      <c r="G53" s="125"/>
      <c r="H53" s="119" t="str">
        <v/>
      </c>
      <c r="I53" s="120" t="str">
        <v>Input</v>
      </c>
      <c r="J53" s="119" t="str">
        <f>X_Cell_Fertiliser_IrrigationMethod</f>
        <v>Surface irrigation</v>
      </c>
    </row>
    <row r="54" spans="1:10" ht="20.100000000000001" customHeight="1" x14ac:dyDescent="0.25">
      <c r="A54" s="5" t="str">
        <f>HYPERLINK("#'Calcs - Manure sent off-site'!A1", "Calcs - Manure sent off-site")</f>
        <v>Calcs - Manure sent off-site</v>
      </c>
      <c r="D54" s="119" t="str">
        <v>r</v>
      </c>
      <c r="E54" s="124" t="str">
        <v>rainfall region</v>
      </c>
      <c r="F54" s="132"/>
      <c r="G54" s="125"/>
      <c r="H54" s="119" t="str">
        <v/>
      </c>
      <c r="I54" s="120" t="str">
        <v>Input</v>
      </c>
      <c r="J54" s="119" t="str">
        <f>X_Cell_Site_RainfallZone</f>
        <v>High rainfall</v>
      </c>
    </row>
    <row r="55" spans="1:10" ht="20.100000000000001" customHeight="1" x14ac:dyDescent="0.25"/>
    <row r="56" spans="1:10" ht="20.100000000000001" customHeight="1" x14ac:dyDescent="0.25">
      <c r="D56" s="121" t="s">
        <v>809</v>
      </c>
    </row>
    <row r="57" spans="1:10" ht="20.100000000000001" customHeight="1" x14ac:dyDescent="0.25">
      <c r="A57" s="82" t="s">
        <v>1</v>
      </c>
      <c r="D57" s="122" t="s">
        <v>810</v>
      </c>
    </row>
    <row r="58" spans="1:10" ht="20.100000000000001" customHeight="1" x14ac:dyDescent="0.25">
      <c r="A58" s="5" t="str">
        <f>HYPERLINK("#'Constants - Dairy'!A1", "Constants - Dairy")</f>
        <v>Constants - Dairy</v>
      </c>
      <c r="D58" s="123" t="s">
        <v>804</v>
      </c>
      <c r="E58" s="189" t="s">
        <v>808</v>
      </c>
      <c r="F58" s="189" t="s">
        <v>811</v>
      </c>
    </row>
    <row r="59" spans="1:10" ht="20.100000000000001" customHeight="1" x14ac:dyDescent="0.25">
      <c r="A59" s="5" t="str">
        <f>HYPERLINK("#'Constants - Ag Residue'!A1", "Constants - Ag residue")</f>
        <v>Constants - Ag residue</v>
      </c>
      <c r="D59" s="15" t="str" cm="1">
        <f t="array" ref="D59:D77">Table_Fertiliser_ChemicalCompounds[Fertiliser type f]</f>
        <v>Monoammonium phosphate (MAP)</v>
      </c>
      <c r="E59" s="15">
        <f t="shared" ref="E59:E77" si="0">H19</f>
        <v>0</v>
      </c>
      <c r="F59" s="15" cm="1">
        <f t="array" ref="F59">Fertiliser_Equations_AtmosphericDeposition.VEERG_5_4_1_1__1_InorganicFertiliserAtmosphericDepositionN2OEmissions(E59,$J$50,$J$51)</f>
        <v>0</v>
      </c>
      <c r="G59" s="16" t="str">
        <f>E47</f>
        <v>t N2O</v>
      </c>
    </row>
    <row r="60" spans="1:10" ht="20.100000000000001" customHeight="1" x14ac:dyDescent="0.25">
      <c r="A60" s="5" t="str">
        <f>HYPERLINK("#'Constants - Common Livestock'!A1", "Constants - Common Livestock")</f>
        <v>Constants - Common Livestock</v>
      </c>
      <c r="D60" s="15" t="str">
        <v>Diammonium phosphate (DAP)</v>
      </c>
      <c r="E60" s="15">
        <f t="shared" si="0"/>
        <v>0</v>
      </c>
      <c r="F60" s="15" cm="1">
        <f t="array" ref="F60">Fertiliser_Equations_AtmosphericDeposition.VEERG_5_4_1_1__1_InorganicFertiliserAtmosphericDepositionN2OEmissions(E60,$J$50,$J$51)</f>
        <v>0</v>
      </c>
    </row>
    <row r="61" spans="1:10" ht="20.100000000000001" customHeight="1" x14ac:dyDescent="0.25">
      <c r="A61" s="5" t="str">
        <f>HYPERLINK("#'Constants - Electricity'!A1", "Constants - Electricity")</f>
        <v>Constants - Electricity</v>
      </c>
      <c r="D61" s="15" t="str">
        <v>Urea</v>
      </c>
      <c r="E61" s="15">
        <f t="shared" si="0"/>
        <v>17399.999100000001</v>
      </c>
      <c r="F61" s="15" cm="1">
        <f t="array" ref="F61">Fertiliser_Equations_AtmosphericDeposition.VEERG_5_4_1_1__1_InorganicFertiliserAtmosphericDepositionN2OEmissions(E61,$J$50,$J$51)</f>
        <v>0.16132284879857145</v>
      </c>
    </row>
    <row r="62" spans="1:10" ht="20.100000000000001" customHeight="1" x14ac:dyDescent="0.25">
      <c r="A62" s="5" t="str">
        <f>HYPERLINK("#'Constants - Fertiliser'!A1", "Constants - Fertiliser")</f>
        <v>Constants - Fertiliser</v>
      </c>
      <c r="D62" s="15" t="str">
        <v>Sulphate of ammonia (SOA)</v>
      </c>
      <c r="E62" s="15">
        <f t="shared" si="0"/>
        <v>0</v>
      </c>
      <c r="F62" s="15" cm="1">
        <f t="array" ref="F62">Fertiliser_Equations_AtmosphericDeposition.VEERG_5_4_1_1__1_InorganicFertiliserAtmosphericDepositionN2OEmissions(E62,$J$50,$J$51)</f>
        <v>0</v>
      </c>
    </row>
    <row r="63" spans="1:10" ht="20.100000000000001" customHeight="1" x14ac:dyDescent="0.25">
      <c r="A63" s="5" t="str">
        <f>HYPERLINK("#'Constants - Fuel'!A1", "Constants - Fuel")</f>
        <v>Constants - Fuel</v>
      </c>
      <c r="D63" s="15" t="str">
        <v>Urea-ammonium nitrate (UAN)</v>
      </c>
      <c r="E63" s="15">
        <f t="shared" si="0"/>
        <v>0</v>
      </c>
      <c r="F63" s="15" cm="1">
        <f t="array" ref="F63">Fertiliser_Equations_AtmosphericDeposition.VEERG_5_4_1_1__1_InorganicFertiliserAtmosphericDepositionN2OEmissions(E63,$J$50,$J$51)</f>
        <v>0</v>
      </c>
    </row>
    <row r="64" spans="1:10" ht="20.100000000000001" customHeight="1" x14ac:dyDescent="0.25">
      <c r="A64" s="5" t="str">
        <f>HYPERLINK("#'Constants - Scope 3'!A1", "Constants - Scope 3")</f>
        <v>Constants - Scope 3</v>
      </c>
      <c r="D64" s="15" t="str">
        <v>Ammonium nitrate (AN)</v>
      </c>
      <c r="E64" s="15">
        <f t="shared" si="0"/>
        <v>0</v>
      </c>
      <c r="F64" s="15" cm="1">
        <f t="array" ref="F64">Fertiliser_Equations_AtmosphericDeposition.VEERG_5_4_1_1__1_InorganicFertiliserAtmosphericDepositionN2OEmissions(E64,$J$50,$J$51)</f>
        <v>0</v>
      </c>
    </row>
    <row r="65" spans="1:6" ht="20.100000000000001" customHeight="1" x14ac:dyDescent="0.25">
      <c r="A65" s="5" t="str">
        <f>HYPERLINK("#'Constants - Common'!A1", "Constants - Common")</f>
        <v>Constants - Common</v>
      </c>
      <c r="D65" s="15" t="str">
        <v>Calcium ammonium nitrate (CAN)</v>
      </c>
      <c r="E65" s="15">
        <f t="shared" si="0"/>
        <v>0</v>
      </c>
      <c r="F65" s="15" cm="1">
        <f t="array" ref="F65">Fertiliser_Equations_AtmosphericDeposition.VEERG_5_4_1_1__1_InorganicFertiliserAtmosphericDepositionN2OEmissions(E65,$J$50,$J$51)</f>
        <v>0</v>
      </c>
    </row>
    <row r="66" spans="1:6" ht="20.100000000000001" customHeight="1" x14ac:dyDescent="0.25">
      <c r="A66" s="5" t="str">
        <f>HYPERLINK("#'Constants - Refrigerants'!A1", "Constants - Refrigerants")</f>
        <v>Constants - Refrigerants</v>
      </c>
      <c r="D66" s="15" t="str">
        <v>Nitrogen - Ammoniacal</v>
      </c>
      <c r="E66" s="15">
        <f t="shared" si="0"/>
        <v>992</v>
      </c>
      <c r="F66" s="15" cm="1">
        <f t="array" ref="F66">Fertiliser_Equations_AtmosphericDeposition.VEERG_5_4_1_1__1_InorganicFertiliserAtmosphericDepositionN2OEmissions(E66,$J$50,$J$51)</f>
        <v>9.1972571428571431E-3</v>
      </c>
    </row>
    <row r="67" spans="1:6" ht="20.100000000000001" customHeight="1" x14ac:dyDescent="0.25">
      <c r="A67" s="5" t="str">
        <f>HYPERLINK("#'Constants - Solid Waste'!A1", "Constants - Solid Waste")</f>
        <v>Constants - Solid Waste</v>
      </c>
      <c r="D67" s="15" t="str">
        <v>Nitrogen - Nitrate</v>
      </c>
      <c r="E67" s="15">
        <f t="shared" si="0"/>
        <v>55</v>
      </c>
      <c r="F67" s="15" cm="1">
        <f t="array" ref="F67">Fertiliser_Equations_AtmosphericDeposition.VEERG_5_4_1_1__1_InorganicFertiliserAtmosphericDepositionN2OEmissions(E67,$J$50,$J$51)</f>
        <v>5.0992857142857144E-4</v>
      </c>
    </row>
    <row r="68" spans="1:6" ht="20.100000000000001" customHeight="1" x14ac:dyDescent="0.25">
      <c r="A68" s="5" t="str">
        <f>HYPERLINK("#'Acknowledgements'!A1", "Acknowledgements")</f>
        <v>Acknowledgements</v>
      </c>
      <c r="D68" s="15" t="str">
        <v>Nitrogen - Generic</v>
      </c>
      <c r="E68" s="15">
        <f t="shared" si="0"/>
        <v>0</v>
      </c>
      <c r="F68" s="15" cm="1">
        <f t="array" ref="F68">Fertiliser_Equations_AtmosphericDeposition.VEERG_5_4_1_1__1_InorganicFertiliserAtmosphericDepositionN2OEmissions(E68,$J$50,$J$51)</f>
        <v>0</v>
      </c>
    </row>
    <row r="69" spans="1:6" ht="20.100000000000001" customHeight="1" x14ac:dyDescent="0.25">
      <c r="D69" s="15" t="str">
        <v>Phosphorus - Generic</v>
      </c>
      <c r="E69" s="15">
        <f t="shared" si="0"/>
        <v>0</v>
      </c>
      <c r="F69" s="15" cm="1">
        <f t="array" ref="F69">Fertiliser_Equations_AtmosphericDeposition.VEERG_5_4_1_1__1_InorganicFertiliserAtmosphericDepositionN2OEmissions(E69,$J$50,$J$51)</f>
        <v>0</v>
      </c>
    </row>
    <row r="70" spans="1:6" ht="20.100000000000001" customHeight="1" x14ac:dyDescent="0.25">
      <c r="D70" s="15" t="str">
        <v>Potassium - Generic</v>
      </c>
      <c r="E70" s="15">
        <f t="shared" si="0"/>
        <v>0</v>
      </c>
      <c r="F70" s="15" cm="1">
        <f t="array" ref="F70">Fertiliser_Equations_AtmosphericDeposition.VEERG_5_4_1_1__1_InorganicFertiliserAtmosphericDepositionN2OEmissions(E70,$J$50,$J$51)</f>
        <v>0</v>
      </c>
    </row>
    <row r="71" spans="1:6" ht="20.100000000000001" customHeight="1" x14ac:dyDescent="0.25">
      <c r="D71" s="15" t="str">
        <v>Sulfur - Generic</v>
      </c>
      <c r="E71" s="15">
        <f t="shared" si="0"/>
        <v>0</v>
      </c>
      <c r="F71" s="15" cm="1">
        <f t="array" ref="F71">Fertiliser_Equations_AtmosphericDeposition.VEERG_5_4_1_1__1_InorganicFertiliserAtmosphericDepositionN2OEmissions(E71,$J$50,$J$51)</f>
        <v>0</v>
      </c>
    </row>
    <row r="72" spans="1:6" ht="20.100000000000001" customHeight="1" x14ac:dyDescent="0.25">
      <c r="D72" s="15" t="str">
        <v>Zinc - Generic</v>
      </c>
      <c r="E72" s="15">
        <f t="shared" si="0"/>
        <v>0</v>
      </c>
      <c r="F72" s="15" cm="1">
        <f t="array" ref="F72">Fertiliser_Equations_AtmosphericDeposition.VEERG_5_4_1_1__1_InorganicFertiliserAtmosphericDepositionN2OEmissions(E72,$J$50,$J$51)</f>
        <v>0</v>
      </c>
    </row>
    <row r="73" spans="1:6" ht="20.100000000000001" customHeight="1" x14ac:dyDescent="0.25">
      <c r="D73" s="15" t="str">
        <v>Muriate of potash (MOP)</v>
      </c>
      <c r="E73" s="15">
        <f t="shared" si="0"/>
        <v>0</v>
      </c>
      <c r="F73" s="15" cm="1">
        <f t="array" ref="F73">Fertiliser_Equations_AtmosphericDeposition.VEERG_5_4_1_1__1_InorganicFertiliserAtmosphericDepositionN2OEmissions(E73,$J$50,$J$51)</f>
        <v>0</v>
      </c>
    </row>
    <row r="74" spans="1:6" ht="20.100000000000001" customHeight="1" x14ac:dyDescent="0.25">
      <c r="D74" s="15" t="str">
        <v>Double superphosphate</v>
      </c>
      <c r="E74" s="15">
        <f t="shared" si="0"/>
        <v>0</v>
      </c>
      <c r="F74" s="15" cm="1">
        <f t="array" ref="F74">Fertiliser_Equations_AtmosphericDeposition.VEERG_5_4_1_1__1_InorganicFertiliserAtmosphericDepositionN2OEmissions(E74,$J$50,$J$51)</f>
        <v>0</v>
      </c>
    </row>
    <row r="75" spans="1:6" ht="20.100000000000001" customHeight="1" x14ac:dyDescent="0.25">
      <c r="D75" s="15" t="str">
        <v>Single superphosphate (SSP)</v>
      </c>
      <c r="E75" s="15">
        <f t="shared" si="0"/>
        <v>0</v>
      </c>
      <c r="F75" s="15" cm="1">
        <f t="array" ref="F75">Fertiliser_Equations_AtmosphericDeposition.VEERG_5_4_1_1__1_InorganicFertiliserAtmosphericDepositionN2OEmissions(E75,$J$50,$J$51)</f>
        <v>0</v>
      </c>
    </row>
    <row r="76" spans="1:6" ht="20.100000000000001" customHeight="1" x14ac:dyDescent="0.25">
      <c r="D76" s="15" t="str">
        <v>Ammonia</v>
      </c>
      <c r="E76" s="15">
        <f t="shared" si="0"/>
        <v>3294</v>
      </c>
      <c r="F76" s="15" cm="1">
        <f t="array" ref="F76">Fertiliser_Equations_AtmosphericDeposition.VEERG_5_4_1_1__1_InorganicFertiliserAtmosphericDepositionN2OEmissions(E76,$J$50,$J$51)</f>
        <v>3.0540085714285712E-2</v>
      </c>
    </row>
    <row r="77" spans="1:6" ht="20.100000000000001" customHeight="1" x14ac:dyDescent="0.25">
      <c r="D77" s="15" t="str">
        <v>Calcium nitrate</v>
      </c>
      <c r="E77" s="15">
        <f t="shared" si="0"/>
        <v>77.5</v>
      </c>
      <c r="F77" s="15" cm="1">
        <f t="array" ref="F77">Fertiliser_Equations_AtmosphericDeposition.VEERG_5_4_1_1__1_InorganicFertiliserAtmosphericDepositionN2OEmissions(E77,$J$50,$J$51)</f>
        <v>7.1853571428571431E-4</v>
      </c>
    </row>
    <row r="78" spans="1:6" ht="20.100000000000001" customHeight="1" x14ac:dyDescent="0.25"/>
    <row r="79" spans="1:6" ht="20.100000000000001" customHeight="1" x14ac:dyDescent="0.25">
      <c r="D79" s="87" t="s">
        <v>812</v>
      </c>
      <c r="E79" s="90">
        <f>SUM(F59:F77)</f>
        <v>0.20228865594142856</v>
      </c>
      <c r="F79" s="89" t="str">
        <f>$E$47</f>
        <v>t N2O</v>
      </c>
    </row>
    <row r="80" spans="1:6" ht="20.100000000000001" customHeight="1" x14ac:dyDescent="0.25"/>
    <row r="81" spans="3:12" ht="20.100000000000001" customHeight="1" x14ac:dyDescent="0.25">
      <c r="D81" s="131" t="str" cm="1">
        <f t="array" ref="D81:E82">Common_Equations.Common_ConvertN2OToCO2e_Arguments()</f>
        <v>EN2O</v>
      </c>
      <c r="E81" s="134" t="str">
        <v>Nitrous oxide emissions (t N2O)</v>
      </c>
      <c r="F81" s="135"/>
      <c r="G81" s="15">
        <f>VEERG_5_4_1_1__1_InorganicFertiliserAtmosphericDepositionN2OEmissions_Result_Method1</f>
        <v>0.20228865594142856</v>
      </c>
    </row>
    <row r="82" spans="3:12" ht="20.100000000000001" customHeight="1" x14ac:dyDescent="0.25">
      <c r="D82" s="131" t="str">
        <v>GWPN2O</v>
      </c>
      <c r="E82" s="134" t="str">
        <v>Global warming potential for nitrous oxide (t CO2-e / t N2O)</v>
      </c>
      <c r="F82" s="135"/>
      <c r="G82" s="15">
        <f>Common_InputFunctions.Utility_LookupValueInTableNumber("N2O",Table_GWPData[Gas],Table_GWPData[CO2-e factor])</f>
        <v>265</v>
      </c>
    </row>
    <row r="83" spans="3:12" ht="20.100000000000001" customHeight="1" x14ac:dyDescent="0.25"/>
    <row r="84" spans="3:12" ht="20.100000000000001" customHeight="1" x14ac:dyDescent="0.25">
      <c r="D84" s="88" t="s">
        <v>532</v>
      </c>
      <c r="E84" s="88" cm="1">
        <f t="array" ref="E84">Common_Equations.Common_ConvertN2OToCO2e(G81,G82)</f>
        <v>53.606493824478569</v>
      </c>
      <c r="F84" s="93"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86"/>
      <c r="D87" s="186"/>
      <c r="E87" s="186"/>
      <c r="F87" s="186"/>
      <c r="G87" s="186"/>
      <c r="H87" s="186"/>
      <c r="I87" s="186"/>
      <c r="J87" s="186"/>
      <c r="K87" s="186"/>
      <c r="L87" s="186"/>
    </row>
    <row r="88" spans="3:12" ht="20.100000000000001" customHeight="1" x14ac:dyDescent="0.25">
      <c r="D88" s="2"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17" t="str" cm="1">
        <f t="array" ref="D89">Fertiliser_Equations_AtmosphericDeposition.VEERG_5_4_1_3__2_MassOfNitrogenVolatilisedFromOrganicFertiliser_Source()</f>
        <v>VEERG 2026: 5.4.1.3, Equation (2)</v>
      </c>
    </row>
    <row r="90" spans="3:12" ht="20.100000000000001" customHeight="1" x14ac:dyDescent="0.25">
      <c r="D90" s="117" t="s">
        <v>382</v>
      </c>
      <c r="E90" s="117"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76" t="s">
        <v>383</v>
      </c>
      <c r="E93" s="1" t="str" cm="1">
        <f t="array" ref="E93">Fertiliser_Equations_AtmosphericDeposition.VEERG_5_4_1_3__2_MassOfNitrogenVolatilisedFromOrganicFertiliser_Variable()</f>
        <v>M_volorganicjf</v>
      </c>
    </row>
    <row r="94" spans="3:12" ht="20.100000000000001" customHeight="1" x14ac:dyDescent="0.25">
      <c r="D94" s="76" t="s">
        <v>118</v>
      </c>
      <c r="E94" s="9"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19" t="str" cm="1">
        <f t="array" ref="D96:E97">_xlfn.CHOOSECOLS(Fertiliser_Equations_AtmosphericDeposition.VEERG_5_4_1_3__2_MassOfNitrogenVolatilisedFromOrganicFertiliser_Arguments(), 1, 2)</f>
        <v>MNSoil_jf</v>
      </c>
      <c r="E96" s="119" t="str">
        <v>mass of nitrogen in organic fertiliser type f applied to production system j</v>
      </c>
      <c r="F96" s="119"/>
      <c r="G96" s="119" t="str" cm="1">
        <f t="array" ref="G96:H97">_xlfn.CHOOSECOLS(Fertiliser_Equations_AtmosphericDeposition.VEERG_5_4_1_3__2_MassOfNitrogenVolatilisedFromOrganicFertiliser_Arguments(), 3,4)</f>
        <v>kg N</v>
      </c>
      <c r="H96" s="127" t="str">
        <v>Calculated from 5.2.1.1 (2)</v>
      </c>
      <c r="I96" s="126" t="str" cm="1">
        <f t="array" aca="1" ref="I96" ca="1">HYPERLINK(Common_InputFunctions.Utility_SourceHyperlink($D$99), $D$99)</f>
        <v>Table_M_vol_organic_j_f</v>
      </c>
    </row>
    <row r="97" spans="4:9" ht="20.100000000000001" customHeight="1" x14ac:dyDescent="0.25">
      <c r="D97" s="119" t="str">
        <v>FracGASM_soil</v>
      </c>
      <c r="E97" s="119" t="str">
        <v>fraction of organic fertiliser N that volatilises</v>
      </c>
      <c r="F97" s="119"/>
      <c r="G97" s="119" t="str">
        <v>(kg NH3-N + NOx-N)/kg N</v>
      </c>
      <c r="H97" s="127" t="str">
        <v>Constant</v>
      </c>
      <c r="I97" s="119">
        <f>Fertiliser_FracGASMSoil_Data</f>
        <v>0.21</v>
      </c>
    </row>
    <row r="98" spans="4:9" ht="20.100000000000001" customHeight="1" x14ac:dyDescent="0.25"/>
    <row r="99" spans="4:9" ht="20.100000000000001" customHeight="1" x14ac:dyDescent="0.25">
      <c r="D99" s="121" t="s">
        <v>813</v>
      </c>
    </row>
    <row r="100" spans="4:9" ht="20.100000000000001" customHeight="1" x14ac:dyDescent="0.25">
      <c r="D100" s="122" t="s">
        <v>814</v>
      </c>
    </row>
    <row r="101" spans="4:9" ht="20.100000000000001" customHeight="1" x14ac:dyDescent="0.25">
      <c r="D101" s="81" t="s">
        <v>787</v>
      </c>
      <c r="E101" s="181" t="s">
        <v>791</v>
      </c>
      <c r="F101" s="181" t="s">
        <v>815</v>
      </c>
    </row>
    <row r="102" spans="4:9" ht="20.100000000000001" customHeight="1" x14ac:dyDescent="0.25">
      <c r="D102" s="15" t="str" cm="1">
        <f t="array" ref="D102:D104">Table_Input_OrganicFertiliser[Organic fertiliser type (select)]</f>
        <v>Manure - Other</v>
      </c>
      <c r="E102" s="15">
        <f>INDEX(Table_MNSoil_j_f,2,6)</f>
        <v>3000</v>
      </c>
      <c r="F102" s="15" cm="1">
        <f t="array" ref="F102">Fertiliser_Equations_AtmosphericDeposition.VEERG_5_4_1_3__2_MassOfNitrogenVolatilisedFromOrganicFertiliser(E102,$I$97)</f>
        <v>630</v>
      </c>
      <c r="G102" s="16" t="str">
        <f>$E$94</f>
        <v>kg N</v>
      </c>
    </row>
    <row r="103" spans="4:9" ht="20.100000000000001" customHeight="1" x14ac:dyDescent="0.25">
      <c r="D103" s="15" t="str">
        <v>Manure - Poultry</v>
      </c>
      <c r="E103" s="15">
        <f>INDEX(Table_MNSoil_j_f,3,6)</f>
        <v>2500</v>
      </c>
      <c r="F103" s="15" cm="1">
        <f t="array" ref="F103">Fertiliser_Equations_AtmosphericDeposition.VEERG_5_4_1_3__2_MassOfNitrogenVolatilisedFromOrganicFertiliser(E103,$I$97)</f>
        <v>525</v>
      </c>
    </row>
    <row r="104" spans="4:9" ht="20.100000000000001" customHeight="1" x14ac:dyDescent="0.25">
      <c r="D104" s="15" t="str">
        <v>Other organic fertiliser</v>
      </c>
      <c r="E104" s="15">
        <f>INDEX(Table_MNSoil_j_f,4,6)</f>
        <v>1600</v>
      </c>
      <c r="F104" s="15" cm="1">
        <f t="array" ref="F104">Fertiliser_Equations_AtmosphericDeposition.VEERG_5_4_1_3__2_MassOfNitrogenVolatilisedFromOrganicFertiliser(E104,$I$97)</f>
        <v>336</v>
      </c>
    </row>
    <row r="105" spans="4:9" ht="20.100000000000001" customHeight="1" x14ac:dyDescent="0.25">
      <c r="D105" s="15"/>
      <c r="E105" s="15">
        <f>'5.2.1.1-2 Organic Fert N2O'!I23</f>
        <v>0</v>
      </c>
      <c r="F105" s="15" cm="1">
        <f t="array" ref="F105">Fertiliser_Equations_AtmosphericDeposition.VEERG_5_4_1_3__2_MassOfNitrogenVolatilisedFromOrganicFertiliser(E105,$I$97)</f>
        <v>0</v>
      </c>
    </row>
    <row r="106" spans="4:9" ht="20.100000000000001" customHeight="1" x14ac:dyDescent="0.25">
      <c r="D106" s="15"/>
      <c r="E106" s="15">
        <f>'5.2.1.1-2 Organic Fert N2O'!I24</f>
        <v>0</v>
      </c>
      <c r="F106" s="15" cm="1">
        <f t="array" ref="F106">Fertiliser_Equations_AtmosphericDeposition.VEERG_5_4_1_3__2_MassOfNitrogenVolatilisedFromOrganicFertiliser(E106,$I$97)</f>
        <v>0</v>
      </c>
    </row>
    <row r="107" spans="4:9" ht="20.100000000000001" customHeight="1" x14ac:dyDescent="0.25">
      <c r="D107" s="15"/>
      <c r="E107" s="15">
        <f>'5.2.1.1-2 Organic Fert N2O'!I25</f>
        <v>0</v>
      </c>
      <c r="F107" s="15" cm="1">
        <f t="array" ref="F107">Fertiliser_Equations_AtmosphericDeposition.VEERG_5_4_1_3__2_MassOfNitrogenVolatilisedFromOrganicFertiliser(E107,$I$97)</f>
        <v>0</v>
      </c>
    </row>
    <row r="108" spans="4:9" ht="20.100000000000001" customHeight="1" x14ac:dyDescent="0.25">
      <c r="D108" s="15"/>
      <c r="E108" s="15">
        <f>'5.2.1.1-2 Organic Fert N2O'!I26</f>
        <v>0</v>
      </c>
      <c r="F108" s="15" cm="1">
        <f t="array" ref="F108">Fertiliser_Equations_AtmosphericDeposition.VEERG_5_4_1_3__2_MassOfNitrogenVolatilisedFromOrganicFertiliser(E108,$I$97)</f>
        <v>0</v>
      </c>
    </row>
    <row r="109" spans="4:9" ht="20.100000000000001" customHeight="1" x14ac:dyDescent="0.25">
      <c r="D109" s="15"/>
      <c r="E109" s="15">
        <f>'5.2.1.1-2 Organic Fert N2O'!I27</f>
        <v>0</v>
      </c>
      <c r="F109" s="15" cm="1">
        <f t="array" ref="F109">Fertiliser_Equations_AtmosphericDeposition.VEERG_5_4_1_3__2_MassOfNitrogenVolatilisedFromOrganicFertiliser(E109,$I$97)</f>
        <v>0</v>
      </c>
    </row>
    <row r="110" spans="4:9" ht="20.100000000000001" customHeight="1" x14ac:dyDescent="0.25">
      <c r="D110" s="15"/>
      <c r="E110" s="15">
        <f>'5.2.1.1-2 Organic Fert N2O'!I28</f>
        <v>0</v>
      </c>
      <c r="F110" s="15" cm="1">
        <f t="array" ref="F110">Fertiliser_Equations_AtmosphericDeposition.VEERG_5_4_1_3__2_MassOfNitrogenVolatilisedFromOrganicFertiliser(E110,$I$97)</f>
        <v>0</v>
      </c>
    </row>
    <row r="111" spans="4:9" ht="20.100000000000001" customHeight="1" x14ac:dyDescent="0.25">
      <c r="D111" s="15"/>
      <c r="E111" s="15">
        <f>'5.2.1.1-2 Organic Fert N2O'!I29</f>
        <v>0</v>
      </c>
      <c r="F111" s="15" cm="1">
        <f t="array" ref="F111">Fertiliser_Equations_AtmosphericDeposition.VEERG_5_4_1_3__2_MassOfNitrogenVolatilisedFromOrganicFertiliser(E111,$I$97)</f>
        <v>0</v>
      </c>
    </row>
    <row r="112" spans="4:9" ht="20.100000000000001" customHeight="1" x14ac:dyDescent="0.25">
      <c r="D112" s="15"/>
      <c r="E112" s="15">
        <f>'5.2.1.1-2 Organic Fert N2O'!I30</f>
        <v>0</v>
      </c>
      <c r="F112" s="15"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86"/>
      <c r="D115" s="186"/>
      <c r="E115" s="186"/>
      <c r="F115" s="186"/>
      <c r="G115" s="186"/>
      <c r="H115" s="186"/>
      <c r="I115" s="186"/>
      <c r="J115" s="186"/>
      <c r="K115" s="186"/>
      <c r="L115" s="186"/>
    </row>
    <row r="116" spans="3:12" ht="20.100000000000001" customHeight="1" x14ac:dyDescent="0.25">
      <c r="D116" s="2"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17" t="str" cm="1">
        <f t="array" ref="D117">Fertiliser_Equations_AtmosphericDeposition.VEERG_5_4_1_3__1_OrganicFertiliserAtmosphericDepositionN2OEmissions_Source()</f>
        <v>VEERG 2026: 5.4.1.3, Equation (1)</v>
      </c>
    </row>
    <row r="118" spans="3:12" ht="20.100000000000001" customHeight="1" x14ac:dyDescent="0.25">
      <c r="D118" s="117" t="s">
        <v>382</v>
      </c>
      <c r="E118" s="117"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76" t="s">
        <v>383</v>
      </c>
      <c r="E121" s="1" t="str" cm="1">
        <f t="array" ref="E121">Fertiliser_Equations_AtmosphericDeposition.VEERG_5_4_1_3__1_OrganicFertiliserAtmosphericDepositionN2OEmissions_Variable()</f>
        <v>E_adorganic</v>
      </c>
    </row>
    <row r="122" spans="3:12" ht="20.100000000000001" customHeight="1" x14ac:dyDescent="0.25">
      <c r="D122" s="76" t="s">
        <v>118</v>
      </c>
      <c r="E122" s="9"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19" t="str" cm="1">
        <f t="array" ref="D124:E129">_xlfn.CHOOSECOLS(Fertiliser_Equations_AtmosphericDeposition.VEERG_5_4_1_3__1_OrganicFertiliserAtmosphericDepositionN2OEmissions_Arguments(), 1, 2)</f>
        <v>M_volorganicjf</v>
      </c>
      <c r="E124" s="124" t="str">
        <v>mass of nitrogen volatilised from organic fertiliser applied to production system</v>
      </c>
      <c r="F124" s="125"/>
      <c r="G124" s="119" t="str" cm="1">
        <f t="array" ref="G124:H129">_xlfn.CHOOSECOLS(Fertiliser_Equations_AtmosphericDeposition.VEERG_5_4_1_3__1_OrganicFertiliserAtmosphericDepositionN2OEmissions_Arguments(), 3,4)</f>
        <v>kg N</v>
      </c>
      <c r="H124" s="127" t="str">
        <v>Calculated from 5.4.1.3 (2)</v>
      </c>
      <c r="I124" s="126" t="str" cm="1">
        <f t="array" aca="1" ref="I124" ca="1">HYPERLINK(Common_InputFunctions.Utility_SourceHyperlink($D$99), $D$99)</f>
        <v>Table_M_vol_organic_j_f</v>
      </c>
    </row>
    <row r="125" spans="3:12" ht="20.100000000000001" customHeight="1" x14ac:dyDescent="0.25">
      <c r="D125" s="119" t="str">
        <v>EF_N2Oj</v>
      </c>
      <c r="E125" s="124" t="str">
        <v>emission factor for atmospheric deposition in production system j</v>
      </c>
      <c r="F125" s="125"/>
      <c r="G125" s="119" t="str">
        <v>kg N2O-N/kg N</v>
      </c>
      <c r="H125" s="127" t="str">
        <v>Constant</v>
      </c>
      <c r="I125" s="119">
        <f>Common_InputFunctions.Utility_LookupN2OEFFromProdIrrigationRainfall(I127,I128,I129,Table_SourceData_Common_EFN2O[Production system only],Table_SourceData_Common_EFN2O[Irrigation method],Table_SourceData_Common_EFN2O[Rainfall zone],Table_SourceData_Common_EFN2O[EFN2O])</f>
        <v>5.8999999999999999E-3</v>
      </c>
    </row>
    <row r="126" spans="3:12" ht="20.100000000000001" customHeight="1" x14ac:dyDescent="0.25">
      <c r="D126" s="119" t="str">
        <v>C_N2O</v>
      </c>
      <c r="E126" s="124" t="str">
        <v>factor to convert elemental mass of nitrous oxide to molecular mass</v>
      </c>
      <c r="F126" s="125"/>
      <c r="G126" s="119" t="str">
        <v/>
      </c>
      <c r="H126" s="127" t="str">
        <v>Constant</v>
      </c>
      <c r="I126" s="131">
        <f>Common_InputFunctions.Utility_LookupValueInTableNumber("N2O",Table_GasToMolecularConversionFactor[Gas],Table_GasToMolecularConversionFactor[Conversion factor combined])</f>
        <v>1.5714285714285714</v>
      </c>
    </row>
    <row r="127" spans="3:12" ht="20.100000000000001" customHeight="1" x14ac:dyDescent="0.25">
      <c r="D127" s="119" t="str">
        <v>j</v>
      </c>
      <c r="E127" s="124" t="str">
        <v>Production system</v>
      </c>
      <c r="F127" s="125"/>
      <c r="G127" s="119" t="str">
        <v/>
      </c>
      <c r="H127" s="120" t="str">
        <v>Input</v>
      </c>
      <c r="I127" s="119" t="str">
        <f>X_Cell_Fertiliser_ProductionSystem</f>
        <v>Pasture</v>
      </c>
    </row>
    <row r="128" spans="3:12" ht="20.100000000000001" customHeight="1" x14ac:dyDescent="0.25">
      <c r="D128" s="119" t="str">
        <v>ir</v>
      </c>
      <c r="E128" s="124" t="str">
        <v>irrigation method</v>
      </c>
      <c r="F128" s="125"/>
      <c r="G128" s="119" t="str">
        <v/>
      </c>
      <c r="H128" s="120" t="str">
        <v>Input</v>
      </c>
      <c r="I128" s="119" t="str">
        <f>X_Cell_Fertiliser_IrrigationMethod</f>
        <v>Surface irrigation</v>
      </c>
    </row>
    <row r="129" spans="4:9" ht="20.100000000000001" customHeight="1" x14ac:dyDescent="0.25">
      <c r="D129" s="119" t="str">
        <v>r</v>
      </c>
      <c r="E129" s="124" t="str">
        <v>rainfall region</v>
      </c>
      <c r="F129" s="125"/>
      <c r="G129" s="119" t="str">
        <v/>
      </c>
      <c r="H129" s="120" t="str">
        <v>Input</v>
      </c>
      <c r="I129" s="119" t="str">
        <f>X_Cell_Site_RainfallZone</f>
        <v>High rainfall</v>
      </c>
    </row>
    <row r="130" spans="4:9" ht="20.100000000000001" customHeight="1" x14ac:dyDescent="0.25"/>
    <row r="131" spans="4:9" ht="20.100000000000001" customHeight="1" x14ac:dyDescent="0.25">
      <c r="D131" s="121" t="s">
        <v>816</v>
      </c>
    </row>
    <row r="132" spans="4:9" ht="20.100000000000001" customHeight="1" x14ac:dyDescent="0.25">
      <c r="D132" s="122" t="s">
        <v>817</v>
      </c>
    </row>
    <row r="133" spans="4:9" ht="20.100000000000001" customHeight="1" x14ac:dyDescent="0.25">
      <c r="D133" s="81" t="s">
        <v>787</v>
      </c>
      <c r="E133" s="181" t="s">
        <v>815</v>
      </c>
      <c r="F133" s="181" t="s">
        <v>818</v>
      </c>
    </row>
    <row r="134" spans="4:9" ht="20.100000000000001" customHeight="1" x14ac:dyDescent="0.25">
      <c r="D134" s="15" t="str" cm="1">
        <f t="array" ref="D134:D136">Table_Input_OrganicFertiliser[Organic fertiliser type (select)]</f>
        <v>Manure - Other</v>
      </c>
      <c r="E134" s="15">
        <f>F102</f>
        <v>630</v>
      </c>
      <c r="F134" s="15" cm="1">
        <f t="array" ref="F134">Fertiliser_Equations_AtmosphericDeposition.VEERG_5_4_1_3__1_OrganicFertiliserAtmosphericDepositionN2OEmissions(E134,$I$125,$I$126)</f>
        <v>5.8410000000000007E-3</v>
      </c>
    </row>
    <row r="135" spans="4:9" ht="20.100000000000001" customHeight="1" x14ac:dyDescent="0.25">
      <c r="D135" s="15" t="str">
        <v>Manure - Poultry</v>
      </c>
      <c r="E135" s="15">
        <f t="shared" ref="E135:E144" si="1">F103</f>
        <v>525</v>
      </c>
      <c r="F135" s="15" cm="1">
        <f t="array" ref="F135">Fertiliser_Equations_AtmosphericDeposition.VEERG_5_4_1_3__1_OrganicFertiliserAtmosphericDepositionN2OEmissions(E135,$I$125,$I$126)</f>
        <v>4.8674999999999994E-3</v>
      </c>
    </row>
    <row r="136" spans="4:9" ht="20.100000000000001" customHeight="1" x14ac:dyDescent="0.25">
      <c r="D136" s="15" t="str">
        <v>Other organic fertiliser</v>
      </c>
      <c r="E136" s="15">
        <f t="shared" si="1"/>
        <v>336</v>
      </c>
      <c r="F136" s="15" cm="1">
        <f t="array" ref="F136">Fertiliser_Equations_AtmosphericDeposition.VEERG_5_4_1_3__1_OrganicFertiliserAtmosphericDepositionN2OEmissions(E136,$I$125,$I$126)</f>
        <v>3.1151999999999998E-3</v>
      </c>
    </row>
    <row r="137" spans="4:9" ht="20.100000000000001" customHeight="1" x14ac:dyDescent="0.25">
      <c r="D137" s="15"/>
      <c r="E137" s="15">
        <f t="shared" si="1"/>
        <v>0</v>
      </c>
      <c r="F137" s="15" cm="1">
        <f t="array" ref="F137">Fertiliser_Equations_AtmosphericDeposition.VEERG_5_4_1_3__1_OrganicFertiliserAtmosphericDepositionN2OEmissions(E137,$I$125,$I$126)</f>
        <v>0</v>
      </c>
    </row>
    <row r="138" spans="4:9" ht="20.100000000000001" customHeight="1" x14ac:dyDescent="0.25">
      <c r="D138" s="15"/>
      <c r="E138" s="15">
        <f t="shared" si="1"/>
        <v>0</v>
      </c>
      <c r="F138" s="15" cm="1">
        <f t="array" ref="F138">Fertiliser_Equations_AtmosphericDeposition.VEERG_5_4_1_3__1_OrganicFertiliserAtmosphericDepositionN2OEmissions(E138,$I$125,$I$126)</f>
        <v>0</v>
      </c>
    </row>
    <row r="139" spans="4:9" ht="20.100000000000001" customHeight="1" x14ac:dyDescent="0.25">
      <c r="D139" s="15"/>
      <c r="E139" s="15">
        <f t="shared" si="1"/>
        <v>0</v>
      </c>
      <c r="F139" s="15" cm="1">
        <f t="array" ref="F139">Fertiliser_Equations_AtmosphericDeposition.VEERG_5_4_1_3__1_OrganicFertiliserAtmosphericDepositionN2OEmissions(E139,$I$125,$I$126)</f>
        <v>0</v>
      </c>
    </row>
    <row r="140" spans="4:9" ht="20.100000000000001" customHeight="1" x14ac:dyDescent="0.25">
      <c r="D140" s="15"/>
      <c r="E140" s="15">
        <f t="shared" si="1"/>
        <v>0</v>
      </c>
      <c r="F140" s="15" cm="1">
        <f t="array" ref="F140">Fertiliser_Equations_AtmosphericDeposition.VEERG_5_4_1_3__1_OrganicFertiliserAtmosphericDepositionN2OEmissions(E140,$I$125,$I$126)</f>
        <v>0</v>
      </c>
    </row>
    <row r="141" spans="4:9" ht="20.100000000000001" customHeight="1" x14ac:dyDescent="0.25">
      <c r="D141" s="15"/>
      <c r="E141" s="15">
        <f t="shared" si="1"/>
        <v>0</v>
      </c>
      <c r="F141" s="15" cm="1">
        <f t="array" ref="F141">Fertiliser_Equations_AtmosphericDeposition.VEERG_5_4_1_3__1_OrganicFertiliserAtmosphericDepositionN2OEmissions(E141,$I$125,$I$126)</f>
        <v>0</v>
      </c>
    </row>
    <row r="142" spans="4:9" ht="20.100000000000001" customHeight="1" x14ac:dyDescent="0.25">
      <c r="D142" s="15"/>
      <c r="E142" s="15">
        <f t="shared" si="1"/>
        <v>0</v>
      </c>
      <c r="F142" s="15" cm="1">
        <f t="array" ref="F142">Fertiliser_Equations_AtmosphericDeposition.VEERG_5_4_1_3__1_OrganicFertiliserAtmosphericDepositionN2OEmissions(E142,$I$125,$I$126)</f>
        <v>0</v>
      </c>
    </row>
    <row r="143" spans="4:9" ht="20.100000000000001" customHeight="1" x14ac:dyDescent="0.25">
      <c r="D143" s="15"/>
      <c r="E143" s="15">
        <f t="shared" si="1"/>
        <v>0</v>
      </c>
      <c r="F143" s="15" cm="1">
        <f t="array" ref="F143">Fertiliser_Equations_AtmosphericDeposition.VEERG_5_4_1_3__1_OrganicFertiliserAtmosphericDepositionN2OEmissions(E143,$I$125,$I$126)</f>
        <v>0</v>
      </c>
    </row>
    <row r="144" spans="4:9" ht="20.100000000000001" customHeight="1" x14ac:dyDescent="0.25">
      <c r="D144" s="15"/>
      <c r="E144" s="15">
        <f t="shared" si="1"/>
        <v>0</v>
      </c>
      <c r="F144" s="15"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87" t="s">
        <v>819</v>
      </c>
      <c r="E146" s="90">
        <f>SUM(F134:F144)</f>
        <v>1.38237E-2</v>
      </c>
      <c r="F146" s="89" t="str">
        <f>$E$122</f>
        <v>t N2O</v>
      </c>
    </row>
    <row r="147" spans="4:7" ht="20.100000000000001" customHeight="1" x14ac:dyDescent="0.25"/>
    <row r="148" spans="4:7" ht="20.100000000000001" customHeight="1" x14ac:dyDescent="0.25">
      <c r="D148" s="131" t="str" cm="1">
        <f t="array" ref="D148:E149">Common_Equations.Common_ConvertN2OToCO2e_Arguments()</f>
        <v>EN2O</v>
      </c>
      <c r="E148" s="134" t="str">
        <v>Nitrous oxide emissions (t N2O)</v>
      </c>
      <c r="F148" s="135"/>
      <c r="G148" s="15">
        <f>VEERG_5_4_1_3__1_OrganicFertiliserAtmosphericDepositionN2OEmissions_Result_Method1</f>
        <v>1.38237E-2</v>
      </c>
    </row>
    <row r="149" spans="4:7" ht="20.100000000000001" customHeight="1" x14ac:dyDescent="0.25">
      <c r="D149" s="131" t="str">
        <v>GWPN2O</v>
      </c>
      <c r="E149" s="134" t="str">
        <v>Global warming potential for nitrous oxide (t CO2-e / t N2O)</v>
      </c>
      <c r="F149" s="135"/>
      <c r="G149" s="15">
        <f>Common_InputFunctions.Utility_LookupValueInTableNumber("N2O",Table_GWPData[Gas],Table_GWPData[CO2-e factor])</f>
        <v>265</v>
      </c>
    </row>
    <row r="150" spans="4:7" ht="20.100000000000001" customHeight="1" x14ac:dyDescent="0.25"/>
    <row r="151" spans="4:7" ht="20.100000000000001" customHeight="1" x14ac:dyDescent="0.25">
      <c r="D151" s="88" t="s">
        <v>532</v>
      </c>
      <c r="E151" s="88" cm="1">
        <f t="array" ref="E151">Common_Equations.Common_ConvertN2OToCO2e(G148,G149)</f>
        <v>3.6632804999999999</v>
      </c>
      <c r="F151" s="93"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D252A-54C4-4079-A4FD-6AC67D0911C3}">
  <sheetPr>
    <tabColor rgb="FF008000"/>
  </sheetPr>
  <dimension ref="A1:T165"/>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0" customFormat="1" ht="30" customHeight="1" x14ac:dyDescent="0.35">
      <c r="A1" s="10" t="e" vm="1">
        <v>#VALUE!</v>
      </c>
      <c r="C1" s="20" t="s">
        <v>820</v>
      </c>
    </row>
    <row r="2" spans="1:20" s="3" customFormat="1" ht="20.100000000000001" customHeight="1" x14ac:dyDescent="0.25">
      <c r="A2"/>
    </row>
    <row r="3" spans="1:20" ht="20.100000000000001" customHeight="1" x14ac:dyDescent="0.25">
      <c r="A3" s="5" t="str">
        <f>HYPERLINK("#'Home'!A1", "Home")</f>
        <v>Home</v>
      </c>
      <c r="C3" s="22"/>
      <c r="D3" s="22" t="s">
        <v>129</v>
      </c>
      <c r="E3" s="22"/>
      <c r="F3" s="22"/>
      <c r="G3" s="22"/>
      <c r="H3" s="22"/>
      <c r="I3" s="22"/>
      <c r="J3" s="22"/>
      <c r="K3" s="22"/>
      <c r="M3" s="22"/>
      <c r="N3" s="22" t="s">
        <v>130</v>
      </c>
      <c r="O3" s="22"/>
      <c r="P3" s="22"/>
      <c r="Q3" s="22"/>
      <c r="R3" s="22"/>
      <c r="S3" s="22"/>
      <c r="T3" s="22"/>
    </row>
    <row r="4" spans="1:20" ht="20.100000000000001" customHeight="1" x14ac:dyDescent="0.25">
      <c r="A4" s="5" t="str">
        <f>HYPERLINK("#'Results - Activity period'!A1", "Results - Activity period")</f>
        <v>Results - Activity period</v>
      </c>
    </row>
    <row r="5" spans="1:20" ht="20.100000000000001" customHeight="1" x14ac:dyDescent="0.25">
      <c r="A5" s="5" t="str">
        <f>HYPERLINK("#'Results - Product EI'!A1", "Results - Product Emissions Intensity")</f>
        <v>Results - Product Emissions Intensity</v>
      </c>
      <c r="D5" s="2"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5" t="str">
        <f>HYPERLINK("#'Results'!A1", "Results")</f>
        <v>Results</v>
      </c>
      <c r="D6" s="17" t="str" cm="1">
        <f t="array" ref="D6">Fertiliser_Equations_LeachingAndRunoff.VEERG_5_5_1_1__2_MassOfNitrogenLeachedFromInorganicFertiliser_Source()</f>
        <v>VEERG 2026: 5.5, Equation (2)</v>
      </c>
    </row>
    <row r="7" spans="1:20" ht="20.100000000000001" customHeight="1" x14ac:dyDescent="0.25">
      <c r="D7" s="117" t="s">
        <v>382</v>
      </c>
      <c r="E7" s="117" t="str" cm="1">
        <f t="array" aca="1" ref="E7" ca="1">Common_InputFunctions.Utility_DisplayFunctionName(F23)</f>
        <v>=Fertiliser_Equations_LeachingAndRunoff.VEERG_5_5_1_1__2_MassOfNitrogenLeachedFromInorganicFertiliser</v>
      </c>
    </row>
    <row r="8" spans="1:20" ht="20.100000000000001" customHeight="1" x14ac:dyDescent="0.25"/>
    <row r="9" spans="1:20" ht="20.100000000000001" customHeight="1" x14ac:dyDescent="0.25">
      <c r="A9" s="7" t="s">
        <v>0</v>
      </c>
    </row>
    <row r="10" spans="1:20" ht="20.100000000000001" customHeight="1" x14ac:dyDescent="0.25">
      <c r="A10" s="5" t="str">
        <f>HYPERLINK("#'Input - Enterprise'!A1", "Enterprise")</f>
        <v>Enterprise</v>
      </c>
      <c r="D10" s="76" t="s">
        <v>383</v>
      </c>
      <c r="E10" s="1" t="str" cm="1">
        <f t="array" ref="E10">Fertiliser_Equations_LeachingAndRunoff.VEERG_5_5_1_1__2_MassOfNitrogenLeachedFromInorganicFertiliser_Variable()</f>
        <v>M_leachinorganicj</v>
      </c>
    </row>
    <row r="11" spans="1:20" ht="20.100000000000001" customHeight="1" x14ac:dyDescent="0.25">
      <c r="A11" s="5" t="str">
        <f>HYPERLINK("#'Input - Site'!A1", "Site")</f>
        <v>Site</v>
      </c>
      <c r="D11" s="76" t="s">
        <v>118</v>
      </c>
      <c r="E11" s="9" t="str" cm="1">
        <f t="array" ref="E11">Fertiliser_Equations_LeachingAndRunoff.VEERG_5_5_1_1__2_MassOfNitrogenLeachedFromInorganicFertiliser_Unit()</f>
        <v>kg N</v>
      </c>
    </row>
    <row r="12" spans="1:20" ht="20.100000000000001" customHeight="1" x14ac:dyDescent="0.25">
      <c r="A12" s="5" t="str">
        <f>HYPERLINK("#'Input - Dairy'!A1", "Dairy")</f>
        <v>Dairy</v>
      </c>
    </row>
    <row r="13" spans="1:20" ht="20.100000000000001" customHeight="1" x14ac:dyDescent="0.25">
      <c r="A13" s="5" t="str">
        <f>HYPERLINK("#'Input - Livestock sales'!A1", "Livestock sales")</f>
        <v>Livestock sales</v>
      </c>
      <c r="D13" s="119" t="str" cm="1">
        <f t="array" ref="D13:E18">_xlfn.CHOOSECOLS(Fertiliser_Equations_LeachingAndRunoff.VEERG_5_5_1_1__2_MassOfNitrogenLeachedFromInorganicFertiliser_Arguments(), 1, 2)</f>
        <v>MN_jf</v>
      </c>
      <c r="E13" s="124" t="str">
        <v>mass of nitrogen in inorganic fertiliser</v>
      </c>
      <c r="F13" s="125"/>
      <c r="G13" s="119" t="str" cm="1">
        <f t="array" ref="G13:H18">_xlfn.CHOOSECOLS(Fertiliser_Equations_LeachingAndRunoff.VEERG_5_5_1_1__2_MassOfNitrogenLeachedFromInorganicFertiliser_Arguments(), 3,4)</f>
        <v>kg N</v>
      </c>
      <c r="H13" s="127" t="str">
        <v>Calculated from 5.1.1.1 (2)</v>
      </c>
      <c r="I13" s="126" t="str" cm="1">
        <f t="array" aca="1" ref="I13" ca="1">HYPERLINK(Common_InputFunctions.Utility_SourceHyperlink(D20), D20)</f>
        <v>Table_M_leach_inorganic_j</v>
      </c>
    </row>
    <row r="14" spans="1:20" ht="20.100000000000001" customHeight="1" x14ac:dyDescent="0.25">
      <c r="A14" s="5" t="str">
        <f>HYPERLINK("#'Input - Dairy cattle purchases'!A1", "Dairy cattle purchases")</f>
        <v>Dairy cattle purchases</v>
      </c>
      <c r="D14" s="119" t="str">
        <v>FracWETj</v>
      </c>
      <c r="E14" s="124" t="str">
        <v>fraction of N available for leaching and runoff</v>
      </c>
      <c r="F14" s="125"/>
      <c r="G14" s="119" t="str">
        <v>fraction</v>
      </c>
      <c r="H14" s="127" t="str">
        <v>Constant</v>
      </c>
      <c r="I14" s="119">
        <f>Common_InputFunctions.CommonCropping_GetFracWET(I16,I18,Table_SourceData_FracWET[Is in leaching zone],Table_SourceData_FracWET[FracWET],Table_SourceData_FracWETIrrigation[Irrigation type i],Table_SourceData_FracWETIrrigation[FracWET])</f>
        <v>1</v>
      </c>
    </row>
    <row r="15" spans="1:20" ht="20.100000000000001" customHeight="1" x14ac:dyDescent="0.25">
      <c r="A15" s="5" t="str">
        <f>HYPERLINK("#'Input - Pasture'!A1", "Pasture")</f>
        <v>Pasture</v>
      </c>
      <c r="D15" s="119" t="str">
        <v>FracLEACH</v>
      </c>
      <c r="E15" s="124" t="str">
        <v>fraction of N that is lost through leaching and runoff</v>
      </c>
      <c r="F15" s="125"/>
      <c r="G15" s="119" t="str">
        <v>fraction</v>
      </c>
      <c r="H15" s="127" t="str">
        <v>Constant</v>
      </c>
      <c r="I15" s="119">
        <f>Fertiliser_FracLEACH_Data</f>
        <v>0.24</v>
      </c>
    </row>
    <row r="16" spans="1:20" ht="20.100000000000001" customHeight="1" x14ac:dyDescent="0.25">
      <c r="A16" s="5" t="str">
        <f>HYPERLINK("#'Input - Fert Prod System'!A1", "Fert Prod System")</f>
        <v>Fert Prod System</v>
      </c>
      <c r="D16" s="119" t="str">
        <v>z</v>
      </c>
      <c r="E16" s="124" t="str">
        <v>location in leaching zone</v>
      </c>
      <c r="F16" s="125"/>
      <c r="G16" s="119" t="str">
        <v/>
      </c>
      <c r="H16" s="120" t="str">
        <v>Input</v>
      </c>
      <c r="I16" s="119" t="str">
        <f>X_Cell_Site_LeachingZone</f>
        <v>NO - Not in leaching zone</v>
      </c>
    </row>
    <row r="17" spans="1:9" ht="20.100000000000001" customHeight="1" x14ac:dyDescent="0.25">
      <c r="A17" s="5" t="str">
        <f>HYPERLINK("#'Input - Fertiliser'!A1", "Fertiliser")</f>
        <v>Fertiliser</v>
      </c>
      <c r="D17" s="119" t="str">
        <v>j</v>
      </c>
      <c r="E17" s="124" t="str">
        <v>production system</v>
      </c>
      <c r="F17" s="125"/>
      <c r="G17" s="119" t="str">
        <v/>
      </c>
      <c r="H17" s="120" t="str">
        <v>Input</v>
      </c>
      <c r="I17" s="119" t="str">
        <f>X_Cell_Fertiliser_ProductionSystem</f>
        <v>Pasture</v>
      </c>
    </row>
    <row r="18" spans="1:9" ht="20.100000000000001" customHeight="1" x14ac:dyDescent="0.25">
      <c r="A18" s="5" t="str">
        <f>HYPERLINK("#'Input - Fuel'!A1", "Fuel")</f>
        <v>Fuel</v>
      </c>
      <c r="D18" s="119" t="str">
        <v>ir</v>
      </c>
      <c r="E18" s="124" t="str">
        <v>irrigation method</v>
      </c>
      <c r="F18" s="125"/>
      <c r="G18" s="119" t="str">
        <v/>
      </c>
      <c r="H18" s="120" t="str">
        <v>Input</v>
      </c>
      <c r="I18" s="119" t="str">
        <f>X_Cell_Fertiliser_IrrigationMethod</f>
        <v>Surface irrigation</v>
      </c>
    </row>
    <row r="19" spans="1:9" ht="20.100000000000001" customHeight="1" x14ac:dyDescent="0.25">
      <c r="A19" s="5" t="str">
        <f>HYPERLINK("#'Input - Electricity'!A1", "Electricity")</f>
        <v>Electricity</v>
      </c>
    </row>
    <row r="20" spans="1:9" ht="20.100000000000001" customHeight="1" x14ac:dyDescent="0.25">
      <c r="A20" s="5" t="str">
        <f>HYPERLINK("#'Input - Common farm inputs'!A1", "Common farm inputs")</f>
        <v>Common farm inputs</v>
      </c>
      <c r="D20" s="121" t="s">
        <v>821</v>
      </c>
    </row>
    <row r="21" spans="1:9" ht="20.100000000000001" customHeight="1" x14ac:dyDescent="0.25">
      <c r="A21" s="5" t="str">
        <f>HYPERLINK("#'Input - Crop pasture farm input'!A1", "Crop pasture farm input")</f>
        <v>Crop pasture farm input</v>
      </c>
      <c r="D21" s="122" t="s">
        <v>822</v>
      </c>
    </row>
    <row r="22" spans="1:9" ht="20.100000000000001" customHeight="1" x14ac:dyDescent="0.25">
      <c r="A22" s="5" t="str">
        <f>HYPERLINK("#'Input - Livestock farm Inputs'!A1", "Livestock farm Inputs")</f>
        <v>Livestock farm Inputs</v>
      </c>
      <c r="D22" s="123" t="s">
        <v>751</v>
      </c>
      <c r="E22" s="123" t="s">
        <v>805</v>
      </c>
      <c r="F22" s="123" t="s">
        <v>823</v>
      </c>
    </row>
    <row r="23" spans="1:9" ht="20.100000000000001" customHeight="1" x14ac:dyDescent="0.25">
      <c r="A23" s="5" t="str">
        <f>HYPERLINK("#'Input - Freight'!A1", "Freight")</f>
        <v>Freight</v>
      </c>
      <c r="D23" s="15" t="str" cm="1">
        <f t="array" ref="D23:D41">Table_Fertiliser_ChemicalCompounds[Fertiliser type f]</f>
        <v>Monoammonium phosphate (MAP)</v>
      </c>
      <c r="E23" s="15">
        <f>INDEX(Table_MN_j_f,2,4)</f>
        <v>0</v>
      </c>
      <c r="F23" s="15" cm="1">
        <f t="array" ref="F23">Fertiliser_Equations_LeachingAndRunoff.VEERG_5_5_1_1__2_MassOfNitrogenLeachedFromInorganicFertiliser(E23, $I$14, $I$15)</f>
        <v>0</v>
      </c>
    </row>
    <row r="24" spans="1:9" ht="20.100000000000001" customHeight="1" x14ac:dyDescent="0.25">
      <c r="A24" s="5" t="str">
        <f>HYPERLINK("#'Input - Solid waste'!A1", "Solid waste")</f>
        <v>Solid waste</v>
      </c>
      <c r="D24" s="15" t="str">
        <v>Diammonium phosphate (DAP)</v>
      </c>
      <c r="E24" s="15">
        <f>INDEX(Table_MN_j_f,3,4)</f>
        <v>0</v>
      </c>
      <c r="F24" s="15" cm="1">
        <f t="array" ref="F24">Fertiliser_Equations_LeachingAndRunoff.VEERG_5_5_1_1__2_MassOfNitrogenLeachedFromInorganicFertiliser(E24, $I$14, $I$15)</f>
        <v>0</v>
      </c>
    </row>
    <row r="25" spans="1:9" ht="20.100000000000001" customHeight="1" x14ac:dyDescent="0.25">
      <c r="A25" s="5" t="str">
        <f>HYPERLINK("#'Input - Manure sent off-site'!A1", "Manure sent off-site")</f>
        <v>Manure sent off-site</v>
      </c>
      <c r="D25" s="15" t="str">
        <v>Urea</v>
      </c>
      <c r="E25" s="15">
        <f>INDEX(Table_MN_j_f,4,4)</f>
        <v>115999.99400000001</v>
      </c>
      <c r="F25" s="15" cm="1">
        <f t="array" ref="F25">Fertiliser_Equations_LeachingAndRunoff.VEERG_5_5_1_1__2_MassOfNitrogenLeachedFromInorganicFertiliser(E25, $I$14, $I$15)</f>
        <v>27839.99856</v>
      </c>
    </row>
    <row r="26" spans="1:9" ht="20.100000000000001" customHeight="1" x14ac:dyDescent="0.25">
      <c r="A26" s="5" t="str">
        <f>HYPERLINK("#'Input - Refrigerants'!A1", "Refrigerants")</f>
        <v>Refrigerants</v>
      </c>
      <c r="D26" s="15" t="str">
        <v>Sulphate of ammonia (SOA)</v>
      </c>
      <c r="E26" s="15">
        <f>INDEX(Table_MN_j_f,5,4)</f>
        <v>0</v>
      </c>
      <c r="F26" s="15" cm="1">
        <f t="array" ref="F26">Fertiliser_Equations_LeachingAndRunoff.VEERG_5_5_1_1__2_MassOfNitrogenLeachedFromInorganicFertiliser(E26, $I$14, $I$15)</f>
        <v>0</v>
      </c>
    </row>
    <row r="27" spans="1:9" ht="20.100000000000001" customHeight="1" x14ac:dyDescent="0.25">
      <c r="A27" s="5" t="str">
        <f>HYPERLINK("#'Input - Data quality'!A1", "Data quality")</f>
        <v>Data quality</v>
      </c>
      <c r="D27" s="15" t="str">
        <v>Urea-ammonium nitrate (UAN)</v>
      </c>
      <c r="E27" s="15">
        <f>INDEX(Table_MN_j_f,6,4)</f>
        <v>0</v>
      </c>
      <c r="F27" s="15" cm="1">
        <f t="array" ref="F27">Fertiliser_Equations_LeachingAndRunoff.VEERG_5_5_1_1__2_MassOfNitrogenLeachedFromInorganicFertiliser(E27, $I$14, $I$15)</f>
        <v>0</v>
      </c>
    </row>
    <row r="28" spans="1:9" ht="20.100000000000001" customHeight="1" x14ac:dyDescent="0.25">
      <c r="D28" s="15" t="str">
        <v>Ammonium nitrate (AN)</v>
      </c>
      <c r="E28" s="15">
        <f>INDEX(Table_MN_j_f,7,4)</f>
        <v>0</v>
      </c>
      <c r="F28" s="15" cm="1">
        <f t="array" ref="F28">Fertiliser_Equations_LeachingAndRunoff.VEERG_5_5_1_1__2_MassOfNitrogenLeachedFromInorganicFertiliser(E28, $I$14, $I$15)</f>
        <v>0</v>
      </c>
    </row>
    <row r="29" spans="1:9" ht="20.100000000000001" customHeight="1" x14ac:dyDescent="0.25">
      <c r="D29" s="15" t="str">
        <v>Calcium ammonium nitrate (CAN)</v>
      </c>
      <c r="E29" s="15">
        <f>INDEX(Table_MN_j_f,8,4)</f>
        <v>0</v>
      </c>
      <c r="F29" s="15" cm="1">
        <f t="array" ref="F29">Fertiliser_Equations_LeachingAndRunoff.VEERG_5_5_1_1__2_MassOfNitrogenLeachedFromInorganicFertiliser(E29, $I$14, $I$15)</f>
        <v>0</v>
      </c>
    </row>
    <row r="30" spans="1:9" ht="20.100000000000001" customHeight="1" x14ac:dyDescent="0.25">
      <c r="A30" s="6" t="s">
        <v>2</v>
      </c>
      <c r="D30" s="15" t="str">
        <v>Nitrogen - Ammoniacal</v>
      </c>
      <c r="E30" s="15">
        <f>INDEX(Table_MN_j_f,9,4)</f>
        <v>12400</v>
      </c>
      <c r="F30" s="15" cm="1">
        <f t="array" ref="F30">Fertiliser_Equations_LeachingAndRunoff.VEERG_5_5_1_1__2_MassOfNitrogenLeachedFromInorganicFertiliser(E30, $I$14, $I$15)</f>
        <v>2976</v>
      </c>
    </row>
    <row r="31" spans="1:9" ht="20.100000000000001" customHeight="1" x14ac:dyDescent="0.25">
      <c r="A31" s="5" t="str">
        <f>HYPERLINK("#'3.3.1.1-2 Enteric Methane'!A1", "3.3.1.1-2 Enteric methane")</f>
        <v>3.3.1.1-2 Enteric methane</v>
      </c>
      <c r="D31" s="15" t="str">
        <v>Nitrogen - Nitrate</v>
      </c>
      <c r="E31" s="15">
        <f>INDEX(Table_MN_j_f,10,4)</f>
        <v>5500</v>
      </c>
      <c r="F31" s="15" cm="1">
        <f t="array" ref="F31">Fertiliser_Equations_LeachingAndRunoff.VEERG_5_5_1_1__2_MassOfNitrogenLeachedFromInorganicFertiliser(E31, $I$14, $I$15)</f>
        <v>1320</v>
      </c>
    </row>
    <row r="32" spans="1:9" ht="20.100000000000001" customHeight="1" x14ac:dyDescent="0.25">
      <c r="A32" s="5" t="str">
        <f>HYPERLINK("#'4.3.1.1-2 Methane'!A1", "4.3.1.1-2 Manure methane")</f>
        <v>4.3.1.1-2 Manure methane</v>
      </c>
      <c r="D32" s="15" t="str">
        <v>Nitrogen - Generic</v>
      </c>
      <c r="E32" s="15">
        <f>INDEX(Table_MN_j_f,11,4)</f>
        <v>0</v>
      </c>
      <c r="F32" s="15" cm="1">
        <f t="array" ref="F32">Fertiliser_Equations_LeachingAndRunoff.VEERG_5_5_1_1__2_MassOfNitrogenLeachedFromInorganicFertiliser(E32, $I$14, $I$15)</f>
        <v>0</v>
      </c>
    </row>
    <row r="33" spans="1:11" ht="20.100000000000001" customHeight="1" x14ac:dyDescent="0.25">
      <c r="A33" s="5" t="str">
        <f>HYPERLINK("#'4.3.1.3-4 Direct N20'!A1", "4.3.1.3-4 Direct N20")</f>
        <v>4.3.1.3-4 Direct N20</v>
      </c>
      <c r="D33" s="15" t="str">
        <v>Phosphorus - Generic</v>
      </c>
      <c r="E33" s="15">
        <f>INDEX(Table_MN_j_f,12,4)</f>
        <v>0</v>
      </c>
      <c r="F33" s="15" cm="1">
        <f t="array" ref="F33">Fertiliser_Equations_LeachingAndRunoff.VEERG_5_5_1_1__2_MassOfNitrogenLeachedFromInorganicFertiliser(E33, $I$14, $I$15)</f>
        <v>0</v>
      </c>
    </row>
    <row r="34" spans="1:11" ht="20.100000000000001" customHeight="1" x14ac:dyDescent="0.25">
      <c r="A34" s="5" t="str">
        <f>HYPERLINK("#'4.3.1.5 Atmos deposition'!A1", "4.3.1.5 Atmos deposition")</f>
        <v>4.3.1.5 Atmos deposition</v>
      </c>
      <c r="D34" s="15" t="str">
        <v>Potassium - Generic</v>
      </c>
      <c r="E34" s="15">
        <f>INDEX(Table_MN_j_f,13,4)</f>
        <v>0</v>
      </c>
      <c r="F34" s="15" cm="1">
        <f t="array" ref="F34">Fertiliser_Equations_LeachingAndRunoff.VEERG_5_5_1_1__2_MassOfNitrogenLeachedFromInorganicFertiliser(E34, $I$14, $I$15)</f>
        <v>0</v>
      </c>
    </row>
    <row r="35" spans="1:11" ht="20.100000000000001" customHeight="1" x14ac:dyDescent="0.25">
      <c r="A35" s="5" t="str">
        <f>HYPERLINK("#'4.3.1.6-7 Leaching and runoff'!A1", "4.3.1.6-7 Leaching &amp; runoff")</f>
        <v>4.3.1.6-7 Leaching &amp; runoff</v>
      </c>
      <c r="D35" s="15" t="str">
        <v>Sulfur - Generic</v>
      </c>
      <c r="E35" s="15">
        <f>INDEX(Table_MN_j_f,14,4)</f>
        <v>0</v>
      </c>
      <c r="F35" s="15" cm="1">
        <f t="array" ref="F35">Fertiliser_Equations_LeachingAndRunoff.VEERG_5_5_1_1__2_MassOfNitrogenLeachedFromInorganicFertiliser(E35, $I$14, $I$15)</f>
        <v>0</v>
      </c>
    </row>
    <row r="36" spans="1:11" ht="20.100000000000001" customHeight="1" x14ac:dyDescent="0.25">
      <c r="A36" s="5" t="str">
        <f>HYPERLINK("#'4.3.1.8 Manure applied to soils'!A1", "4.3.1.8 Manure applied to soils")</f>
        <v>4.3.1.8 Manure applied to soils</v>
      </c>
      <c r="D36" s="15" t="str">
        <v>Zinc - Generic</v>
      </c>
      <c r="E36" s="15">
        <f>INDEX(Table_MN_j_f,15,4)</f>
        <v>0</v>
      </c>
      <c r="F36" s="15" cm="1">
        <f t="array" ref="F36">Fertiliser_Equations_LeachingAndRunoff.VEERG_5_5_1_1__2_MassOfNitrogenLeachedFromInorganicFertiliser(E36, $I$14, $I$15)</f>
        <v>0</v>
      </c>
    </row>
    <row r="37" spans="1:11" ht="20.100000000000001" customHeight="1" x14ac:dyDescent="0.25">
      <c r="A37" s="5" t="str">
        <f>HYPERLINK("#'4.3.1.9 Soil direct N2O'!A1", "4.3.1.9 Soil direct N2O")</f>
        <v>4.3.1.9 Soil direct N2O</v>
      </c>
      <c r="D37" s="15" t="str">
        <v>Muriate of potash (MOP)</v>
      </c>
      <c r="E37" s="15">
        <f>INDEX(Table_MN_j_f,16,4)</f>
        <v>0</v>
      </c>
      <c r="F37" s="15" cm="1">
        <f t="array" ref="F37">Fertiliser_Equations_LeachingAndRunoff.VEERG_5_5_1_1__2_MassOfNitrogenLeachedFromInorganicFertiliser(E37, $I$14, $I$15)</f>
        <v>0</v>
      </c>
    </row>
    <row r="38" spans="1:11" ht="20.100000000000001" customHeight="1" x14ac:dyDescent="0.25">
      <c r="A38" s="5" t="str">
        <f>HYPERLINK("#'4.3.1.10-11 Soil Atmos Dep'!A1", "4.3.1.10-11 Soil Atmos Deposition")</f>
        <v>4.3.1.10-11 Soil Atmos Deposition</v>
      </c>
      <c r="D38" s="15" t="str">
        <v>Double superphosphate</v>
      </c>
      <c r="E38" s="15">
        <f>INDEX(Table_MN_j_f,17,4)</f>
        <v>0</v>
      </c>
      <c r="F38" s="15" cm="1">
        <f t="array" ref="F38">Fertiliser_Equations_LeachingAndRunoff.VEERG_5_5_1_1__2_MassOfNitrogenLeachedFromInorganicFertiliser(E38, $I$14, $I$15)</f>
        <v>0</v>
      </c>
    </row>
    <row r="39" spans="1:11" ht="20.100000000000001" customHeight="1" x14ac:dyDescent="0.25">
      <c r="A39" s="5" t="str">
        <f>HYPERLINK("#'4.3.1.12-13 Soil leach runoff'!A1", "4.3.1.12-13 Soil leach &amp; runoff")</f>
        <v>4.3.1.12-13 Soil leach &amp; runoff</v>
      </c>
      <c r="D39" s="15" t="str">
        <v>Single superphosphate (SSP)</v>
      </c>
      <c r="E39" s="15">
        <f>INDEX(Table_MN_j_f,18,4)</f>
        <v>0</v>
      </c>
      <c r="F39" s="15" cm="1">
        <f t="array" ref="F39">Fertiliser_Equations_LeachingAndRunoff.VEERG_5_5_1_1__2_MassOfNitrogenLeachedFromInorganicFertiliser(E39, $I$14, $I$15)</f>
        <v>0</v>
      </c>
    </row>
    <row r="40" spans="1:11" ht="20.100000000000001" customHeight="1" x14ac:dyDescent="0.25">
      <c r="A40" s="5" t="str">
        <f>HYPERLINK("#'5.1.1.1-2 Inorganic fert N2O'!A1", "5.1.1.1-2 Inorganic fert N2O")</f>
        <v>5.1.1.1-2 Inorganic fert N2O</v>
      </c>
      <c r="D40" s="15" t="str">
        <v>Ammonia</v>
      </c>
      <c r="E40" s="15">
        <f>INDEX(Table_MN_j_f,19,4)</f>
        <v>41175</v>
      </c>
      <c r="F40" s="15" cm="1">
        <f t="array" ref="F40">Fertiliser_Equations_LeachingAndRunoff.VEERG_5_5_1_1__2_MassOfNitrogenLeachedFromInorganicFertiliser(E40, $I$14, $I$15)</f>
        <v>9882</v>
      </c>
    </row>
    <row r="41" spans="1:11" ht="20.100000000000001" customHeight="1" x14ac:dyDescent="0.25">
      <c r="A41" s="5" t="str">
        <f>HYPERLINK("#'5.1.1.3-4 Inorganic fert CO2'!A1", "5.1.1.3-4 Inorganic fert CO2")</f>
        <v>5.1.1.3-4 Inorganic fert CO2</v>
      </c>
      <c r="D41" s="15" t="str">
        <v>Calcium nitrate</v>
      </c>
      <c r="E41" s="15">
        <f>INDEX(Table_MN_j_f,20,4)</f>
        <v>7750</v>
      </c>
      <c r="F41" s="15" cm="1">
        <f t="array" ref="F41">Fertiliser_Equations_LeachingAndRunoff.VEERG_5_5_1_1__2_MassOfNitrogenLeachedFromInorganicFertiliser(E41, $I$14, $I$15)</f>
        <v>1860</v>
      </c>
    </row>
    <row r="42" spans="1:11" ht="20.100000000000001" customHeight="1" x14ac:dyDescent="0.25">
      <c r="A42" s="5" t="str">
        <f>HYPERLINK("#'5.2.1.1-2 Organic Fert N2O'!A1", "5.2.1.1-2 Organic fert N2O")</f>
        <v>5.2.1.1-2 Organic fert N2O</v>
      </c>
    </row>
    <row r="43" spans="1:11" ht="20.100000000000001" customHeight="1" x14ac:dyDescent="0.25">
      <c r="A43" s="5" t="str">
        <f>HYPERLINK("#'5.3.1.1-2 Lime CO2'!A1", "5.3.1.1-2 Lime CO2")</f>
        <v>5.3.1.1-2 Lime CO2</v>
      </c>
      <c r="D43" s="92" t="s">
        <v>824</v>
      </c>
      <c r="E43" s="88">
        <f>SUM(F23:F41)</f>
        <v>43877.99856</v>
      </c>
      <c r="F43" s="93" t="str">
        <f>$E$11</f>
        <v>kg N</v>
      </c>
    </row>
    <row r="44" spans="1:11" ht="20.100000000000001" customHeight="1" x14ac:dyDescent="0.25">
      <c r="A44" s="5" t="str">
        <f>HYPERLINK("#'5.4.1.1-4 Atmos deposition'!A1", "5.4.1.1-4 Atmos. deposition")</f>
        <v>5.4.1.1-4 Atmos. deposition</v>
      </c>
    </row>
    <row r="45" spans="1:11" ht="20.100000000000001" customHeight="1" x14ac:dyDescent="0.25">
      <c r="A45" s="118" t="str">
        <f>HYPERLINK("#'5.5.1.1-2 Leaching and runoff'!A1", "5.5.1.1-2 Leaching &amp; runoff")</f>
        <v>5.5.1.1-2 Leaching &amp; runoff</v>
      </c>
      <c r="C45" s="190"/>
      <c r="D45" s="190"/>
      <c r="E45" s="190"/>
      <c r="F45" s="190"/>
      <c r="G45" s="190"/>
      <c r="H45" s="190"/>
      <c r="I45" s="190"/>
      <c r="J45" s="190"/>
      <c r="K45" s="190"/>
    </row>
    <row r="46" spans="1:11" ht="20.100000000000001" customHeight="1" x14ac:dyDescent="0.25">
      <c r="A46" s="5" t="str">
        <f>HYPERLINK("#'6.2.1.1-2 Pasture residue N2O'!A1", "6.2.1.1-2 Pasture residue N2O")</f>
        <v>6.2.1.1-2 Pasture residue N2O</v>
      </c>
    </row>
    <row r="47" spans="1:11" ht="20.100000000000001" customHeight="1" x14ac:dyDescent="0.25">
      <c r="A47" s="5" t="str">
        <f>HYPERLINK("#'6.3.1.1-2 Leach runoff pasture'!A1", "6.3.1.1-2 Leach &amp; runoff (pasture)")</f>
        <v>6.3.1.1-2 Leach &amp; runoff (pasture)</v>
      </c>
      <c r="D47" s="2"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A48" s="5" t="str">
        <f>HYPERLINK("#'8.1.1.1-2 Transport fuel'!A1", "8.1.1.1-2 Transport fuel")</f>
        <v>8.1.1.1-2 Transport fuel</v>
      </c>
      <c r="D48" s="17" t="str" cm="1">
        <f t="array" ref="D48">Fertiliser_Equations_LeachingAndRunoff.VEERG_5_5_1_1__3_MassOfNitrogenLeachedFromOrganicFertiliser_Source()</f>
        <v>VEERG 2026: 5.5, Equation (3)</v>
      </c>
    </row>
    <row r="49" spans="1:9" ht="20.100000000000001" customHeight="1" x14ac:dyDescent="0.25">
      <c r="A49" s="5" t="str">
        <f>HYPERLINK("#'8.2.1.1-2 Stationary fuel'!A1", "8.2.1.1-2 Stationary fuel")</f>
        <v>8.2.1.1-2 Stationary fuel</v>
      </c>
      <c r="D49" s="117" t="s">
        <v>382</v>
      </c>
      <c r="E49" s="117" t="str" cm="1">
        <f t="array" aca="1" ref="E49" ca="1">Common_InputFunctions.Utility_DisplayFunctionName(F65)</f>
        <v>=Fertiliser_Equations_LeachingAndRunoff.VEERG_5_5_1_1__3_MassOfNitrogenLeachedFromOrganicFertiliser</v>
      </c>
    </row>
    <row r="50" spans="1:9" ht="20.100000000000001" customHeight="1" x14ac:dyDescent="0.25">
      <c r="A50" s="5" t="str">
        <f>HYPERLINK("#'9.1.1.1-2 Refrigerant use'!A1", "9.1.1.1-2 Refrigerant use")</f>
        <v>9.1.1.1-2 Refrigerant use</v>
      </c>
    </row>
    <row r="51" spans="1:9" ht="20.100000000000001" customHeight="1" x14ac:dyDescent="0.25">
      <c r="A51" s="5" t="str">
        <f>HYPERLINK("#'10.1.1-2 Solid waste treatment'!A1", "10.1.1.1-2 Solid waste")</f>
        <v>10.1.1.1-2 Solid waste</v>
      </c>
    </row>
    <row r="52" spans="1:9" ht="20.100000000000001" customHeight="1" x14ac:dyDescent="0.25">
      <c r="A52" s="5" t="str">
        <f>HYPERLINK("#'14.1.1-2 Purchased electricity'!A1", "14.1.1-2 Purchased electricity")</f>
        <v>14.1.1-2 Purchased electricity</v>
      </c>
      <c r="D52" s="76" t="s">
        <v>383</v>
      </c>
      <c r="E52" s="1" t="str" cm="1">
        <f t="array" ref="E52">Fertiliser_Equations_LeachingAndRunoff.VEERG_5_5_1_1__3_MassOfNitrogenLeachedFromOrganicFertiliser_Variable()</f>
        <v>M_leachorganicj</v>
      </c>
    </row>
    <row r="53" spans="1:9" ht="20.100000000000001" customHeight="1" x14ac:dyDescent="0.25">
      <c r="A53" s="5" t="str">
        <f>HYPERLINK("#'15 Scope 3'!A1", "15 Scope 3")</f>
        <v>15 Scope 3</v>
      </c>
      <c r="D53" s="76" t="s">
        <v>118</v>
      </c>
      <c r="E53" s="9" t="str" cm="1">
        <f t="array" ref="E53">Fertiliser_Equations_LeachingAndRunoff.VEERG_5_5_1_1__3_MassOfNitrogenLeachedFromOrganicFertiliser_Unit()</f>
        <v>kg N</v>
      </c>
    </row>
    <row r="54" spans="1:9" ht="20.100000000000001" customHeight="1" x14ac:dyDescent="0.25">
      <c r="A54" s="5" t="str">
        <f>HYPERLINK("#'Calcs - Manure sent off-site'!A1", "Calcs - Manure sent off-site")</f>
        <v>Calcs - Manure sent off-site</v>
      </c>
    </row>
    <row r="55" spans="1:9" ht="20.100000000000001" customHeight="1" x14ac:dyDescent="0.25">
      <c r="D55" s="119" t="str" cm="1">
        <f t="array" ref="D55:E60">_xlfn.CHOOSECOLS(Fertiliser_Equations_LeachingAndRunoff.VEERG_5_5_1_1__3_MassOfNitrogenLeachedFromOrganicFertiliser_Arguments(), 1, 2)</f>
        <v>MNSoil_jf</v>
      </c>
      <c r="E55" s="124" t="str">
        <v>mass of nitrogen in organic fertiliser</v>
      </c>
      <c r="F55" s="125"/>
      <c r="G55" s="119" t="str" cm="1">
        <f t="array" ref="G55:H60">_xlfn.CHOOSECOLS(Fertiliser_Equations_LeachingAndRunoff.VEERG_5_5_1_1__3_MassOfNitrogenLeachedFromOrganicFertiliser_Arguments(), 3,4)</f>
        <v>kg N</v>
      </c>
      <c r="H55" s="127" t="str">
        <v>Calculated from 5.2.1.1 (2)</v>
      </c>
      <c r="I55" s="126" t="str" cm="1">
        <f t="array" aca="1" ref="I55" ca="1">HYPERLINK(Common_InputFunctions.Utility_SourceHyperlink(D62), D62)</f>
        <v>Table_M_leach_organic_j</v>
      </c>
    </row>
    <row r="56" spans="1:9" ht="20.100000000000001" customHeight="1" x14ac:dyDescent="0.25">
      <c r="D56" s="119" t="str">
        <v>FracWETj</v>
      </c>
      <c r="E56" s="124" t="str">
        <v>fraction of N available for leaching and runoff</v>
      </c>
      <c r="F56" s="125"/>
      <c r="G56" s="119" t="str">
        <v>fraction</v>
      </c>
      <c r="H56" s="127" t="str">
        <v>Constant</v>
      </c>
      <c r="I56" s="119">
        <f>Common_InputFunctions.CommonCropping_GetFracWET(I58,I60,Table_SourceData_FracWET[Is in leaching zone],Table_SourceData_FracWET[FracWET],Table_SourceData_FracWETIrrigation[Irrigation type i],Table_SourceData_FracWETIrrigation[FracWET])</f>
        <v>1</v>
      </c>
    </row>
    <row r="57" spans="1:9" ht="20.100000000000001" customHeight="1" x14ac:dyDescent="0.25">
      <c r="A57" s="82" t="s">
        <v>1</v>
      </c>
      <c r="D57" s="119" t="str">
        <v>FracLEACH</v>
      </c>
      <c r="E57" s="124" t="str">
        <v>fraction of N that is lost through leaching and runoff</v>
      </c>
      <c r="F57" s="125"/>
      <c r="G57" s="119" t="str">
        <v>fraction</v>
      </c>
      <c r="H57" s="127" t="str">
        <v>Constant</v>
      </c>
      <c r="I57" s="119">
        <f>Fertiliser_FracLEACH_Data</f>
        <v>0.24</v>
      </c>
    </row>
    <row r="58" spans="1:9" ht="20.100000000000001" customHeight="1" x14ac:dyDescent="0.25">
      <c r="A58" s="5" t="str">
        <f>HYPERLINK("#'Constants - Dairy'!A1", "Constants - Dairy")</f>
        <v>Constants - Dairy</v>
      </c>
      <c r="D58" s="119" t="str">
        <v>z</v>
      </c>
      <c r="E58" s="124" t="str">
        <v>location in leaching zone</v>
      </c>
      <c r="F58" s="125"/>
      <c r="G58" s="119" t="str">
        <v/>
      </c>
      <c r="H58" s="120" t="str">
        <v>Input</v>
      </c>
      <c r="I58" s="119" t="str">
        <f>X_Cell_Site_LeachingZone</f>
        <v>NO - Not in leaching zone</v>
      </c>
    </row>
    <row r="59" spans="1:9" ht="20.100000000000001" customHeight="1" x14ac:dyDescent="0.25">
      <c r="A59" s="5" t="str">
        <f>HYPERLINK("#'Constants - Ag Residue'!A1", "Constants - Ag residue")</f>
        <v>Constants - Ag residue</v>
      </c>
      <c r="D59" s="119" t="str">
        <v>j</v>
      </c>
      <c r="E59" s="124" t="str">
        <v>production system</v>
      </c>
      <c r="F59" s="125"/>
      <c r="G59" s="119" t="str">
        <v/>
      </c>
      <c r="H59" s="120" t="str">
        <v>Input</v>
      </c>
      <c r="I59" s="119" t="str">
        <f>X_Cell_Fertiliser_ProductionSystem</f>
        <v>Pasture</v>
      </c>
    </row>
    <row r="60" spans="1:9" ht="20.100000000000001" customHeight="1" x14ac:dyDescent="0.25">
      <c r="A60" s="5" t="str">
        <f>HYPERLINK("#'Constants - Common Livestock'!A1", "Constants - Common Livestock")</f>
        <v>Constants - Common Livestock</v>
      </c>
      <c r="D60" s="119" t="str">
        <v>ir</v>
      </c>
      <c r="E60" s="124" t="str">
        <v>irrigation method</v>
      </c>
      <c r="F60" s="125"/>
      <c r="G60" s="119" t="str">
        <v/>
      </c>
      <c r="H60" s="120" t="str">
        <v>Input</v>
      </c>
      <c r="I60" s="119" t="str">
        <f>X_Cell_Fertiliser_IrrigationMethod</f>
        <v>Surface irrigation</v>
      </c>
    </row>
    <row r="61" spans="1:9" ht="20.100000000000001" customHeight="1" x14ac:dyDescent="0.25">
      <c r="A61" s="5" t="str">
        <f>HYPERLINK("#'Constants - Electricity'!A1", "Constants - Electricity")</f>
        <v>Constants - Electricity</v>
      </c>
    </row>
    <row r="62" spans="1:9" ht="20.100000000000001" customHeight="1" x14ac:dyDescent="0.25">
      <c r="A62" s="5" t="str">
        <f>HYPERLINK("#'Constants - Fertiliser'!A1", "Constants - Fertiliser")</f>
        <v>Constants - Fertiliser</v>
      </c>
      <c r="D62" s="121" t="s">
        <v>825</v>
      </c>
    </row>
    <row r="63" spans="1:9" ht="20.100000000000001" customHeight="1" x14ac:dyDescent="0.25">
      <c r="A63" s="5" t="str">
        <f>HYPERLINK("#'Constants - Fuel'!A1", "Constants - Fuel")</f>
        <v>Constants - Fuel</v>
      </c>
      <c r="D63" s="122" t="s">
        <v>826</v>
      </c>
    </row>
    <row r="64" spans="1:9" ht="20.100000000000001" customHeight="1" x14ac:dyDescent="0.25">
      <c r="A64" s="5" t="str">
        <f>HYPERLINK("#'Constants - Scope 3'!A1", "Constants - Scope 3")</f>
        <v>Constants - Scope 3</v>
      </c>
      <c r="D64" s="81" t="s">
        <v>787</v>
      </c>
      <c r="E64" s="191" t="s">
        <v>791</v>
      </c>
      <c r="F64" s="123" t="s">
        <v>827</v>
      </c>
    </row>
    <row r="65" spans="1:11" ht="20.100000000000001" customHeight="1" x14ac:dyDescent="0.25">
      <c r="A65" s="5" t="str">
        <f>HYPERLINK("#'Constants - Common'!A1", "Constants - Common")</f>
        <v>Constants - Common</v>
      </c>
      <c r="D65" s="15" t="str">
        <f>INDEX(Table_MNSoil_j_f,2,1)</f>
        <v>Manure - Other</v>
      </c>
      <c r="E65" s="15">
        <f>INDEX(Table_MNSoil_j_f,2,6)</f>
        <v>3000</v>
      </c>
      <c r="F65" s="15" cm="1">
        <f t="array" ref="F65">Fertiliser_Equations_LeachingAndRunoff.VEERG_5_5_1_1__3_MassOfNitrogenLeachedFromOrganicFertiliser(E65,$I$56, $I$57)</f>
        <v>720</v>
      </c>
    </row>
    <row r="66" spans="1:11" ht="20.100000000000001" customHeight="1" x14ac:dyDescent="0.25">
      <c r="A66" s="5" t="str">
        <f>HYPERLINK("#'Constants - Refrigerants'!A1", "Constants - Refrigerants")</f>
        <v>Constants - Refrigerants</v>
      </c>
      <c r="D66" s="15" t="str">
        <f>INDEX(Table_MNSoil_j_f,3,1)</f>
        <v>Manure - Poultry</v>
      </c>
      <c r="E66" s="15">
        <f>INDEX(Table_MNSoil_j_f,3,6)</f>
        <v>2500</v>
      </c>
      <c r="F66" s="15" cm="1">
        <f t="array" ref="F66">Fertiliser_Equations_LeachingAndRunoff.VEERG_5_5_1_1__3_MassOfNitrogenLeachedFromOrganicFertiliser(E66,$I$56, $I$57)</f>
        <v>600</v>
      </c>
    </row>
    <row r="67" spans="1:11" ht="20.100000000000001" customHeight="1" x14ac:dyDescent="0.25">
      <c r="A67" s="5" t="str">
        <f>HYPERLINK("#'Constants - Solid Waste'!A1", "Constants - Solid Waste")</f>
        <v>Constants - Solid Waste</v>
      </c>
      <c r="D67" s="15" t="str">
        <f>INDEX(Table_MNSoil_j_f,4,1)</f>
        <v>Other organic fertiliser</v>
      </c>
      <c r="E67" s="15">
        <f>INDEX(Table_MNSoil_j_f,4,6)</f>
        <v>1600</v>
      </c>
      <c r="F67" s="15" cm="1">
        <f t="array" ref="F67">Fertiliser_Equations_LeachingAndRunoff.VEERG_5_5_1_1__3_MassOfNitrogenLeachedFromOrganicFertiliser(E67,$I$56, $I$57)</f>
        <v>384</v>
      </c>
    </row>
    <row r="68" spans="1:11" ht="20.100000000000001" customHeight="1" x14ac:dyDescent="0.25">
      <c r="A68" s="5" t="str">
        <f>HYPERLINK("#'Acknowledgements'!A1", "Acknowledgements")</f>
        <v>Acknowledgements</v>
      </c>
      <c r="D68" s="15">
        <f>'5.2.1.1-2 Organic Fert N2O'!D23</f>
        <v>0</v>
      </c>
      <c r="E68" s="15">
        <f>'5.2.1.1-2 Organic Fert N2O'!I23</f>
        <v>0</v>
      </c>
      <c r="F68" s="15" cm="1">
        <f t="array" ref="F68">Fertiliser_Equations_LeachingAndRunoff.VEERG_5_5_1_1__3_MassOfNitrogenLeachedFromOrganicFertiliser(E68,$I$56, $I$57)</f>
        <v>0</v>
      </c>
    </row>
    <row r="69" spans="1:11" ht="20.100000000000001" customHeight="1" x14ac:dyDescent="0.25">
      <c r="D69" s="15">
        <f>'5.2.1.1-2 Organic Fert N2O'!D24</f>
        <v>0</v>
      </c>
      <c r="E69" s="15">
        <f>'5.2.1.1-2 Organic Fert N2O'!I24</f>
        <v>0</v>
      </c>
      <c r="F69" s="15" cm="1">
        <f t="array" ref="F69">Fertiliser_Equations_LeachingAndRunoff.VEERG_5_5_1_1__3_MassOfNitrogenLeachedFromOrganicFertiliser(E69,$I$56, $I$57)</f>
        <v>0</v>
      </c>
    </row>
    <row r="70" spans="1:11" ht="20.100000000000001" customHeight="1" x14ac:dyDescent="0.25">
      <c r="D70" s="15">
        <f>'5.2.1.1-2 Organic Fert N2O'!D25</f>
        <v>0</v>
      </c>
      <c r="E70" s="15">
        <f>'5.2.1.1-2 Organic Fert N2O'!I25</f>
        <v>0</v>
      </c>
      <c r="F70" s="15" cm="1">
        <f t="array" ref="F70">Fertiliser_Equations_LeachingAndRunoff.VEERG_5_5_1_1__3_MassOfNitrogenLeachedFromOrganicFertiliser(E70,$I$56, $I$57)</f>
        <v>0</v>
      </c>
    </row>
    <row r="71" spans="1:11" ht="20.100000000000001" customHeight="1" x14ac:dyDescent="0.25">
      <c r="D71" s="15">
        <f>'5.2.1.1-2 Organic Fert N2O'!D26</f>
        <v>0</v>
      </c>
      <c r="E71" s="15">
        <f>'5.2.1.1-2 Organic Fert N2O'!I26</f>
        <v>0</v>
      </c>
      <c r="F71" s="15" cm="1">
        <f t="array" ref="F71">Fertiliser_Equations_LeachingAndRunoff.VEERG_5_5_1_1__3_MassOfNitrogenLeachedFromOrganicFertiliser(E71,$I$56, $I$57)</f>
        <v>0</v>
      </c>
    </row>
    <row r="72" spans="1:11" ht="20.100000000000001" customHeight="1" x14ac:dyDescent="0.25">
      <c r="D72" s="15">
        <f>'5.2.1.1-2 Organic Fert N2O'!D27</f>
        <v>0</v>
      </c>
      <c r="E72" s="15">
        <f>'5.2.1.1-2 Organic Fert N2O'!I27</f>
        <v>0</v>
      </c>
      <c r="F72" s="15" cm="1">
        <f t="array" ref="F72">Fertiliser_Equations_LeachingAndRunoff.VEERG_5_5_1_1__3_MassOfNitrogenLeachedFromOrganicFertiliser(E72,$I$56, $I$57)</f>
        <v>0</v>
      </c>
    </row>
    <row r="73" spans="1:11" ht="20.100000000000001" customHeight="1" x14ac:dyDescent="0.25">
      <c r="D73" s="15">
        <f>'5.2.1.1-2 Organic Fert N2O'!D28</f>
        <v>0</v>
      </c>
      <c r="E73" s="15">
        <f>'5.2.1.1-2 Organic Fert N2O'!I28</f>
        <v>0</v>
      </c>
      <c r="F73" s="15" cm="1">
        <f t="array" ref="F73">Fertiliser_Equations_LeachingAndRunoff.VEERG_5_5_1_1__3_MassOfNitrogenLeachedFromOrganicFertiliser(E73,$I$56, $I$57)</f>
        <v>0</v>
      </c>
    </row>
    <row r="74" spans="1:11" ht="20.100000000000001" customHeight="1" x14ac:dyDescent="0.25">
      <c r="D74" s="15">
        <f>'5.2.1.1-2 Organic Fert N2O'!D29</f>
        <v>0</v>
      </c>
      <c r="E74" s="15">
        <f>'5.2.1.1-2 Organic Fert N2O'!I29</f>
        <v>0</v>
      </c>
      <c r="F74" s="15" cm="1">
        <f t="array" ref="F74">Fertiliser_Equations_LeachingAndRunoff.VEERG_5_5_1_1__3_MassOfNitrogenLeachedFromOrganicFertiliser(E74,$I$56, $I$57)</f>
        <v>0</v>
      </c>
    </row>
    <row r="75" spans="1:11" ht="20.100000000000001" customHeight="1" x14ac:dyDescent="0.25">
      <c r="D75" s="15">
        <f>'5.2.1.1-2 Organic Fert N2O'!D30</f>
        <v>0</v>
      </c>
      <c r="E75" s="15">
        <f>'5.2.1.1-2 Organic Fert N2O'!I30</f>
        <v>0</v>
      </c>
      <c r="F75" s="15" cm="1">
        <f t="array" ref="F75">Fertiliser_Equations_LeachingAndRunoff.VEERG_5_5_1_1__3_MassOfNitrogenLeachedFromOrganicFertiliser(E75,$I$56, $I$57)</f>
        <v>0</v>
      </c>
    </row>
    <row r="76" spans="1:11" ht="20.100000000000001" customHeight="1" x14ac:dyDescent="0.25"/>
    <row r="77" spans="1:11" ht="20.100000000000001" customHeight="1" x14ac:dyDescent="0.25">
      <c r="D77" s="92" t="s">
        <v>828</v>
      </c>
      <c r="E77" s="88">
        <f>SUM(F65:F75)</f>
        <v>1704</v>
      </c>
      <c r="F77" s="93" t="str">
        <f>$E$53</f>
        <v>kg N</v>
      </c>
    </row>
    <row r="78" spans="1:11" ht="20.100000000000001" customHeight="1" x14ac:dyDescent="0.25"/>
    <row r="79" spans="1:11" ht="20.100000000000001" customHeight="1" x14ac:dyDescent="0.25">
      <c r="C79" s="190"/>
      <c r="D79" s="190"/>
      <c r="E79" s="190"/>
      <c r="F79" s="190"/>
      <c r="G79" s="190"/>
      <c r="H79" s="190"/>
      <c r="I79" s="190"/>
      <c r="J79" s="190"/>
      <c r="K79" s="190"/>
    </row>
    <row r="80" spans="1:11" ht="20.100000000000001" customHeight="1" x14ac:dyDescent="0.25"/>
    <row r="81" spans="4:10" ht="20.100000000000001" customHeight="1" x14ac:dyDescent="0.25">
      <c r="D81" s="2"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17" t="str" cm="1">
        <f t="array" ref="D82">Fertiliser_Equations_LeachingAndRunoff.VEERG_5_5_1_1__1_FertiliserLeachingAndRunoffN2OEmissions_Source()</f>
        <v>VEERG 2026: 5.5, Equation (1)</v>
      </c>
    </row>
    <row r="83" spans="4:10" ht="20.100000000000001" customHeight="1" x14ac:dyDescent="0.25">
      <c r="D83" s="117" t="s">
        <v>382</v>
      </c>
      <c r="E83" s="117" t="str">
        <f ca="1">Common_InputFunctions.Utility_DisplayFunctionName(VEERG_5_5_1_1__1_FertiliserLeachingAndRunoffN2OEmissions_result_Method1)</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76" t="s">
        <v>383</v>
      </c>
      <c r="E86" s="1" t="str" cm="1">
        <f t="array" ref="E86">Fertiliser_Equations_LeachingAndRunoff.VEERG_5_5_1_1__1_FertiliserLeachingAndRunoffN2OEmissions_Variable()</f>
        <v>E_fertleach</v>
      </c>
    </row>
    <row r="87" spans="4:10" ht="20.100000000000001" customHeight="1" x14ac:dyDescent="0.25">
      <c r="D87" s="76" t="s">
        <v>118</v>
      </c>
      <c r="E87" s="9"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19" t="str" cm="1">
        <f t="array" ref="D89:E92">_xlfn.CHOOSECOLS(Fertiliser_Equations_LeachingAndRunoff.VEERG_5_5_1_1__1_FertiliserLeachingAndRunoffN2OEmissions_Arguments(), 1, 2)</f>
        <v>M_leachinorganicj</v>
      </c>
      <c r="E89" s="124" t="str">
        <v>mass of nitrogen lost through leaching and runoff from inorganic fertiliser application in production system j</v>
      </c>
      <c r="F89" s="132"/>
      <c r="G89" s="125"/>
      <c r="H89" s="119" t="str" cm="1">
        <f t="array" ref="H89:I92">_xlfn.CHOOSECOLS(Fertiliser_Equations_LeachingAndRunoff.VEERG_5_5_1_1__1_FertiliserLeachingAndRunoffN2OEmissions_Arguments(), 3,4)</f>
        <v>kg N</v>
      </c>
      <c r="I89" s="127" t="str">
        <v>Calculated from 5.5.1.1 (2)</v>
      </c>
      <c r="J89" s="119">
        <f>$E$43</f>
        <v>43877.99856</v>
      </c>
    </row>
    <row r="90" spans="4:10" ht="20.100000000000001" customHeight="1" x14ac:dyDescent="0.25">
      <c r="D90" s="119" t="str">
        <v>M_leachorganicj</v>
      </c>
      <c r="E90" s="124" t="str">
        <v>mass of nitrogen lost through leaching and runoff from organic fertiliser application</v>
      </c>
      <c r="F90" s="132"/>
      <c r="G90" s="125"/>
      <c r="H90" s="119" t="str">
        <v>kg N</v>
      </c>
      <c r="I90" s="127" t="str">
        <v>Calculated from 5.5.1.1 (3)</v>
      </c>
      <c r="J90" s="119">
        <f>$E$77</f>
        <v>1704</v>
      </c>
    </row>
    <row r="91" spans="4:10" ht="20.100000000000001" customHeight="1" x14ac:dyDescent="0.25">
      <c r="D91" s="119" t="str">
        <v>EF_leach</v>
      </c>
      <c r="E91" s="124" t="str">
        <v>emission factor for nitrogen leaching and runoff</v>
      </c>
      <c r="F91" s="132"/>
      <c r="G91" s="125"/>
      <c r="H91" s="119" t="str">
        <v>kg N2O-N/kg N</v>
      </c>
      <c r="I91" s="127" t="str">
        <v>Constant</v>
      </c>
      <c r="J91" s="119">
        <f>Fertiliser_EFLeach_Data</f>
        <v>1.0999999999999999E-2</v>
      </c>
    </row>
    <row r="92" spans="4:10" ht="20.100000000000001" customHeight="1" x14ac:dyDescent="0.25">
      <c r="D92" s="119" t="str">
        <v>C_N2O</v>
      </c>
      <c r="E92" s="124" t="str">
        <v>factor to convert elemental mass of nitrous oxide to molecular mass</v>
      </c>
      <c r="F92" s="132"/>
      <c r="G92" s="125"/>
      <c r="H92" s="119" t="str">
        <v/>
      </c>
      <c r="I92" s="127" t="str">
        <v>Constant</v>
      </c>
      <c r="J92" s="131">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87" t="s">
        <v>829</v>
      </c>
      <c r="E94" s="90" cm="1">
        <f t="array" ref="E94">Fertiliser_Equations_LeachingAndRunoff.VEERG_5_5_1_1__1_FertiliserLeachingAndRunoffN2OEmissions(J89,J90,J91,J92)</f>
        <v>0.78791740368000007</v>
      </c>
      <c r="F94" s="89" t="str">
        <f>$E$87</f>
        <v>t N2O</v>
      </c>
    </row>
    <row r="95" spans="4:10" ht="20.100000000000001" customHeight="1" x14ac:dyDescent="0.25"/>
    <row r="96" spans="4:10" ht="20.100000000000001" customHeight="1" x14ac:dyDescent="0.25">
      <c r="D96" s="131" t="str" cm="1">
        <f t="array" ref="D96:E97">Common_Equations.Common_ConvertN2OToCO2e_Arguments()</f>
        <v>EN2O</v>
      </c>
      <c r="E96" s="134" t="str">
        <v>Nitrous oxide emissions (t N2O)</v>
      </c>
      <c r="F96" s="135"/>
      <c r="G96" s="15">
        <f>VEERG_5_5_1_1__1_FertiliserLeachingAndRunoffN2OEmissions_result_Method1</f>
        <v>0.78791740368000007</v>
      </c>
    </row>
    <row r="97" spans="4:7" ht="20.100000000000001" customHeight="1" x14ac:dyDescent="0.25">
      <c r="D97" s="131" t="str">
        <v>GWPN2O</v>
      </c>
      <c r="E97" s="134" t="str">
        <v>Global warming potential for nitrous oxide (t CO2-e / t N2O)</v>
      </c>
      <c r="F97" s="135"/>
      <c r="G97" s="15">
        <f>Common_InputFunctions.Utility_LookupValueInTableNumber("N2O",Table_GWPData[Gas],Table_GWPData[CO2-e factor])</f>
        <v>265</v>
      </c>
    </row>
    <row r="98" spans="4:7" ht="20.100000000000001" customHeight="1" x14ac:dyDescent="0.25"/>
    <row r="99" spans="4:7" ht="20.100000000000001" customHeight="1" x14ac:dyDescent="0.25">
      <c r="D99" s="88" t="s">
        <v>532</v>
      </c>
      <c r="E99" s="88" cm="1">
        <f t="array" ref="E99">Common_Equations.Common_ConvertN2OToCO2e(G96,G97)</f>
        <v>208.79811197520002</v>
      </c>
      <c r="F99" s="93"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ED8F5-2BD3-4D67-88B6-0685E5F1C469}">
  <sheetPr>
    <tabColor rgb="FF008000"/>
  </sheetPr>
  <dimension ref="A1:U165"/>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1144</v>
      </c>
    </row>
    <row r="2" spans="1:21" s="3" customFormat="1" ht="20.100000000000001" customHeight="1" x14ac:dyDescent="0.25">
      <c r="A2"/>
    </row>
    <row r="3" spans="1:21" ht="20.100000000000001" customHeight="1" x14ac:dyDescent="0.25">
      <c r="A3" s="5" t="str">
        <f>HYPERLINK("#'Home'!A1", "Home")</f>
        <v>Home</v>
      </c>
      <c r="C3" s="22"/>
      <c r="D3" s="22" t="s">
        <v>129</v>
      </c>
      <c r="E3" s="22"/>
      <c r="F3" s="22"/>
      <c r="G3" s="22"/>
      <c r="H3" s="22"/>
      <c r="I3" s="22"/>
      <c r="J3" s="22"/>
      <c r="K3" s="22"/>
      <c r="M3" s="22"/>
      <c r="N3" s="22" t="s">
        <v>130</v>
      </c>
      <c r="O3" s="22"/>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AgResidue_Equations_PastureResidue.VEERG_6_2_1_1__2__MassOfNitrogenInPastureResidues_Title()</f>
        <v>Mass of nitrogen in pasture residues returned to the soil</v>
      </c>
    </row>
    <row r="6" spans="1:21" ht="20.100000000000001" customHeight="1" x14ac:dyDescent="0.25">
      <c r="A6" s="5" t="str">
        <f>HYPERLINK("#'Results'!A1", "Results")</f>
        <v>Results</v>
      </c>
      <c r="D6" s="17" t="str" cm="1">
        <f t="array" ref="D6">AgResidue_Equations_PastureResidue.VEERG_6_2_1_1__2__MassOfNitrogenInPastureResidues_Source()</f>
        <v>VEERG 2026: 6.2.1.1, Equation (2)</v>
      </c>
    </row>
    <row r="7" spans="1:21" ht="20.100000000000001" customHeight="1" x14ac:dyDescent="0.25">
      <c r="D7" s="117" t="s">
        <v>382</v>
      </c>
      <c r="E7" s="117" t="str" cm="1">
        <f t="array" aca="1" ref="E7" ca="1">Common_InputFunctions.Utility_DisplayFunctionName(E21)</f>
        <v>=AgResidue_Equations_PastureResidue.VEERG_6_2_1_1__2__MassOfNitrogenInPastureResidues</v>
      </c>
    </row>
    <row r="8" spans="1:21" ht="20.100000000000001" customHeight="1" x14ac:dyDescent="0.25"/>
    <row r="9" spans="1:21" ht="20.100000000000001" customHeight="1" x14ac:dyDescent="0.25">
      <c r="A9" s="7" t="s">
        <v>0</v>
      </c>
    </row>
    <row r="10" spans="1:21" ht="20.100000000000001" customHeight="1" x14ac:dyDescent="0.25">
      <c r="A10" s="5" t="str">
        <f>HYPERLINK("#'Input - Enterprise'!A1", "Enterprise")</f>
        <v>Enterprise</v>
      </c>
      <c r="D10" s="24" t="s">
        <v>383</v>
      </c>
      <c r="E10" s="1" t="str" cm="1">
        <f t="array" ref="E10">AgResidue_Equations_PastureResidue.VEERG_6_2_1_1__2__MassOfNitrogenInPastureResidues_Variable()</f>
        <v>Mp</v>
      </c>
    </row>
    <row r="11" spans="1:21" ht="20.100000000000001" customHeight="1" x14ac:dyDescent="0.25">
      <c r="A11" s="5" t="str">
        <f>HYPERLINK("#'Input - Site'!A1", "Site")</f>
        <v>Site</v>
      </c>
      <c r="D11" s="24" t="s">
        <v>118</v>
      </c>
      <c r="E11" s="9" t="str" cm="1">
        <f t="array" ref="E11">AgResidue_Equations_PastureResidue.VEERG_6_2_1_1__2__MassOfNitrogenInPastureResidues_Unit()</f>
        <v>kg N</v>
      </c>
    </row>
    <row r="12" spans="1:21" ht="20.100000000000001" customHeight="1" x14ac:dyDescent="0.25">
      <c r="A12" s="5" t="str">
        <f>HYPERLINK("#'Input - Dairy'!A1", "Dairy")</f>
        <v>Dairy</v>
      </c>
    </row>
    <row r="13" spans="1:21" ht="20.100000000000001" customHeight="1" x14ac:dyDescent="0.25">
      <c r="A13" s="5" t="str">
        <f>HYPERLINK("#'Input - Livestock sales'!A1", "Livestock sales")</f>
        <v>Livestock sales</v>
      </c>
      <c r="D13" s="119" t="str" cm="1">
        <f t="array" ref="D13:E19">_xlfn.CHOOSECOLS(AgResidue_Equations_PastureResidue.VEERG_6_2_1_1__2__MassOfNitrogenInPastureResidues_Arguments(), 1, 2)</f>
        <v>A_p</v>
      </c>
      <c r="E13" s="124" t="str">
        <v>area of pasture renewed or removed</v>
      </c>
      <c r="F13" s="132"/>
      <c r="G13" s="125"/>
      <c r="H13" s="119" t="str" cm="1">
        <f t="array" ref="H13:I19">_xlfn.CHOOSECOLS(AgResidue_Equations_PastureResidue.VEERG_6_2_1_1__2__MassOfNitrogenInPastureResidues_Arguments(), 3,4)</f>
        <v>ha</v>
      </c>
      <c r="I13" s="120" t="str">
        <v>Input</v>
      </c>
      <c r="J13" s="119">
        <f>X_Cell_Pasture_AreaRemovedOrRenewed</f>
        <v>500</v>
      </c>
      <c r="N13" s="119" t="str" cm="1">
        <f t="array" ref="N13:O19">_xlfn.CHOOSECOLS(AgResidue_Equations_PastureResidue.VEERG_6_2_1_1__2__MassOfNitrogenInPastureResidues_Arguments_Method2(), 1, 2)</f>
        <v>A_p</v>
      </c>
      <c r="O13" s="124" t="str">
        <v>area of pasture renewed or removed</v>
      </c>
      <c r="P13" s="132"/>
      <c r="Q13" s="125"/>
      <c r="R13" s="119" t="str" cm="1">
        <f t="array" ref="R13:S19">_xlfn.CHOOSECOLS(AgResidue_Equations_PastureResidue.VEERG_6_2_1_1__2__MassOfNitrogenInPastureResidues_Arguments_Method2(), 3,4)</f>
        <v>ha</v>
      </c>
      <c r="S13" s="120" t="str">
        <v>Input</v>
      </c>
      <c r="T13" s="119"/>
    </row>
    <row r="14" spans="1:21" ht="20.100000000000001" customHeight="1" x14ac:dyDescent="0.25">
      <c r="A14" s="5" t="str">
        <f>HYPERLINK("#'Input - Dairy cattle purchases'!A1", "Dairy cattle purchases")</f>
        <v>Dairy cattle purchases</v>
      </c>
      <c r="D14" s="119" t="str">
        <v>Y_p</v>
      </c>
      <c r="E14" s="124" t="str">
        <v>average yield of pasture crop</v>
      </c>
      <c r="F14" s="132"/>
      <c r="G14" s="125"/>
      <c r="H14" s="119" t="str">
        <v>t DM/ha</v>
      </c>
      <c r="I14" s="127" t="str">
        <v>Constant</v>
      </c>
      <c r="J14" s="119" cm="1">
        <f t="array" ref="J14">Common_InputFunctions.Utility_LookupValueInTableNumber($J$19,Table_SourceData_PastureAttributes[Pasture type],Table_SourceData_PastureAttributes[Average Yield (t DM ha) Yp])</f>
        <v>8.34</v>
      </c>
      <c r="N14" s="119" t="str">
        <v>Y_p</v>
      </c>
      <c r="O14" s="124" t="str">
        <v>average yield of pasture crop</v>
      </c>
      <c r="P14" s="132"/>
      <c r="Q14" s="125"/>
      <c r="R14" s="119" t="str">
        <v>t DM/ha</v>
      </c>
      <c r="S14" s="120" t="str">
        <v>Input</v>
      </c>
      <c r="T14" s="119">
        <f>X_Cell_Pasture_YieldPerHectare</f>
        <v>8.34</v>
      </c>
    </row>
    <row r="15" spans="1:21" ht="20.100000000000001" customHeight="1" x14ac:dyDescent="0.25">
      <c r="A15" s="5" t="str">
        <f>HYPERLINK("#'Input - Pasture'!A1", "Pasture")</f>
        <v>Pasture</v>
      </c>
      <c r="D15" s="119" t="str">
        <v>NC_AGp</v>
      </c>
      <c r="E15" s="124" t="str">
        <v>N content of above-ground pasture residue</v>
      </c>
      <c r="F15" s="132"/>
      <c r="G15" s="125"/>
      <c r="H15" s="119" t="str">
        <v>kg N/kg DM</v>
      </c>
      <c r="I15" s="127" t="str">
        <v>Constant</v>
      </c>
      <c r="J15" s="119" cm="1">
        <f t="array" ref="J15">Common_InputFunctions.Utility_LookupValueInTableNumber($J$19,Table_SourceData_PastureAttributes[Pasture type],Table_SourceData_PastureAttributes[N content Above-ground NCAGp])</f>
        <v>2.5000000000000001E-2</v>
      </c>
      <c r="N15" s="119" t="str">
        <v>NC_AGp</v>
      </c>
      <c r="O15" s="124" t="str">
        <v>N content of above-ground pasture residue</v>
      </c>
      <c r="P15" s="132"/>
      <c r="Q15" s="125"/>
      <c r="R15" s="119" t="str">
        <v>kg N/kg DM</v>
      </c>
      <c r="S15" s="127" t="str">
        <v>Constant</v>
      </c>
      <c r="T15" s="119"/>
    </row>
    <row r="16" spans="1:21" ht="20.100000000000001" customHeight="1" x14ac:dyDescent="0.25">
      <c r="A16" s="5" t="str">
        <f>HYPERLINK("#'Input - Fert Prod System'!A1", "Fert Prod System")</f>
        <v>Fert Prod System</v>
      </c>
      <c r="D16" s="119" t="str">
        <v>R_BGp</v>
      </c>
      <c r="E16" s="124" t="str">
        <v>below-ground residue to above-ground residue ratio for pasture crop</v>
      </c>
      <c r="F16" s="132"/>
      <c r="G16" s="125"/>
      <c r="H16" s="119" t="str">
        <v/>
      </c>
      <c r="I16" s="127" t="str">
        <v>Constant</v>
      </c>
      <c r="J16" s="119" cm="1">
        <f t="array" ref="J16">Common_InputFunctions.Utility_LookupValueInTableNumber($J$19,Table_SourceData_PastureAttributes[Pasture type],Table_SourceData_PastureAttributes[Below-ground: above-ground residue ratio RBGp])</f>
        <v>0.8</v>
      </c>
      <c r="N16" s="119" t="str">
        <v>R_BGp</v>
      </c>
      <c r="O16" s="124" t="str">
        <v>below-ground residue to above-ground residue ratio for pasture crop</v>
      </c>
      <c r="P16" s="132"/>
      <c r="Q16" s="125"/>
      <c r="R16" s="119" t="str">
        <v/>
      </c>
      <c r="S16" s="127" t="str">
        <v>Constant</v>
      </c>
      <c r="T16" s="119"/>
    </row>
    <row r="17" spans="1:21" ht="20.100000000000001" customHeight="1" x14ac:dyDescent="0.25">
      <c r="A17" s="5" t="str">
        <f>HYPERLINK("#'Input - Fertiliser'!A1", "Fertiliser")</f>
        <v>Fertiliser</v>
      </c>
      <c r="D17" s="119" t="str">
        <v>NC_BGp</v>
      </c>
      <c r="E17" s="124" t="str">
        <v>N content of below-ground pasture crop residue</v>
      </c>
      <c r="F17" s="132"/>
      <c r="G17" s="125"/>
      <c r="H17" s="119" t="str">
        <v>kg N/kg DM</v>
      </c>
      <c r="I17" s="127" t="str">
        <v>Constant</v>
      </c>
      <c r="J17" s="119" cm="1">
        <f t="array" ref="J17">Common_InputFunctions.Utility_LookupValueInTableNumber($J$19,Table_SourceData_PastureAttributes[Pasture type],Table_SourceData_PastureAttributes[N content Below-ground NCBGp])</f>
        <v>1.6E-2</v>
      </c>
      <c r="N17" s="119" t="str">
        <v>NC_BGp</v>
      </c>
      <c r="O17" s="124" t="str">
        <v>N content of below-ground pasture crop residue</v>
      </c>
      <c r="P17" s="132"/>
      <c r="Q17" s="125"/>
      <c r="R17" s="119" t="str">
        <v>kg N/kg DM</v>
      </c>
      <c r="S17" s="127" t="str">
        <v>Constant</v>
      </c>
      <c r="T17" s="119"/>
    </row>
    <row r="18" spans="1:21" ht="20.100000000000001" customHeight="1" x14ac:dyDescent="0.25">
      <c r="A18" s="5" t="str">
        <f>HYPERLINK("#'Input - Fuel'!A1", "Fuel")</f>
        <v>Fuel</v>
      </c>
      <c r="D18" s="119" t="str">
        <v>FFOD_p</v>
      </c>
      <c r="E18" s="124" t="str">
        <v>fraction of pasture yield that is removed</v>
      </c>
      <c r="F18" s="132"/>
      <c r="G18" s="125"/>
      <c r="H18" s="119" t="str">
        <v>fraction</v>
      </c>
      <c r="I18" s="127" t="str">
        <v>Constant</v>
      </c>
      <c r="J18" s="119" cm="1">
        <f t="array" ref="J18">Common_InputFunctions.Utility_LookupValueInTableNumber($J$19,Table_SourceData_PastureAttributes[Pasture type],Table_SourceData_PastureAttributes[Fraction of pasture yield that is removed FFODp])</f>
        <v>0.8</v>
      </c>
      <c r="N18" s="119" t="str">
        <v>FFOD_p</v>
      </c>
      <c r="O18" s="124" t="str">
        <v>fraction of pasture yield that is removed</v>
      </c>
      <c r="P18" s="132"/>
      <c r="Q18" s="125"/>
      <c r="R18" s="119" t="str">
        <v>fraction</v>
      </c>
      <c r="S18" s="127" t="str">
        <v>Constant</v>
      </c>
      <c r="T18" s="119"/>
    </row>
    <row r="19" spans="1:21" ht="20.100000000000001" customHeight="1" x14ac:dyDescent="0.25">
      <c r="A19" s="5" t="str">
        <f>HYPERLINK("#'Input - Electricity'!A1", "Electricity")</f>
        <v>Electricity</v>
      </c>
      <c r="D19" s="119" t="str">
        <v>p</v>
      </c>
      <c r="E19" s="124" t="str">
        <v>Pasture type</v>
      </c>
      <c r="F19" s="132"/>
      <c r="G19" s="125"/>
      <c r="H19" s="119" t="str">
        <v/>
      </c>
      <c r="I19" s="120" t="str">
        <v>Input</v>
      </c>
      <c r="J19" s="119" t="str">
        <f>X_Cell_Pasture_PastureType</f>
        <v>Grass clover mixture</v>
      </c>
      <c r="N19" s="119" t="str">
        <v>p</v>
      </c>
      <c r="O19" s="124" t="str">
        <v>Pasture type</v>
      </c>
      <c r="P19" s="132"/>
      <c r="Q19" s="125"/>
      <c r="R19" s="119" t="str">
        <v/>
      </c>
      <c r="S19" s="120" t="str">
        <v>Input</v>
      </c>
      <c r="T19" s="119"/>
    </row>
    <row r="20" spans="1:21" ht="20.100000000000001" customHeight="1" x14ac:dyDescent="0.25">
      <c r="A20" s="5" t="str">
        <f>HYPERLINK("#'Input - Common farm inputs'!A1", "Common farm inputs")</f>
        <v>Common farm inputs</v>
      </c>
    </row>
    <row r="21" spans="1:21" ht="20.100000000000001" customHeight="1" x14ac:dyDescent="0.25">
      <c r="A21" s="5" t="str">
        <f>HYPERLINK("#'Input - Crop pasture farm input'!A1", "Crop pasture farm input")</f>
        <v>Crop pasture farm input</v>
      </c>
      <c r="D21" s="92" t="s">
        <v>1145</v>
      </c>
      <c r="E21" s="88" cm="1">
        <f t="array" ref="E21">AgResidue_Equations_PastureResidue.VEERG_6_2_1_1__2__MassOfNitrogenInPastureResidues(J13,J14,J18,J15,J16,J17)</f>
        <v>7.4226E-2</v>
      </c>
      <c r="F21" s="93" t="str" cm="1">
        <f t="array" ref="F21">AgResidue_Equations_PastureResidue.VEERG_6_2_1_1__2__MassOfNitrogenInPastureResidues_Unit()</f>
        <v>kg N</v>
      </c>
      <c r="N21" s="92" t="s">
        <v>1145</v>
      </c>
      <c r="O21" s="88" cm="1">
        <f t="array" ref="O21">AgResidue_Equations_PastureResidue.VEERG_6_2_1_1__2__MassOfNitrogenInPastureResidues(J13,T14,J18,J15,J16,J17)</f>
        <v>7.4226E-2</v>
      </c>
      <c r="P21" s="93" t="str" cm="1">
        <f t="array" ref="P21">AgResidue_Equations_PastureResidue.VEERG_6_2_1_1__2__MassOfNitrogenInPastureResidues_Unit()</f>
        <v>kg N</v>
      </c>
    </row>
    <row r="22" spans="1:21" ht="20.100000000000001" customHeight="1" x14ac:dyDescent="0.25">
      <c r="A22" s="5" t="str">
        <f>HYPERLINK("#'Input - Livestock farm Inputs'!A1", "Livestock farm Inputs")</f>
        <v>Livestock farm Inputs</v>
      </c>
    </row>
    <row r="23" spans="1:21" ht="20.100000000000001" customHeight="1" x14ac:dyDescent="0.25">
      <c r="A23" s="5" t="str">
        <f>HYPERLINK("#'Input - Freight'!A1", "Freight")</f>
        <v>Freight</v>
      </c>
    </row>
    <row r="24" spans="1:21" ht="20.100000000000001" customHeight="1" x14ac:dyDescent="0.25">
      <c r="A24" s="5" t="str">
        <f>HYPERLINK("#'Input - Solid waste'!A1", "Solid waste")</f>
        <v>Solid waste</v>
      </c>
      <c r="C24" s="88"/>
      <c r="D24" s="88"/>
      <c r="E24" s="88"/>
      <c r="F24" s="88"/>
      <c r="G24" s="88"/>
      <c r="H24" s="88"/>
      <c r="I24" s="88"/>
      <c r="J24" s="88"/>
      <c r="K24" s="88"/>
      <c r="M24" s="88"/>
      <c r="N24" s="88"/>
      <c r="O24" s="88"/>
      <c r="P24" s="88"/>
      <c r="Q24" s="88"/>
      <c r="R24" s="88"/>
      <c r="S24" s="88"/>
      <c r="T24" s="88"/>
      <c r="U24" s="88"/>
    </row>
    <row r="25" spans="1:21" ht="20.100000000000001" customHeight="1" x14ac:dyDescent="0.25">
      <c r="A25" s="5" t="str">
        <f>HYPERLINK("#'Input - Manure sent off-site'!A1", "Manure sent off-site")</f>
        <v>Manure sent off-site</v>
      </c>
      <c r="D25" s="2" t="str" cm="1">
        <f t="array" ref="D25">AgResidue_Equations_PastureResidue.VEERG_6_2_1_1__1__NitrousOxideEmissionsFromPastureResidues_Title()</f>
        <v>Nitrous oxide emissions from the return of pasture residues from all pasture types to the soil</v>
      </c>
      <c r="N25" s="2"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A26" s="5" t="str">
        <f>HYPERLINK("#'Input - Refrigerants'!A1", "Refrigerants")</f>
        <v>Refrigerants</v>
      </c>
      <c r="D26" s="17" t="str" cm="1">
        <f t="array" ref="D26">AgResidue_Equations_PastureResidue.VEERG_6_2_1_1__1__NitrousOxideEmissionsFromPastureResidues_Source()</f>
        <v>VEERG 2026: 6.2.1.1, Equation (1)</v>
      </c>
      <c r="N26" s="17" t="str" cm="1">
        <f t="array" ref="N26">AgResidue_Equations_PastureResidue.VEERG_6_2_1_1__1__NitrousOxideEmissionsFromPastureResidues_Source()</f>
        <v>VEERG 2026: 6.2.1.1, Equation (1)</v>
      </c>
    </row>
    <row r="27" spans="1:21" ht="20.100000000000001" customHeight="1" x14ac:dyDescent="0.25">
      <c r="A27" s="5" t="str">
        <f>HYPERLINK("#'Input - Data quality'!A1", "Data quality")</f>
        <v>Data quality</v>
      </c>
      <c r="D27" s="117" t="s">
        <v>382</v>
      </c>
      <c r="E27" s="117" t="str">
        <f ca="1">Common_InputFunctions.Utility_DisplayFunctionName(VEERG_6_2_1_1__1__NitrousOxideEmissionsFromPastureResidues_Result_Method1)</f>
        <v>=AgResidue_Equations_PastureResidue.VEERG_6_2_1_1__1__NitrousOxideEmissionsFromPastureResidues</v>
      </c>
      <c r="N27" s="117" t="s">
        <v>382</v>
      </c>
      <c r="O27" s="117" t="str">
        <f ca="1">Common_InputFunctions.Utility_DisplayFunctionName(VEERG_6_2_1_1__1__NitrousOxideEmissionsFromPastureResidues_Result_Method2)</f>
        <v>=AgResidue_Equations_PastureResidue.VEERG_6_2_1_1__1__NitrousOxideEmissionsFromPastureResidues</v>
      </c>
    </row>
    <row r="28" spans="1:21" ht="20.100000000000001" customHeight="1" x14ac:dyDescent="0.25"/>
    <row r="29" spans="1:21" ht="20.100000000000001" customHeight="1" x14ac:dyDescent="0.25"/>
    <row r="30" spans="1:21" ht="20.100000000000001" customHeight="1" x14ac:dyDescent="0.25">
      <c r="A30" s="6" t="s">
        <v>2</v>
      </c>
      <c r="D30" s="24" t="s">
        <v>383</v>
      </c>
      <c r="E30" s="1" t="str" cm="1">
        <f t="array" ref="E30">AgResidue_Equations_PastureResidue.VEERG_6_2_1_1__1__NitrousOxideEmissionsFromPastureResidues_Variable()</f>
        <v>EN2O</v>
      </c>
      <c r="N30" s="24" t="s">
        <v>383</v>
      </c>
      <c r="O30" s="1" t="str" cm="1">
        <f t="array" ref="O30">AgResidue_Equations_PastureResidue.VEERG_6_2_1_1__1__NitrousOxideEmissionsFromPastureResidues_Variable()</f>
        <v>EN2O</v>
      </c>
    </row>
    <row r="31" spans="1:21" ht="20.100000000000001" customHeight="1" x14ac:dyDescent="0.25">
      <c r="A31" s="5" t="str">
        <f>HYPERLINK("#'3.3.1.1-2 Enteric Methane'!A1", "3.3.1.1-2 Enteric methane")</f>
        <v>3.3.1.1-2 Enteric methane</v>
      </c>
      <c r="D31" s="24" t="s">
        <v>118</v>
      </c>
      <c r="E31" s="9" t="str" cm="1">
        <f t="array" ref="E31">AgResidue_Equations_PastureResidue.VEERG_6_2_1_1__1__NitrousOxideEmissionsFromPastureResidues_Unit()</f>
        <v>t N2O</v>
      </c>
      <c r="N31" s="24" t="s">
        <v>118</v>
      </c>
      <c r="O31" s="9" t="str" cm="1">
        <f t="array" ref="O31">AgResidue_Equations_PastureResidue.VEERG_6_2_1_1__1__NitrousOxideEmissionsFromPastureResidues_Unit()</f>
        <v>t N2O</v>
      </c>
    </row>
    <row r="32" spans="1:21" ht="20.100000000000001" customHeight="1" x14ac:dyDescent="0.25">
      <c r="A32" s="5" t="str">
        <f>HYPERLINK("#'4.3.1.1-2 Methane'!A1", "4.3.1.1-2 Manure methane")</f>
        <v>4.3.1.1-2 Manure methane</v>
      </c>
    </row>
    <row r="33" spans="1:20" ht="20.100000000000001" customHeight="1" x14ac:dyDescent="0.25">
      <c r="A33" s="5" t="str">
        <f>HYPERLINK("#'4.3.1.3-4 Direct N20'!A1", "4.3.1.3-4 Direct N20")</f>
        <v>4.3.1.3-4 Direct N20</v>
      </c>
      <c r="D33" s="119" t="str" cm="1">
        <f t="array" ref="D33:E37">_xlfn.CHOOSECOLS(AgResidue_Equations_PastureResidue.VEERG_6_2_1_1__1__NitrousOxideEmissionsFromPastureResidues_Arguments(), 1, 2)</f>
        <v>M_p</v>
      </c>
      <c r="E33" s="124" t="str">
        <v>mass of nitrogen in pasture p residues returned to the soil</v>
      </c>
      <c r="F33" s="132"/>
      <c r="G33" s="125"/>
      <c r="H33" s="119" t="str" cm="1">
        <f t="array" ref="H33:I37">_xlfn.CHOOSECOLS(AgResidue_Equations_PastureResidue.VEERG_6_2_1_1__1__NitrousOxideEmissionsFromPastureResidues_Arguments(), 3,4)</f>
        <v>kg N</v>
      </c>
      <c r="I33" s="127" t="str">
        <v>Calculated from 6.2.1.1 (2)</v>
      </c>
      <c r="J33" s="119">
        <f>$E$21</f>
        <v>7.4226E-2</v>
      </c>
      <c r="N33" s="119" t="str" cm="1">
        <f t="array" ref="N33:O37">_xlfn.CHOOSECOLS(AgResidue_Equations_PastureResidue.VEERG_6_2_1_1__1__NitrousOxideEmissionsFromPastureResidues_Arguments(), 1, 2)</f>
        <v>M_p</v>
      </c>
      <c r="O33" s="124" t="str">
        <v>mass of nitrogen in pasture p residues returned to the soil</v>
      </c>
      <c r="P33" s="132"/>
      <c r="Q33" s="125"/>
      <c r="R33" s="119" t="str" cm="1">
        <f t="array" ref="R33:S37">_xlfn.CHOOSECOLS(AgResidue_Equations_PastureResidue.VEERG_6_2_1_1__1__NitrousOxideEmissionsFromPastureResidues_Arguments(), 3,4)</f>
        <v>kg N</v>
      </c>
      <c r="S33" s="127" t="str">
        <v>Calculated from 6.2.1.1 (2)</v>
      </c>
      <c r="T33" s="119">
        <f>$O$21</f>
        <v>7.4226E-2</v>
      </c>
    </row>
    <row r="34" spans="1:20" ht="20.100000000000001" customHeight="1" x14ac:dyDescent="0.25">
      <c r="A34" s="5" t="str">
        <f>HYPERLINK("#'4.3.1.5 Atmos deposition'!A1", "4.3.1.5 Atmos deposition")</f>
        <v>4.3.1.5 Atmos deposition</v>
      </c>
      <c r="D34" s="119" t="str">
        <v>EF_Ni</v>
      </c>
      <c r="E34" s="124" t="str">
        <v>emission factor for crop residues returned to the soil in climate zone i</v>
      </c>
      <c r="F34" s="132"/>
      <c r="G34" s="125"/>
      <c r="H34" s="119" t="str">
        <v>kg N2O-N/kg N</v>
      </c>
      <c r="I34" s="127" t="str">
        <v>Constant</v>
      </c>
      <c r="J34" s="119" cm="1">
        <f t="array" ref="J34">Common_InputFunctions.Utility_LookupValueInTableNumber(J37,Table_SourceData_N2OEFOrganicFert[Climate zone type i],Table_SourceData_N2OEFOrganicFert[EF i N2O])</f>
        <v>5.0000000000000001E-3</v>
      </c>
      <c r="N34" s="119" t="str">
        <v>EF_Ni</v>
      </c>
      <c r="O34" s="124" t="str">
        <v>emission factor for crop residues returned to the soil in climate zone i</v>
      </c>
      <c r="P34" s="132"/>
      <c r="Q34" s="125"/>
      <c r="R34" s="119" t="str">
        <v>kg N2O-N/kg N</v>
      </c>
      <c r="S34" s="127" t="str">
        <v>Constant</v>
      </c>
      <c r="T34" s="119"/>
    </row>
    <row r="35" spans="1:20" ht="20.100000000000001" customHeight="1" x14ac:dyDescent="0.25">
      <c r="A35" s="5" t="str">
        <f>HYPERLINK("#'4.3.1.6-7 Leaching and runoff'!A1", "4.3.1.6-7 Leaching &amp; runoff")</f>
        <v>4.3.1.6-7 Leaching &amp; runoff</v>
      </c>
      <c r="D35" s="119" t="str">
        <v>C_N2O</v>
      </c>
      <c r="E35" s="124" t="str">
        <v>factor to convert elemental mass of nitrous oxide to molecular mass</v>
      </c>
      <c r="F35" s="132"/>
      <c r="G35" s="125"/>
      <c r="H35" s="119" t="str">
        <v>dimensionless</v>
      </c>
      <c r="I35" s="127" t="str">
        <v>Constant</v>
      </c>
      <c r="J35" s="119">
        <f>Common_InputFunctions.Utility_LookupValueInTableNumber("N2O",Table_GasToMolecularConversionFactor[Gas],Table_GasToMolecularConversionFactor[Conversion factor combined])</f>
        <v>1.5714285714285714</v>
      </c>
      <c r="N35" s="119" t="str">
        <v>C_N2O</v>
      </c>
      <c r="O35" s="124" t="str">
        <v>factor to convert elemental mass of nitrous oxide to molecular mass</v>
      </c>
      <c r="P35" s="132"/>
      <c r="Q35" s="125"/>
      <c r="R35" s="119" t="str">
        <v>dimensionless</v>
      </c>
      <c r="S35" s="127" t="str">
        <v>Constant</v>
      </c>
      <c r="T35" s="119"/>
    </row>
    <row r="36" spans="1:20" ht="20.100000000000001" customHeight="1" x14ac:dyDescent="0.25">
      <c r="A36" s="5" t="str">
        <f>HYPERLINK("#'4.3.1.8 Manure applied to soils'!A1", "4.3.1.8 Manure applied to soils")</f>
        <v>4.3.1.8 Manure applied to soils</v>
      </c>
      <c r="D36" s="119" t="str">
        <v>p</v>
      </c>
      <c r="E36" s="124" t="str">
        <v>Pasture type</v>
      </c>
      <c r="F36" s="132"/>
      <c r="G36" s="125"/>
      <c r="H36" s="119" t="str">
        <v/>
      </c>
      <c r="I36" s="120" t="str">
        <v>Input</v>
      </c>
      <c r="J36" s="119" t="str">
        <f>X_Cell_Pasture_PastureType</f>
        <v>Grass clover mixture</v>
      </c>
      <c r="N36" s="119" t="str">
        <v>p</v>
      </c>
      <c r="O36" s="124" t="str">
        <v>Pasture type</v>
      </c>
      <c r="P36" s="132"/>
      <c r="Q36" s="125"/>
      <c r="R36" s="119" t="str">
        <v/>
      </c>
      <c r="S36" s="120" t="str">
        <v>Input</v>
      </c>
      <c r="T36" s="119"/>
    </row>
    <row r="37" spans="1:20" ht="20.100000000000001" customHeight="1" x14ac:dyDescent="0.25">
      <c r="A37" s="5" t="str">
        <f>HYPERLINK("#'4.3.1.9 Soil direct N2O'!A1", "4.3.1.9 Soil direct N2O")</f>
        <v>4.3.1.9 Soil direct N2O</v>
      </c>
      <c r="D37" s="119" t="str">
        <v>i</v>
      </c>
      <c r="E37" s="124" t="str">
        <v>Wet or dry climate zone</v>
      </c>
      <c r="F37" s="132"/>
      <c r="G37" s="125"/>
      <c r="H37" s="119" t="str">
        <v/>
      </c>
      <c r="I37" s="120" t="str">
        <v>Input</v>
      </c>
      <c r="J37" s="119" t="str">
        <f>X_Cell_Site_WetOrDryClimateZone</f>
        <v>Dry climate zone</v>
      </c>
      <c r="N37" s="119" t="str">
        <v>i</v>
      </c>
      <c r="O37" s="124" t="str">
        <v>Wet or dry climate zone</v>
      </c>
      <c r="P37" s="132"/>
      <c r="Q37" s="125"/>
      <c r="R37" s="119" t="str">
        <v/>
      </c>
      <c r="S37" s="120" t="str">
        <v>Input</v>
      </c>
      <c r="T37" s="119"/>
    </row>
    <row r="38" spans="1:20" ht="20.100000000000001" customHeight="1" x14ac:dyDescent="0.25">
      <c r="A38" s="5" t="str">
        <f>HYPERLINK("#'4.3.1.10-11 Soil Atmos Dep'!A1", "4.3.1.10-11 Soil Atmos Deposition")</f>
        <v>4.3.1.10-11 Soil Atmos Deposition</v>
      </c>
    </row>
    <row r="39" spans="1:20" ht="20.100000000000001" customHeight="1" x14ac:dyDescent="0.25">
      <c r="A39" s="5" t="str">
        <f>HYPERLINK("#'4.3.1.12-13 Soil leach runoff'!A1", "4.3.1.12-13 Soil leach &amp; runoff")</f>
        <v>4.3.1.12-13 Soil leach &amp; runoff</v>
      </c>
    </row>
    <row r="40" spans="1:20" ht="20.100000000000001" customHeight="1" x14ac:dyDescent="0.25">
      <c r="A40" s="5" t="str">
        <f>HYPERLINK("#'5.1.1.1-2 Inorganic fert N2O'!A1", "5.1.1.1-2 Inorganic fert N2O")</f>
        <v>5.1.1.1-2 Inorganic fert N2O</v>
      </c>
      <c r="D40" s="87" t="s">
        <v>766</v>
      </c>
      <c r="E40" s="90" cm="1">
        <f t="array" ref="E40">AgResidue_Equations_PastureResidue.VEERG_6_2_1_1__1__NitrousOxideEmissionsFromPastureResidues(J33,J34,J35)</f>
        <v>5.8320428571428569E-7</v>
      </c>
      <c r="F40" s="89" t="str" cm="1">
        <f t="array" ref="F40">AgResidue_Equations_PastureResidue.VEERG_6_2_1_1__1__NitrousOxideEmissionsFromPastureResidues_Unit()</f>
        <v>t N2O</v>
      </c>
      <c r="N40" s="87" t="s">
        <v>766</v>
      </c>
      <c r="O40" s="90" cm="1">
        <f t="array" ref="O40">AgResidue_Equations_PastureResidue.VEERG_6_2_1_1__1__NitrousOxideEmissionsFromPastureResidues(T33,J34,J35)</f>
        <v>5.8320428571428569E-7</v>
      </c>
      <c r="P40" s="89" t="str" cm="1">
        <f t="array" ref="P40">AgResidue_Equations_PastureResidue.VEERG_6_2_1_1__1__NitrousOxideEmissionsFromPastureResidues_Unit()</f>
        <v>t N2O</v>
      </c>
    </row>
    <row r="41" spans="1:20" ht="20.100000000000001" customHeight="1" x14ac:dyDescent="0.25">
      <c r="A41" s="5" t="str">
        <f>HYPERLINK("#'5.1.1.3-4 Inorganic fert CO2'!A1", "5.1.1.3-4 Inorganic fert CO2")</f>
        <v>5.1.1.3-4 Inorganic fert CO2</v>
      </c>
    </row>
    <row r="42" spans="1:20" ht="20.100000000000001" customHeight="1" x14ac:dyDescent="0.25">
      <c r="A42" s="5" t="str">
        <f>HYPERLINK("#'5.2.1.1-2 Organic Fert N2O'!A1", "5.2.1.1-2 Organic fert N2O")</f>
        <v>5.2.1.1-2 Organic fert N2O</v>
      </c>
      <c r="D42" s="131" t="str" cm="1">
        <f t="array" ref="D42:E43">Common_Equations.Common_ConvertN2OToCO2e_Arguments()</f>
        <v>EN2O</v>
      </c>
      <c r="E42" s="134" t="str">
        <v>Nitrous oxide emissions (t N2O)</v>
      </c>
      <c r="F42" s="137"/>
      <c r="G42" s="131">
        <f>VEERG_6_2_1_1__1__NitrousOxideEmissionsFromPastureResidues_Result_Method1</f>
        <v>5.8320428571428569E-7</v>
      </c>
      <c r="N42" s="131" t="str" cm="1">
        <f t="array" ref="N42:O43">Common_Equations.Common_ConvertN2OToCO2e_Arguments()</f>
        <v>EN2O</v>
      </c>
      <c r="O42" s="134" t="str">
        <v>Nitrous oxide emissions (t N2O)</v>
      </c>
      <c r="P42" s="137"/>
      <c r="Q42" s="131">
        <f>VEERG_6_2_1_1__1__NitrousOxideEmissionsFromPastureResidues_Result_Method2</f>
        <v>5.8320428571428569E-7</v>
      </c>
    </row>
    <row r="43" spans="1:20" ht="20.100000000000001" customHeight="1" x14ac:dyDescent="0.25">
      <c r="A43" s="5" t="str">
        <f>HYPERLINK("#'5.3.1.1-2 Lime CO2'!A1", "5.3.1.1-2 Lime CO2")</f>
        <v>5.3.1.1-2 Lime CO2</v>
      </c>
      <c r="D43" s="131" t="str">
        <v>GWPN2O</v>
      </c>
      <c r="E43" s="134" t="str">
        <v>Global warming potential for nitrous oxide (t CO2-e / t N2O)</v>
      </c>
      <c r="F43" s="137"/>
      <c r="G43" s="15">
        <f>Common_InputFunctions.Utility_LookupValueInTableNumber("N2O",Table_GWPData[Gas],Table_GWPData[CO2-e factor])</f>
        <v>265</v>
      </c>
      <c r="N43" s="131" t="str">
        <v>GWPN2O</v>
      </c>
      <c r="O43" s="134" t="str">
        <v>Global warming potential for nitrous oxide (t CO2-e / t N2O)</v>
      </c>
      <c r="P43" s="137"/>
      <c r="Q43" s="15">
        <f>Common_InputFunctions.Utility_LookupValueInTableNumber("N2O",Table_GWPData[Gas],Table_GWPData[CO2-e factor])</f>
        <v>265</v>
      </c>
    </row>
    <row r="44" spans="1:20" ht="20.100000000000001" customHeight="1" x14ac:dyDescent="0.25">
      <c r="A44" s="5" t="str">
        <f>HYPERLINK("#'5.4.1.1-4 Atmos deposition'!A1", "5.4.1.1-4 Atmos. deposition")</f>
        <v>5.4.1.1-4 Atmos. deposition</v>
      </c>
    </row>
    <row r="45" spans="1:20" ht="20.100000000000001" customHeight="1" x14ac:dyDescent="0.25">
      <c r="A45" s="5" t="str">
        <f>HYPERLINK("#'5.5.1.1-2 Leaching and runoff'!A1", "5.5.1.1-2 Leaching &amp; runoff")</f>
        <v>5.5.1.1-2 Leaching &amp; runoff</v>
      </c>
      <c r="D45" s="1" t="s">
        <v>1146</v>
      </c>
      <c r="E45" s="1" cm="1">
        <f t="array" ref="E45">Common_Equations.Common_ConvertN2OToCO2e(G42,G43)</f>
        <v>1.545491357142857E-4</v>
      </c>
      <c r="F45" s="9" t="str" cm="1">
        <f t="array" ref="F45">Common_Equations.Common_ConvertN2OToCO2e_Unit()</f>
        <v>t CO2e</v>
      </c>
      <c r="N45" s="1" t="s">
        <v>1146</v>
      </c>
      <c r="O45" s="1" cm="1">
        <f t="array" ref="O45">Common_Equations.Common_ConvertN2OToCO2e(Q42,Q43)</f>
        <v>1.545491357142857E-4</v>
      </c>
      <c r="P45" s="9" t="str" cm="1">
        <f t="array" ref="P45">Common_Equations.Common_ConvertN2OToCO2e_Unit()</f>
        <v>t CO2e</v>
      </c>
    </row>
    <row r="46" spans="1:20" ht="20.100000000000001" customHeight="1" x14ac:dyDescent="0.25">
      <c r="A46" s="118" t="str">
        <f>HYPERLINK("#'6.2.1.1-2 Pasture residue N2O'!A1", "6.2.1.1-2 Pasture residue N2O")</f>
        <v>6.2.1.1-2 Pasture residue N2O</v>
      </c>
    </row>
    <row r="47" spans="1:20" ht="20.100000000000001" customHeight="1" x14ac:dyDescent="0.25">
      <c r="A47" s="5" t="str">
        <f>HYPERLINK("#'6.3.1.1-2 Leach runoff pasture'!A1", "6.3.1.1-2 Leach &amp; runoff (pasture)")</f>
        <v>6.3.1.1-2 Leach &amp; runoff (pasture)</v>
      </c>
    </row>
    <row r="48" spans="1:20" ht="20.100000000000001" customHeight="1" x14ac:dyDescent="0.25">
      <c r="A48" s="5" t="str">
        <f>HYPERLINK("#'8.1.1.1-2 Transport fuel'!A1", "8.1.1.1-2 Transport fuel")</f>
        <v>8.1.1.1-2 Transport fuel</v>
      </c>
    </row>
    <row r="49" spans="1:1" ht="20.100000000000001" customHeight="1" x14ac:dyDescent="0.25">
      <c r="A49" s="5" t="str">
        <f>HYPERLINK("#'8.2.1.1-2 Stationary fuel'!A1", "8.2.1.1-2 Stationary fuel")</f>
        <v>8.2.1.1-2 Stationary fuel</v>
      </c>
    </row>
    <row r="50" spans="1:1" ht="20.100000000000001" customHeight="1" x14ac:dyDescent="0.25">
      <c r="A50" s="5" t="str">
        <f>HYPERLINK("#'9.1.1.1-2 Refrigerant use'!A1", "9.1.1.1-2 Refrigerant use")</f>
        <v>9.1.1.1-2 Refrigerant use</v>
      </c>
    </row>
    <row r="51" spans="1:1" ht="20.100000000000001" customHeight="1" x14ac:dyDescent="0.25">
      <c r="A51" s="5" t="str">
        <f>HYPERLINK("#'10.1.1-2 Solid waste treatment'!A1", "10.1.1.1-2 Solid waste")</f>
        <v>10.1.1.1-2 Solid waste</v>
      </c>
    </row>
    <row r="52" spans="1:1" ht="20.100000000000001" customHeight="1" x14ac:dyDescent="0.25">
      <c r="A52" s="5" t="str">
        <f>HYPERLINK("#'14.1.1-2 Purchased electricity'!A1", "14.1.1-2 Purchased electricity")</f>
        <v>14.1.1-2 Purchased electricity</v>
      </c>
    </row>
    <row r="53" spans="1:1" ht="20.100000000000001" customHeight="1" x14ac:dyDescent="0.25">
      <c r="A53" s="5" t="str">
        <f>HYPERLINK("#'15 Scope 3'!A1", "15 Scope 3")</f>
        <v>15 Scope 3</v>
      </c>
    </row>
    <row r="54" spans="1:1" ht="20.100000000000001" customHeight="1" x14ac:dyDescent="0.25">
      <c r="A54" s="5" t="str">
        <f>HYPERLINK("#'Calcs - Manure sent off-site'!A1", "Calcs - Manure sent off-site")</f>
        <v>Calcs - Manure sent off-site</v>
      </c>
    </row>
    <row r="55" spans="1:1" ht="20.100000000000001" customHeight="1" x14ac:dyDescent="0.25"/>
    <row r="56" spans="1:1" ht="20.100000000000001" customHeight="1" x14ac:dyDescent="0.25"/>
    <row r="57" spans="1:1" ht="20.100000000000001" customHeight="1" x14ac:dyDescent="0.25">
      <c r="A57" s="82" t="s">
        <v>1</v>
      </c>
    </row>
    <row r="58" spans="1:1" ht="20.100000000000001" customHeight="1" x14ac:dyDescent="0.25">
      <c r="A58" s="5" t="str">
        <f>HYPERLINK("#'Constants - Dairy'!A1", "Constants - Dairy")</f>
        <v>Constants - Dairy</v>
      </c>
    </row>
    <row r="59" spans="1:1" ht="20.100000000000001" customHeight="1" x14ac:dyDescent="0.25">
      <c r="A59" s="5" t="str">
        <f>HYPERLINK("#'Constants - Ag Residue'!A1", "Constants - Ag residue")</f>
        <v>Constants - Ag residue</v>
      </c>
    </row>
    <row r="60" spans="1:1" ht="20.100000000000001" customHeight="1" x14ac:dyDescent="0.25">
      <c r="A60" s="5" t="str">
        <f>HYPERLINK("#'Constants - Common Livestock'!A1", "Constants - Common Livestock")</f>
        <v>Constants - Common Livestock</v>
      </c>
    </row>
    <row r="61" spans="1:1" ht="20.100000000000001" customHeight="1" x14ac:dyDescent="0.25">
      <c r="A61" s="5" t="str">
        <f>HYPERLINK("#'Constants - Electricity'!A1", "Constants - Electricity")</f>
        <v>Constants - Electricity</v>
      </c>
    </row>
    <row r="62" spans="1:1" ht="20.100000000000001" customHeight="1" x14ac:dyDescent="0.25">
      <c r="A62" s="5" t="str">
        <f>HYPERLINK("#'Constants - Fertiliser'!A1", "Constants - Fertiliser")</f>
        <v>Constants - Fertiliser</v>
      </c>
    </row>
    <row r="63" spans="1:1" ht="20.100000000000001" customHeight="1" x14ac:dyDescent="0.25">
      <c r="A63" s="5" t="str">
        <f>HYPERLINK("#'Constants - Fuel'!A1", "Constants - Fuel")</f>
        <v>Constants - Fuel</v>
      </c>
    </row>
    <row r="64" spans="1:1" ht="20.100000000000001" customHeight="1" x14ac:dyDescent="0.25">
      <c r="A64" s="5" t="str">
        <f>HYPERLINK("#'Constants - Scope 3'!A1", "Constants - Scope 3")</f>
        <v>Constants - Scope 3</v>
      </c>
    </row>
    <row r="65" spans="1:1" ht="20.100000000000001" customHeight="1" x14ac:dyDescent="0.25">
      <c r="A65" s="5" t="str">
        <f>HYPERLINK("#'Constants - Common'!A1", "Constants - Common")</f>
        <v>Constants - Common</v>
      </c>
    </row>
    <row r="66" spans="1:1" ht="20.100000000000001" customHeight="1" x14ac:dyDescent="0.25">
      <c r="A66" s="5" t="str">
        <f>HYPERLINK("#'Constants - Refrigerants'!A1", "Constants - Refrigerants")</f>
        <v>Constants - Refrigerants</v>
      </c>
    </row>
    <row r="67" spans="1:1" ht="20.100000000000001" customHeight="1" x14ac:dyDescent="0.25">
      <c r="A67" s="5" t="str">
        <f>HYPERLINK("#'Constants - Solid Waste'!A1", "Constants - Solid Waste")</f>
        <v>Constants - Solid Waste</v>
      </c>
    </row>
    <row r="68" spans="1:1" ht="20.100000000000001" customHeight="1" x14ac:dyDescent="0.25">
      <c r="A68" s="5" t="str">
        <f>HYPERLINK("#'Acknowledgements'!A1", "Acknowledgements")</f>
        <v>Acknowledgements</v>
      </c>
    </row>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B361E-91AA-4A92-8EEC-013A18645EC4}">
  <sheetPr>
    <tabColor rgb="FF008000"/>
  </sheetPr>
  <dimension ref="A1:T165"/>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0" customFormat="1" ht="30" customHeight="1" x14ac:dyDescent="0.35">
      <c r="A1" s="10" t="e" vm="1">
        <v>#VALUE!</v>
      </c>
      <c r="C1" s="20" t="s">
        <v>1147</v>
      </c>
    </row>
    <row r="2" spans="1:20" s="3" customFormat="1" ht="20.100000000000001" customHeight="1" x14ac:dyDescent="0.25">
      <c r="A2"/>
    </row>
    <row r="3" spans="1:20" ht="20.100000000000001" customHeight="1" x14ac:dyDescent="0.25">
      <c r="A3" s="5" t="str">
        <f>HYPERLINK("#'Home'!A1", "Home")</f>
        <v>Home</v>
      </c>
      <c r="C3" s="22"/>
      <c r="D3" s="22" t="s">
        <v>129</v>
      </c>
      <c r="E3" s="22"/>
      <c r="F3" s="22"/>
      <c r="G3" s="22"/>
      <c r="H3" s="22"/>
      <c r="I3" s="22"/>
      <c r="J3" s="22"/>
      <c r="K3" s="22"/>
      <c r="M3" s="22"/>
      <c r="N3" s="22" t="s">
        <v>130</v>
      </c>
      <c r="O3" s="22"/>
      <c r="P3" s="22"/>
      <c r="Q3" s="22"/>
      <c r="R3" s="22"/>
      <c r="S3" s="22"/>
      <c r="T3" s="22"/>
    </row>
    <row r="4" spans="1:20" ht="20.100000000000001" customHeight="1" x14ac:dyDescent="0.25">
      <c r="A4" s="5" t="str">
        <f>HYPERLINK("#'Results - Activity period'!A1", "Results - Activity period")</f>
        <v>Results - Activity period</v>
      </c>
    </row>
    <row r="5" spans="1:20" ht="20.100000000000001" customHeight="1" x14ac:dyDescent="0.25">
      <c r="A5" s="5" t="str">
        <f>HYPERLINK("#'Results - Product EI'!A1", "Results - Product Emissions Intensity")</f>
        <v>Results - Product Emissions Intensity</v>
      </c>
      <c r="C5" s="8"/>
      <c r="D5" s="2" t="str" cm="1">
        <f t="array" ref="D5">AgResidue_Equations_Leaching.VEERG_6_3_1_1__2__MassOfNitrogenLostThroughLeachingAndRunoff_Title()</f>
        <v>Mass of nitrogen lost through leaching and runoff</v>
      </c>
      <c r="E5" s="8"/>
      <c r="F5" s="8"/>
      <c r="G5" s="8"/>
      <c r="H5" s="8"/>
      <c r="I5" s="8"/>
      <c r="J5" s="8"/>
      <c r="K5" s="8"/>
    </row>
    <row r="6" spans="1:20" ht="20.100000000000001" customHeight="1" x14ac:dyDescent="0.25">
      <c r="A6" s="5" t="str">
        <f>HYPERLINK("#'Results'!A1", "Results")</f>
        <v>Results</v>
      </c>
      <c r="C6" s="8"/>
      <c r="D6" s="17" t="str" cm="1">
        <f t="array" ref="D6">AgResidue_Equations_Leaching.VEERG_6_3_1_1__2__MassOfNitrogenLostThroughLeachingAndRunoff_Source()</f>
        <v>VEERG 2026: 6.3.1.1, Equation (2)</v>
      </c>
      <c r="E6" s="8"/>
      <c r="F6" s="8"/>
      <c r="G6" s="8"/>
      <c r="H6" s="8"/>
      <c r="I6" s="8"/>
      <c r="J6" s="8"/>
      <c r="K6" s="8"/>
    </row>
    <row r="7" spans="1:20" ht="20.100000000000001" customHeight="1" x14ac:dyDescent="0.25">
      <c r="C7" s="8"/>
      <c r="D7" s="117" t="s">
        <v>382</v>
      </c>
      <c r="E7" s="117" t="str" cm="1">
        <f t="array" aca="1" ref="E7" ca="1">Common_InputFunctions.Utility_DisplayFunctionName(I25)</f>
        <v>=AgResidue_Equations_Leaching.VEERG_6_3_1_1__2__MassOfNitrogenLostThroughLeachingAndRunoff</v>
      </c>
      <c r="F7" s="117"/>
      <c r="G7" s="8"/>
      <c r="H7" s="8"/>
      <c r="I7" s="8"/>
      <c r="J7" s="8"/>
      <c r="K7" s="8"/>
    </row>
    <row r="8" spans="1:20" ht="20.100000000000001" customHeight="1" x14ac:dyDescent="0.25">
      <c r="C8" s="8"/>
      <c r="F8" s="8"/>
      <c r="G8" s="8"/>
      <c r="H8" s="8"/>
      <c r="I8" s="8"/>
      <c r="J8" s="8"/>
      <c r="K8" s="8"/>
    </row>
    <row r="9" spans="1:20" ht="20.100000000000001" customHeight="1" x14ac:dyDescent="0.25">
      <c r="A9" s="7" t="s">
        <v>0</v>
      </c>
      <c r="C9" s="8"/>
      <c r="D9" s="8"/>
      <c r="E9" s="8"/>
      <c r="F9" s="8"/>
      <c r="G9" s="8"/>
      <c r="H9" s="8"/>
      <c r="I9" s="8"/>
      <c r="J9" s="8"/>
      <c r="K9" s="8"/>
    </row>
    <row r="10" spans="1:20" ht="20.100000000000001" customHeight="1" x14ac:dyDescent="0.25">
      <c r="A10" s="5" t="str">
        <f>HYPERLINK("#'Input - Enterprise'!A1", "Enterprise")</f>
        <v>Enterprise</v>
      </c>
      <c r="C10" s="8"/>
      <c r="D10" s="253" t="s">
        <v>383</v>
      </c>
      <c r="E10" s="8" t="str" cm="1">
        <f t="array" ref="E10">AgResidue_Equations_Leaching.VEERG_6_3_1_1__2__MassOfNitrogenLostThroughLeachingAndRunoff_Variable()</f>
        <v>M_leachcp</v>
      </c>
      <c r="F10" s="8"/>
      <c r="G10" s="17"/>
      <c r="H10" s="8"/>
      <c r="I10" s="8"/>
      <c r="J10" s="8"/>
      <c r="K10" s="8"/>
    </row>
    <row r="11" spans="1:20" ht="20.100000000000001" customHeight="1" x14ac:dyDescent="0.25">
      <c r="A11" s="5" t="str">
        <f>HYPERLINK("#'Input - Site'!A1", "Site")</f>
        <v>Site</v>
      </c>
      <c r="C11" s="8"/>
      <c r="D11" s="253" t="s">
        <v>118</v>
      </c>
      <c r="E11" s="9" t="str" cm="1">
        <f t="array" ref="E11">AgResidue_Equations_Leaching.VEERG_6_3_1_1__2__MassOfNitrogenLostThroughLeachingAndRunoff_Unit()</f>
        <v>kg N</v>
      </c>
      <c r="F11" s="8"/>
      <c r="G11" s="8"/>
      <c r="H11" s="8"/>
      <c r="I11" s="8"/>
      <c r="J11" s="8"/>
      <c r="K11" s="8"/>
    </row>
    <row r="12" spans="1:20" ht="20.100000000000001" customHeight="1" x14ac:dyDescent="0.25">
      <c r="A12" s="5" t="str">
        <f>HYPERLINK("#'Input - Dairy'!A1", "Dairy")</f>
        <v>Dairy</v>
      </c>
      <c r="C12" s="8"/>
      <c r="D12" s="8"/>
      <c r="E12" s="8"/>
      <c r="F12" s="8"/>
      <c r="G12" s="8"/>
      <c r="H12" s="8"/>
      <c r="I12" s="8"/>
      <c r="J12" s="8"/>
      <c r="K12" s="8"/>
    </row>
    <row r="13" spans="1:20" ht="20.100000000000001" customHeight="1" x14ac:dyDescent="0.25">
      <c r="A13" s="5" t="str">
        <f>HYPERLINK("#'Input - Livestock sales'!A1", "Livestock sales")</f>
        <v>Livestock sales</v>
      </c>
      <c r="C13" s="8"/>
      <c r="D13" s="119" t="str" cm="1">
        <f t="array" ref="D13:E19">_xlfn.CHOOSECOLS(AgResidue_Equations_Leaching.VEERG_6_3_1_1__2__MassOfNitrogenLostThroughLeachingAndRunoff_Arguments(), 1,2)</f>
        <v>M_cp</v>
      </c>
      <c r="E13" s="124" t="str">
        <v>mass of nitrogen in crop residues c or pasture residues p applied to soils</v>
      </c>
      <c r="F13" s="132"/>
      <c r="G13" s="125"/>
      <c r="H13" s="119" t="str" cm="1">
        <f t="array" ref="H13:I19">_xlfn.CHOOSECOLS(AgResidue_Equations_Leaching.VEERG_6_3_1_1__2__MassOfNitrogenLostThroughLeachingAndRunoff_Arguments(), 3,4)</f>
        <v>kg N</v>
      </c>
      <c r="I13" s="127" t="str">
        <v>Calc from 6.1.1.1 (2) and 6.2.1.1 (2)</v>
      </c>
      <c r="J13" s="126" t="str" cm="1">
        <f t="array" aca="1" ref="J13" ca="1">HYPERLINK(Common_InputFunctions.Utility_SourceHyperlink($D$21), $D$21)</f>
        <v>M1_Table_M_leach_cp</v>
      </c>
      <c r="K13" s="8"/>
    </row>
    <row r="14" spans="1:20" ht="20.100000000000001" customHeight="1" x14ac:dyDescent="0.25">
      <c r="A14" s="5" t="str">
        <f>HYPERLINK("#'Input - Dairy cattle purchases'!A1", "Dairy cattle purchases")</f>
        <v>Dairy cattle purchases</v>
      </c>
      <c r="C14" s="8"/>
      <c r="D14" s="119" t="str">
        <v>FracWET_j</v>
      </c>
      <c r="E14" s="124" t="str">
        <v>fraction of N that is available for leaching and runoff from the leaching zone z and irrigation type ir</v>
      </c>
      <c r="F14" s="132"/>
      <c r="G14" s="125"/>
      <c r="H14" s="119" t="str">
        <v>fraction</v>
      </c>
      <c r="I14" s="127" t="str">
        <v>Constant</v>
      </c>
      <c r="J14" s="126" t="str" cm="1">
        <f t="array" aca="1" ref="J14" ca="1">HYPERLINK(Common_InputFunctions.Utility_SourceHyperlink($D$21), $D$21)</f>
        <v>M1_Table_M_leach_cp</v>
      </c>
      <c r="K14" s="8"/>
    </row>
    <row r="15" spans="1:20" ht="20.100000000000001" customHeight="1" x14ac:dyDescent="0.25">
      <c r="A15" s="5" t="str">
        <f>HYPERLINK("#'Input - Pasture'!A1", "Pasture")</f>
        <v>Pasture</v>
      </c>
      <c r="C15" s="8"/>
      <c r="D15" s="119" t="str">
        <v>FracLEACH</v>
      </c>
      <c r="E15" s="124" t="str">
        <v>fraction of N that is lost through leaching and runoff</v>
      </c>
      <c r="F15" s="132"/>
      <c r="G15" s="125"/>
      <c r="H15" s="119" t="str">
        <v>fraction</v>
      </c>
      <c r="I15" s="127" t="str">
        <v>Constant</v>
      </c>
      <c r="J15" s="119">
        <f>'Constants - Common'!$E$164</f>
        <v>0.24</v>
      </c>
      <c r="K15" s="8"/>
    </row>
    <row r="16" spans="1:20" ht="20.100000000000001" customHeight="1" x14ac:dyDescent="0.25">
      <c r="A16" s="5" t="str">
        <f>HYPERLINK("#'Input - Fert Prod System'!A1", "Fert Prod System")</f>
        <v>Fert Prod System</v>
      </c>
      <c r="C16" s="8"/>
      <c r="D16" s="119" t="str">
        <v>z</v>
      </c>
      <c r="E16" s="124" t="str">
        <v>Location in leaching zone</v>
      </c>
      <c r="F16" s="132"/>
      <c r="G16" s="125"/>
      <c r="H16" s="119" t="str">
        <v/>
      </c>
      <c r="I16" s="120" t="str">
        <v>Input</v>
      </c>
      <c r="J16" s="126" t="str" cm="1">
        <f t="array" aca="1" ref="J16" ca="1">HYPERLINK(Common_InputFunctions.Utility_SourceHyperlink($D$21), $D$21)</f>
        <v>M1_Table_M_leach_cp</v>
      </c>
      <c r="K16" s="8"/>
    </row>
    <row r="17" spans="1:20" ht="20.100000000000001" customHeight="1" x14ac:dyDescent="0.25">
      <c r="A17" s="5" t="str">
        <f>HYPERLINK("#'Input - Fertiliser'!A1", "Fertiliser")</f>
        <v>Fertiliser</v>
      </c>
      <c r="C17" s="8"/>
      <c r="D17" s="119" t="str">
        <v>c</v>
      </c>
      <c r="E17" s="124" t="str">
        <v>Crop residue type</v>
      </c>
      <c r="F17" s="132"/>
      <c r="G17" s="125"/>
      <c r="H17" s="119" t="str">
        <v/>
      </c>
      <c r="I17" s="120" t="str">
        <v>Input</v>
      </c>
      <c r="J17" s="119" t="s">
        <v>277</v>
      </c>
      <c r="K17" s="8"/>
    </row>
    <row r="18" spans="1:20" ht="20.100000000000001" customHeight="1" x14ac:dyDescent="0.25">
      <c r="A18" s="5" t="str">
        <f>HYPERLINK("#'Input - Fuel'!A1", "Fuel")</f>
        <v>Fuel</v>
      </c>
      <c r="C18" s="8"/>
      <c r="D18" s="119" t="str">
        <v>p</v>
      </c>
      <c r="E18" s="124" t="str">
        <v>Pasture residue type</v>
      </c>
      <c r="F18" s="132"/>
      <c r="G18" s="125"/>
      <c r="H18" s="119" t="str">
        <v/>
      </c>
      <c r="I18" s="120" t="str">
        <v>Input</v>
      </c>
      <c r="J18" s="119" t="str">
        <f>X_Cell_Pasture_PastureType</f>
        <v>Grass clover mixture</v>
      </c>
      <c r="K18" s="8"/>
    </row>
    <row r="19" spans="1:20" ht="20.100000000000001" customHeight="1" x14ac:dyDescent="0.25">
      <c r="A19" s="5" t="str">
        <f>HYPERLINK("#'Input - Electricity'!A1", "Electricity")</f>
        <v>Electricity</v>
      </c>
      <c r="C19" s="8"/>
      <c r="D19" s="119" t="str">
        <v>ir</v>
      </c>
      <c r="E19" s="124" t="str">
        <v>Irrigation type</v>
      </c>
      <c r="F19" s="132"/>
      <c r="G19" s="125"/>
      <c r="H19" s="119" t="str">
        <v/>
      </c>
      <c r="I19" s="120" t="str">
        <v>Input</v>
      </c>
      <c r="J19" s="126" t="str" cm="1">
        <f t="array" aca="1" ref="J19" ca="1">HYPERLINK(Common_InputFunctions.Utility_SourceHyperlink($D$21), $D$21)</f>
        <v>M1_Table_M_leach_cp</v>
      </c>
      <c r="K19" s="8"/>
    </row>
    <row r="20" spans="1:20" ht="20.100000000000001" customHeight="1" x14ac:dyDescent="0.25">
      <c r="A20" s="5" t="str">
        <f>HYPERLINK("#'Input - Common farm inputs'!A1", "Common farm inputs")</f>
        <v>Common farm inputs</v>
      </c>
      <c r="C20" s="8"/>
      <c r="D20" s="8"/>
      <c r="E20" s="8"/>
      <c r="F20" s="8"/>
      <c r="G20" s="8"/>
      <c r="H20" s="8"/>
      <c r="I20" s="8"/>
      <c r="J20" s="8"/>
      <c r="K20" s="8"/>
    </row>
    <row r="21" spans="1:20" ht="20.100000000000001" customHeight="1" x14ac:dyDescent="0.25">
      <c r="A21" s="5" t="str">
        <f>HYPERLINK("#'Input - Crop pasture farm input'!A1", "Crop pasture farm input")</f>
        <v>Crop pasture farm input</v>
      </c>
      <c r="C21" s="8"/>
      <c r="D21" s="121" t="s">
        <v>1148</v>
      </c>
      <c r="E21" s="8"/>
      <c r="F21" s="8"/>
      <c r="G21" s="8"/>
      <c r="H21" s="8"/>
      <c r="I21" s="8"/>
      <c r="J21" s="8"/>
      <c r="K21" s="8"/>
      <c r="N21" s="121" t="s">
        <v>1149</v>
      </c>
      <c r="O21" s="8"/>
      <c r="P21" s="8"/>
      <c r="Q21" s="8"/>
      <c r="R21" s="8"/>
      <c r="S21" s="8"/>
    </row>
    <row r="22" spans="1:20" ht="20.100000000000001" customHeight="1" x14ac:dyDescent="0.25">
      <c r="A22" s="5" t="str">
        <f>HYPERLINK("#'Input - Livestock farm Inputs'!A1", "Livestock farm Inputs")</f>
        <v>Livestock farm Inputs</v>
      </c>
      <c r="C22" s="8"/>
      <c r="D22" s="122" t="s">
        <v>1150</v>
      </c>
      <c r="E22" s="8"/>
      <c r="F22" s="8"/>
      <c r="G22" s="8"/>
      <c r="H22" s="8"/>
      <c r="I22" s="8"/>
      <c r="J22" s="8"/>
      <c r="K22" s="8"/>
      <c r="N22" s="122" t="s">
        <v>1151</v>
      </c>
      <c r="O22" s="8"/>
      <c r="P22" s="8"/>
      <c r="Q22" s="8"/>
      <c r="R22" s="8"/>
      <c r="S22" s="8"/>
    </row>
    <row r="23" spans="1:20" ht="20.100000000000001" customHeight="1" x14ac:dyDescent="0.25">
      <c r="A23" s="5" t="str">
        <f>HYPERLINK("#'Input - Freight'!A1", "Freight")</f>
        <v>Freight</v>
      </c>
      <c r="C23" s="8"/>
      <c r="D23" s="81" t="s">
        <v>1152</v>
      </c>
      <c r="E23" s="123" t="s">
        <v>1153</v>
      </c>
      <c r="F23" s="81" t="s">
        <v>1154</v>
      </c>
      <c r="G23" s="81" t="s">
        <v>103</v>
      </c>
      <c r="H23" s="123" t="s">
        <v>1155</v>
      </c>
      <c r="I23" s="123" t="s">
        <v>1156</v>
      </c>
      <c r="J23" s="8"/>
      <c r="K23" s="8"/>
      <c r="N23" s="81" t="s">
        <v>1152</v>
      </c>
      <c r="O23" s="123" t="s">
        <v>1153</v>
      </c>
      <c r="P23" s="81" t="s">
        <v>1154</v>
      </c>
      <c r="Q23" s="81" t="s">
        <v>103</v>
      </c>
      <c r="R23" s="123" t="s">
        <v>1155</v>
      </c>
      <c r="S23" s="123" t="s">
        <v>1156</v>
      </c>
    </row>
    <row r="24" spans="1:20" ht="20.100000000000001" customHeight="1" x14ac:dyDescent="0.25">
      <c r="A24" s="5" t="str">
        <f>HYPERLINK("#'Input - Solid waste'!A1", "Solid waste")</f>
        <v>Solid waste</v>
      </c>
      <c r="D24" s="15" t="s">
        <v>839</v>
      </c>
      <c r="E24" s="15" t="s">
        <v>277</v>
      </c>
      <c r="F24" s="15" t="s">
        <v>277</v>
      </c>
      <c r="G24" s="15" t="s">
        <v>277</v>
      </c>
      <c r="H24" s="15" t="s">
        <v>277</v>
      </c>
      <c r="I24" s="15" t="s">
        <v>277</v>
      </c>
      <c r="N24" s="15"/>
      <c r="O24" s="15" t="s">
        <v>277</v>
      </c>
      <c r="P24" s="15"/>
      <c r="Q24" s="15"/>
      <c r="R24" s="15"/>
      <c r="S24" s="15" t="s">
        <v>277</v>
      </c>
    </row>
    <row r="25" spans="1:20" ht="20.100000000000001" customHeight="1" x14ac:dyDescent="0.25">
      <c r="A25" s="5" t="str">
        <f>HYPERLINK("#'Input - Manure sent off-site'!A1", "Manure sent off-site")</f>
        <v>Manure sent off-site</v>
      </c>
      <c r="D25" s="15" t="s">
        <v>162</v>
      </c>
      <c r="E25" s="15">
        <f>'6.2.1.1-2 Pasture residue N2O'!$E$21</f>
        <v>7.4226E-2</v>
      </c>
      <c r="F25" s="15" t="str">
        <f>X_Cell_Pasture_IrrigationMethod</f>
        <v>Surface irrigation</v>
      </c>
      <c r="G25" s="15" t="str">
        <f>X_Cell_Site_LeachingZone</f>
        <v>NO - Not in leaching zone</v>
      </c>
      <c r="H25" s="15">
        <f>CommonCropping_InputFunctions.CommonCropping_GetFracWET(G25,F25,Table_SourceData_FracWET[Is in leaching zone],Table_SourceData_FracWET[FracWET], Table_SourceData_FracWETIrrigation[Irrigation type i],Table_SourceData_FracWETIrrigation[FracWET])</f>
        <v>1</v>
      </c>
      <c r="I25" s="15" cm="1">
        <f t="array" ref="I25">AgResidue_Equations_Leaching.VEERG_6_3_1_1__2__MassOfNitrogenLostThroughLeachingAndRunoff(E25,H25,$J$15)</f>
        <v>1.7814239999999999E-2</v>
      </c>
      <c r="N25" s="15"/>
      <c r="O25" s="15">
        <f>'6.2.1.1-2 Pasture residue N2O'!$O$21</f>
        <v>7.4226E-2</v>
      </c>
      <c r="P25" s="15"/>
      <c r="Q25" s="15"/>
      <c r="R25" s="15"/>
      <c r="S25" s="15" cm="1">
        <f t="array" ref="S25">AgResidue_Equations_Leaching.VEERG_6_3_1_1__2__MassOfNitrogenLostThroughLeachingAndRunoff(O25,H25,$J$15)</f>
        <v>1.7814239999999999E-2</v>
      </c>
    </row>
    <row r="26" spans="1:20" ht="20.100000000000001" customHeight="1" x14ac:dyDescent="0.25">
      <c r="A26" s="5" t="str">
        <f>HYPERLINK("#'Input - Refrigerants'!A1", "Refrigerants")</f>
        <v>Refrigerants</v>
      </c>
    </row>
    <row r="27" spans="1:20" ht="20.100000000000001" customHeight="1" x14ac:dyDescent="0.25">
      <c r="A27" s="5" t="str">
        <f>HYPERLINK("#'Input - Data quality'!A1", "Data quality")</f>
        <v>Data quality</v>
      </c>
      <c r="C27" s="254"/>
      <c r="D27" s="254"/>
      <c r="E27" s="254"/>
      <c r="F27" s="254"/>
      <c r="G27" s="254"/>
      <c r="H27" s="254"/>
      <c r="I27" s="254"/>
      <c r="J27" s="254"/>
      <c r="K27" s="254"/>
      <c r="M27" s="254"/>
      <c r="N27" s="254"/>
      <c r="O27" s="254"/>
      <c r="P27" s="254"/>
      <c r="Q27" s="254"/>
      <c r="R27" s="254"/>
      <c r="S27" s="254"/>
      <c r="T27" s="254"/>
    </row>
    <row r="28" spans="1:20" ht="20.100000000000001" customHeight="1" x14ac:dyDescent="0.25">
      <c r="C28" s="8"/>
      <c r="D28" s="2" t="str" cm="1">
        <f t="array" ref="D28">AgResidue_Equations_Leaching.VEERG_6_3_1_1__1__LeachingAndRunoffEmissionsCropAndPastureResidue_Title()</f>
        <v>Nitrous oxide leaching and runoff emissions from crop and pasture residues returned to the soil</v>
      </c>
      <c r="E28" s="8"/>
      <c r="F28" s="255"/>
      <c r="G28" s="8"/>
      <c r="H28" s="8"/>
      <c r="I28" s="8"/>
      <c r="J28" s="8"/>
      <c r="K28" s="8"/>
    </row>
    <row r="29" spans="1:20" ht="20.100000000000001" customHeight="1" x14ac:dyDescent="0.25">
      <c r="C29" s="8"/>
      <c r="D29" s="17" t="str" cm="1">
        <f t="array" ref="D29">AgResidue_Equations_Leaching.VEERG_6_3_1_1__1__LeachingAndRunoffEmissionsCropAndPastureResidue_Source()</f>
        <v>VEERG 2026: 6.3.1.1, Equation (1)</v>
      </c>
      <c r="E29" s="8"/>
      <c r="F29" s="8"/>
      <c r="G29" s="8"/>
      <c r="H29" s="8"/>
      <c r="I29" s="8"/>
      <c r="J29" s="8"/>
      <c r="K29" s="8"/>
    </row>
    <row r="30" spans="1:20" ht="20.100000000000001" customHeight="1" x14ac:dyDescent="0.25">
      <c r="A30" s="6" t="s">
        <v>2</v>
      </c>
      <c r="C30" s="8"/>
      <c r="D30" s="117" t="s">
        <v>382</v>
      </c>
      <c r="E30" s="117" t="str" cm="1">
        <f t="array" aca="1" ref="E30" ca="1">Common_InputFunctions.Utility_DisplayFunctionName(E46)</f>
        <v>=AgResidue_Equations_Leaching.VEERG_6_3_1_1__1__LeachingAndRunoffEmissionsCropAndPastureResidue</v>
      </c>
      <c r="F30" s="8"/>
      <c r="G30" s="8"/>
      <c r="H30" s="8"/>
      <c r="I30" s="8"/>
      <c r="J30" s="8"/>
      <c r="K30" s="8"/>
    </row>
    <row r="31" spans="1:20" ht="20.100000000000001" customHeight="1" x14ac:dyDescent="0.25">
      <c r="A31" s="5" t="str">
        <f>HYPERLINK("#'3.3.1.1-2 Enteric Methane'!A1", "3.3.1.1-2 Enteric methane")</f>
        <v>3.3.1.1-2 Enteric methane</v>
      </c>
      <c r="C31" s="8"/>
      <c r="D31" s="8"/>
      <c r="E31" s="8"/>
      <c r="F31" s="8"/>
      <c r="G31" s="8"/>
      <c r="H31" s="8"/>
      <c r="I31" s="8"/>
      <c r="J31" s="8"/>
      <c r="K31" s="8"/>
    </row>
    <row r="32" spans="1:20" ht="20.100000000000001" customHeight="1" x14ac:dyDescent="0.25">
      <c r="A32" s="5" t="str">
        <f>HYPERLINK("#'4.3.1.1-2 Methane'!A1", "4.3.1.1-2 Manure methane")</f>
        <v>4.3.1.1-2 Manure methane</v>
      </c>
      <c r="C32" s="8"/>
      <c r="D32" s="8"/>
      <c r="E32" s="8"/>
      <c r="F32" s="17"/>
      <c r="G32" s="8"/>
      <c r="H32" s="8"/>
      <c r="I32" s="8"/>
      <c r="J32" s="8"/>
      <c r="K32" s="8"/>
    </row>
    <row r="33" spans="1:17" ht="20.100000000000001" customHeight="1" x14ac:dyDescent="0.25">
      <c r="A33" s="5" t="str">
        <f>HYPERLINK("#'4.3.1.3-4 Direct N20'!A1", "4.3.1.3-4 Direct N20")</f>
        <v>4.3.1.3-4 Direct N20</v>
      </c>
      <c r="C33" s="8"/>
      <c r="D33" s="253" t="s">
        <v>383</v>
      </c>
      <c r="E33" s="8" t="str" cm="1">
        <f t="array" ref="E33">AgResidue_Equations_Leaching.VEERG_6_3_1_1__1__LeachingAndRunoffEmissionsCropAndPastureResidue_Variable()</f>
        <v>EN2O</v>
      </c>
      <c r="F33" s="8"/>
      <c r="G33" s="8"/>
      <c r="H33" s="8"/>
      <c r="I33" s="8"/>
      <c r="J33" s="8"/>
      <c r="K33" s="8"/>
    </row>
    <row r="34" spans="1:17" ht="20.100000000000001" customHeight="1" x14ac:dyDescent="0.25">
      <c r="A34" s="5" t="str">
        <f>HYPERLINK("#'4.3.1.5 Atmos deposition'!A1", "4.3.1.5 Atmos deposition")</f>
        <v>4.3.1.5 Atmos deposition</v>
      </c>
      <c r="C34" s="8"/>
      <c r="D34" s="253" t="s">
        <v>118</v>
      </c>
      <c r="E34" s="9" t="str" cm="1">
        <f t="array" ref="E34">AgResidue_Equations_Leaching.VEERG_6_3_1_1__1__LeachingAndRunoffEmissionsCropAndPastureResidue_Unit()</f>
        <v>t N2O</v>
      </c>
      <c r="F34" s="8"/>
      <c r="G34" s="8"/>
      <c r="H34" s="8"/>
      <c r="I34" s="8"/>
      <c r="J34" s="8"/>
      <c r="K34" s="8"/>
    </row>
    <row r="35" spans="1:17" ht="20.100000000000001" customHeight="1" x14ac:dyDescent="0.25">
      <c r="A35" s="5" t="str">
        <f>HYPERLINK("#'4.3.1.6-7 Leaching and runoff'!A1", "4.3.1.6-7 Leaching &amp; runoff")</f>
        <v>4.3.1.6-7 Leaching &amp; runoff</v>
      </c>
      <c r="C35" s="8"/>
      <c r="D35" s="8"/>
      <c r="E35" s="8"/>
      <c r="F35" s="8"/>
      <c r="G35" s="8"/>
      <c r="H35" s="8"/>
      <c r="I35" s="8"/>
      <c r="J35" s="8"/>
      <c r="K35" s="8"/>
    </row>
    <row r="36" spans="1:17" ht="20.100000000000001" customHeight="1" x14ac:dyDescent="0.25">
      <c r="A36" s="5" t="str">
        <f>HYPERLINK("#'4.3.1.8 Manure applied to soils'!A1", "4.3.1.8 Manure applied to soils")</f>
        <v>4.3.1.8 Manure applied to soils</v>
      </c>
      <c r="C36" s="8"/>
      <c r="D36" s="119" t="str" cm="1">
        <f t="array" ref="D36:E40">_xlfn.CHOOSECOLS(AgResidue_Equations_Leaching.VEERG_6_3_1_1__1__LeachingAndRunoffEmissionsCropAndPastureResidue_Arguments(),1,2)</f>
        <v>M_leachcp</v>
      </c>
      <c r="E36" s="124" t="str">
        <v>mass of nitrogen lost through leaching and runoff from the crop residue c or pasture residue p</v>
      </c>
      <c r="F36" s="132"/>
      <c r="G36" s="125"/>
      <c r="H36" s="119" t="str" cm="1">
        <f t="array" ref="H36:I40">_xlfn.CHOOSECOLS(AgResidue_Equations_Leaching.VEERG_6_3_1_1__1__LeachingAndRunoffEmissionsCropAndPastureResidue_Arguments(),3,4)</f>
        <v>kg N</v>
      </c>
      <c r="I36" s="127" t="str">
        <v>Calculated from 6.3.1.1 (2)</v>
      </c>
      <c r="J36" s="119" t="str" cm="1">
        <f t="array" aca="1" ref="J36" ca="1">HYPERLINK(Common_InputFunctions.Utility_SourceHyperlink($D$21), $D$21)</f>
        <v>M1_Table_M_leach_cp</v>
      </c>
      <c r="K36" s="8"/>
    </row>
    <row r="37" spans="1:17" ht="20.100000000000001" customHeight="1" x14ac:dyDescent="0.25">
      <c r="A37" s="5" t="str">
        <f>HYPERLINK("#'4.3.1.9 Soil direct N2O'!A1", "4.3.1.9 Soil direct N2O")</f>
        <v>4.3.1.9 Soil direct N2O</v>
      </c>
      <c r="C37" s="8"/>
      <c r="D37" s="119" t="str">
        <v>EF_leach</v>
      </c>
      <c r="E37" s="124" t="str">
        <v>emission factor for leaching and runoff</v>
      </c>
      <c r="F37" s="132"/>
      <c r="G37" s="125"/>
      <c r="H37" s="119" t="str">
        <v>kg N2O-N/kg N</v>
      </c>
      <c r="I37" s="127" t="str">
        <v>Constant</v>
      </c>
      <c r="J37" s="119">
        <f>'Constants - Common'!$E$170</f>
        <v>1.0999999999999999E-2</v>
      </c>
      <c r="K37" s="8"/>
    </row>
    <row r="38" spans="1:17" ht="20.100000000000001" customHeight="1" x14ac:dyDescent="0.25">
      <c r="A38" s="5" t="str">
        <f>HYPERLINK("#'4.3.1.10-11 Soil Atmos Dep'!A1", "4.3.1.10-11 Soil Atmos Deposition")</f>
        <v>4.3.1.10-11 Soil Atmos Deposition</v>
      </c>
      <c r="C38" s="8"/>
      <c r="D38" s="119" t="str">
        <v>C_N2O</v>
      </c>
      <c r="E38" s="124" t="str">
        <v>factor to convert elemental mass of nitrous oxide to molecular mass</v>
      </c>
      <c r="F38" s="132"/>
      <c r="G38" s="125"/>
      <c r="H38" s="119" t="str">
        <v>dimensionless</v>
      </c>
      <c r="I38" s="127" t="str">
        <v>Constant</v>
      </c>
      <c r="J38" s="119">
        <f>Common_InputFunctions.Utility_LookupValueInTableNumber("N2O",Table_GasToMolecularConversionFactor[Gas],Table_GasToMolecularConversionFactor[Conversion factor combined])</f>
        <v>1.5714285714285714</v>
      </c>
      <c r="K38" s="8"/>
    </row>
    <row r="39" spans="1:17" ht="20.100000000000001" customHeight="1" x14ac:dyDescent="0.25">
      <c r="A39" s="5" t="str">
        <f>HYPERLINK("#'4.3.1.12-13 Soil leach runoff'!A1", "4.3.1.12-13 Soil leach &amp; runoff")</f>
        <v>4.3.1.12-13 Soil leach &amp; runoff</v>
      </c>
      <c r="C39" s="8"/>
      <c r="D39" s="119" t="str">
        <v>c</v>
      </c>
      <c r="E39" s="124" t="str">
        <v>Crop residue type</v>
      </c>
      <c r="F39" s="132"/>
      <c r="G39" s="125"/>
      <c r="H39" s="119" t="str">
        <v/>
      </c>
      <c r="I39" s="120" t="str">
        <v>Input</v>
      </c>
      <c r="J39" s="119" t="s">
        <v>277</v>
      </c>
      <c r="K39" s="8"/>
    </row>
    <row r="40" spans="1:17" ht="20.100000000000001" customHeight="1" x14ac:dyDescent="0.25">
      <c r="A40" s="5" t="str">
        <f>HYPERLINK("#'5.1.1.1-2 Inorganic fert N2O'!A1", "5.1.1.1-2 Inorganic fert N2O")</f>
        <v>5.1.1.1-2 Inorganic fert N2O</v>
      </c>
      <c r="C40" s="8"/>
      <c r="D40" s="119" t="str">
        <v>p</v>
      </c>
      <c r="E40" s="124" t="str">
        <v>Pasture residue type</v>
      </c>
      <c r="F40" s="132"/>
      <c r="G40" s="125"/>
      <c r="H40" s="119" t="str">
        <v/>
      </c>
      <c r="I40" s="120" t="str">
        <v>Input</v>
      </c>
      <c r="J40" s="119" t="str">
        <f>X_Cell_Pasture_PastureType</f>
        <v>Grass clover mixture</v>
      </c>
      <c r="K40" s="8"/>
    </row>
    <row r="41" spans="1:17" ht="20.100000000000001" customHeight="1" x14ac:dyDescent="0.25">
      <c r="A41" s="5" t="str">
        <f>HYPERLINK("#'5.1.1.3-4 Inorganic fert CO2'!A1", "5.1.1.3-4 Inorganic fert CO2")</f>
        <v>5.1.1.3-4 Inorganic fert CO2</v>
      </c>
      <c r="C41" s="8"/>
      <c r="D41" s="8"/>
      <c r="E41" s="8"/>
      <c r="F41" s="8"/>
      <c r="G41" s="8"/>
      <c r="H41" s="8"/>
      <c r="I41" s="8"/>
      <c r="J41" s="8"/>
      <c r="K41" s="8"/>
    </row>
    <row r="42" spans="1:17" ht="20.100000000000001" customHeight="1" x14ac:dyDescent="0.25">
      <c r="A42" s="5" t="str">
        <f>HYPERLINK("#'5.2.1.1-2 Organic Fert N2O'!A1", "5.2.1.1-2 Organic fert N2O")</f>
        <v>5.2.1.1-2 Organic fert N2O</v>
      </c>
      <c r="C42" s="8"/>
      <c r="D42" s="121" t="s">
        <v>761</v>
      </c>
      <c r="E42" s="8"/>
      <c r="F42" s="8"/>
      <c r="G42" s="8"/>
      <c r="H42" s="8"/>
      <c r="I42" s="8"/>
      <c r="J42" s="8"/>
      <c r="K42" s="8"/>
      <c r="N42" s="121" t="s">
        <v>761</v>
      </c>
      <c r="O42" s="8"/>
      <c r="P42" s="8"/>
      <c r="Q42" s="8"/>
    </row>
    <row r="43" spans="1:17" ht="20.100000000000001" customHeight="1" x14ac:dyDescent="0.25">
      <c r="A43" s="5" t="str">
        <f>HYPERLINK("#'5.3.1.1-2 Lime CO2'!A1", "5.3.1.1-2 Lime CO2")</f>
        <v>5.3.1.1-2 Lime CO2</v>
      </c>
      <c r="C43" s="8"/>
      <c r="D43" s="122" t="s">
        <v>1157</v>
      </c>
      <c r="E43" s="8"/>
      <c r="F43" s="8"/>
      <c r="G43" s="8"/>
      <c r="H43" s="8"/>
      <c r="I43" s="8"/>
      <c r="J43" s="8"/>
      <c r="K43" s="8"/>
      <c r="N43" s="122" t="s">
        <v>1157</v>
      </c>
      <c r="O43" s="8"/>
      <c r="P43" s="8"/>
      <c r="Q43" s="8"/>
    </row>
    <row r="44" spans="1:17" ht="20.100000000000001" customHeight="1" x14ac:dyDescent="0.25">
      <c r="A44" s="5" t="str">
        <f>HYPERLINK("#'5.4.1.1-4 Atmos deposition'!A1", "5.4.1.1-4 Atmos. deposition")</f>
        <v>5.4.1.1-4 Atmos. deposition</v>
      </c>
      <c r="C44" s="8"/>
      <c r="D44" s="123" t="s">
        <v>1156</v>
      </c>
      <c r="E44" s="123" t="s">
        <v>1158</v>
      </c>
      <c r="F44" s="8"/>
      <c r="G44" s="8"/>
      <c r="H44" s="8"/>
      <c r="I44" s="8"/>
      <c r="J44" s="8"/>
      <c r="K44" s="8"/>
      <c r="N44" s="123" t="s">
        <v>1156</v>
      </c>
      <c r="O44" s="123" t="s">
        <v>1158</v>
      </c>
      <c r="P44" s="8"/>
      <c r="Q44" s="8"/>
    </row>
    <row r="45" spans="1:17" ht="20.100000000000001" customHeight="1" x14ac:dyDescent="0.25">
      <c r="A45" s="5" t="str">
        <f>HYPERLINK("#'5.5.1.1-2 Leaching and runoff'!A1", "5.5.1.1-2 Leaching &amp; runoff")</f>
        <v>5.5.1.1-2 Leaching &amp; runoff</v>
      </c>
      <c r="C45" s="8"/>
      <c r="D45" s="15" t="str">
        <f>I24</f>
        <v>N/A</v>
      </c>
      <c r="E45" s="15" t="s">
        <v>277</v>
      </c>
      <c r="F45" s="8"/>
      <c r="G45" s="8"/>
      <c r="H45" s="8"/>
      <c r="I45" s="8"/>
      <c r="J45" s="8"/>
      <c r="K45" s="8"/>
      <c r="N45" s="15" t="str">
        <f>S24</f>
        <v>N/A</v>
      </c>
      <c r="O45" s="15" t="s">
        <v>277</v>
      </c>
      <c r="P45" s="8"/>
      <c r="Q45" s="8"/>
    </row>
    <row r="46" spans="1:17" ht="20.100000000000001" customHeight="1" x14ac:dyDescent="0.25">
      <c r="A46" s="5" t="str">
        <f>HYPERLINK("#'6.2.1.1-2 Pasture residue N2O'!A1", "6.2.1.1-2 Pasture residue N2O")</f>
        <v>6.2.1.1-2 Pasture residue N2O</v>
      </c>
      <c r="C46" s="8"/>
      <c r="D46" s="15">
        <f>I25</f>
        <v>1.7814239999999999E-2</v>
      </c>
      <c r="E46" s="15" cm="1">
        <f t="array" ref="E46">AgResidue_Equations_Leaching.VEERG_6_3_1_1__1__LeachingAndRunoffEmissionsCropAndPastureResidue(D46,$J$37,$J$38)</f>
        <v>3.0793186285714277E-7</v>
      </c>
      <c r="F46" s="8"/>
      <c r="G46" s="8"/>
      <c r="H46" s="8"/>
      <c r="I46" s="8"/>
      <c r="J46" s="8"/>
      <c r="K46" s="8"/>
      <c r="N46" s="15">
        <f>S25</f>
        <v>1.7814239999999999E-2</v>
      </c>
      <c r="O46" s="15" cm="1">
        <f t="array" ref="O46">AgResidue_Equations_Leaching.VEERG_6_3_1_1__1__LeachingAndRunoffEmissionsCropAndPastureResidue(N46,$J$37,$J$38)</f>
        <v>3.0793186285714277E-7</v>
      </c>
      <c r="P46" s="8"/>
      <c r="Q46" s="8"/>
    </row>
    <row r="47" spans="1:17" ht="20.100000000000001" customHeight="1" x14ac:dyDescent="0.25">
      <c r="A47" s="118" t="str">
        <f>HYPERLINK("#'6.3.1.1-2 Leach runoff pasture'!A1", "6.3.1.1-2 Leach &amp; runoff (pasture)")</f>
        <v>6.3.1.1-2 Leach &amp; runoff (pasture)</v>
      </c>
      <c r="C47" s="8"/>
      <c r="F47" s="8"/>
      <c r="G47" s="8"/>
      <c r="H47" s="8"/>
      <c r="I47" s="8"/>
      <c r="J47" s="8"/>
      <c r="K47" s="8"/>
      <c r="P47" s="8"/>
      <c r="Q47" s="8"/>
    </row>
    <row r="48" spans="1:17" ht="20.100000000000001" customHeight="1" x14ac:dyDescent="0.4">
      <c r="A48" s="5" t="str">
        <f>HYPERLINK("#'8.1.1.1-2 Transport fuel'!A1", "8.1.1.1-2 Transport fuel")</f>
        <v>8.1.1.1-2 Transport fuel</v>
      </c>
      <c r="C48" s="8"/>
      <c r="D48" s="256" t="s">
        <v>1159</v>
      </c>
      <c r="E48" s="257">
        <f>SUM(E45:E46)</f>
        <v>3.0793186285714277E-7</v>
      </c>
      <c r="F48" s="89" t="str">
        <f>$E$34</f>
        <v>t N2O</v>
      </c>
      <c r="G48" s="8"/>
      <c r="H48" s="8"/>
      <c r="I48" s="8"/>
      <c r="J48" s="8"/>
      <c r="K48" s="8"/>
      <c r="N48" s="256" t="s">
        <v>1159</v>
      </c>
      <c r="O48" s="257">
        <f>SUM(O45:O46)</f>
        <v>3.0793186285714277E-7</v>
      </c>
      <c r="P48" s="89" t="str">
        <f>$E$34</f>
        <v>t N2O</v>
      </c>
      <c r="Q48" s="8"/>
    </row>
    <row r="49" spans="1:17" ht="20.100000000000001" customHeight="1" x14ac:dyDescent="0.25">
      <c r="A49" s="5" t="str">
        <f>HYPERLINK("#'8.2.1.1-2 Stationary fuel'!A1", "8.2.1.1-2 Stationary fuel")</f>
        <v>8.2.1.1-2 Stationary fuel</v>
      </c>
      <c r="D49" s="8"/>
      <c r="E49" s="8"/>
      <c r="F49" s="8"/>
      <c r="G49" s="8"/>
      <c r="N49" s="8"/>
      <c r="O49" s="8"/>
      <c r="P49" s="8"/>
      <c r="Q49" s="8"/>
    </row>
    <row r="50" spans="1:17" ht="20.100000000000001" customHeight="1" x14ac:dyDescent="0.25">
      <c r="A50" s="5" t="str">
        <f>HYPERLINK("#'9.1.1.1-2 Refrigerant use'!A1", "9.1.1.1-2 Refrigerant use")</f>
        <v>9.1.1.1-2 Refrigerant use</v>
      </c>
      <c r="D50" s="131" t="str" cm="1">
        <f t="array" ref="D50:E51">Common_Equations.Common_ConvertN2OToCO2e_Arguments()</f>
        <v>EN2O</v>
      </c>
      <c r="E50" s="134" t="str">
        <v>Nitrous oxide emissions (t N2O)</v>
      </c>
      <c r="F50" s="135"/>
      <c r="G50" s="15">
        <f>VEERG_6_3_1_1__1__LeachingAndRunoffEmissionsCropAndPastureResidue_PastureOnly_Result_Method1</f>
        <v>3.0793186285714277E-7</v>
      </c>
      <c r="N50" s="131" t="str" cm="1">
        <f t="array" ref="N50:O51">Common_Equations.Common_ConvertN2OToCO2e_Arguments()</f>
        <v>EN2O</v>
      </c>
      <c r="O50" s="134" t="str">
        <v>Nitrous oxide emissions (t N2O)</v>
      </c>
      <c r="P50" s="135"/>
      <c r="Q50" s="15">
        <f>VEERG_6_3_1_1__1__LeachingAndRunoffEmissionsCropAndPastureResidue_PastureOnly_Result_Method2</f>
        <v>3.0793186285714277E-7</v>
      </c>
    </row>
    <row r="51" spans="1:17" ht="20.100000000000001" customHeight="1" x14ac:dyDescent="0.25">
      <c r="A51" s="5" t="str">
        <f>HYPERLINK("#'10.1.1-2 Solid waste treatment'!A1", "10.1.1.1-2 Solid waste")</f>
        <v>10.1.1.1-2 Solid waste</v>
      </c>
      <c r="D51" s="131" t="str">
        <v>GWPN2O</v>
      </c>
      <c r="E51" s="134" t="str">
        <v>Global warming potential for nitrous oxide (t CO2-e / t N2O)</v>
      </c>
      <c r="F51" s="135"/>
      <c r="G51" s="15">
        <f>Common_InputFunctions.Utility_LookupValueInTableNumber("N2O",Table_GWPData[Gas],Table_GWPData[CO2-e factor])</f>
        <v>265</v>
      </c>
      <c r="H51" s="8"/>
      <c r="I51" s="8"/>
      <c r="N51" s="131" t="str">
        <v>GWPN2O</v>
      </c>
      <c r="O51" s="134" t="str">
        <v>Global warming potential for nitrous oxide (t CO2-e / t N2O)</v>
      </c>
      <c r="P51" s="135"/>
      <c r="Q51" s="15">
        <f>Common_InputFunctions.Utility_LookupValueInTableNumber("N2O",Table_GWPData[Gas],Table_GWPData[CO2-e factor])</f>
        <v>265</v>
      </c>
    </row>
    <row r="52" spans="1:17" ht="20.100000000000001" customHeight="1" x14ac:dyDescent="0.25">
      <c r="A52" s="5" t="str">
        <f>HYPERLINK("#'14.1.1-2 Purchased electricity'!A1", "14.1.1-2 Purchased electricity")</f>
        <v>14.1.1-2 Purchased electricity</v>
      </c>
      <c r="H52" s="8"/>
      <c r="I52" s="8"/>
    </row>
    <row r="53" spans="1:17" ht="20.100000000000001" customHeight="1" x14ac:dyDescent="0.25">
      <c r="A53" s="5" t="str">
        <f>HYPERLINK("#'15 Scope 3'!A1", "15 Scope 3")</f>
        <v>15 Scope 3</v>
      </c>
      <c r="D53" s="88" t="s">
        <v>532</v>
      </c>
      <c r="E53" s="88" cm="1">
        <f t="array" ref="E53">Common_Equations.Common_ConvertN2OToCO2e(G50,G51)</f>
        <v>8.1601943657142831E-5</v>
      </c>
      <c r="F53" s="93" t="str" cm="1">
        <f t="array" ref="F53">Common_Equations.Common_ConvertN2OToCO2e_Unit()</f>
        <v>t CO2e</v>
      </c>
      <c r="I53" s="8"/>
      <c r="N53" s="88" t="s">
        <v>532</v>
      </c>
      <c r="O53" s="88" cm="1">
        <f t="array" ref="O53">Common_Equations.Common_ConvertN2OToCO2e(Q50,Q51)</f>
        <v>8.1601943657142831E-5</v>
      </c>
      <c r="P53" s="93" t="str" cm="1">
        <f t="array" ref="P53">Common_Equations.Common_ConvertN2OToCO2e_Unit()</f>
        <v>t CO2e</v>
      </c>
    </row>
    <row r="54" spans="1:17" ht="20.100000000000001" customHeight="1" x14ac:dyDescent="0.25">
      <c r="A54" s="5" t="str">
        <f>HYPERLINK("#'Calcs - Manure sent off-site'!A1", "Calcs - Manure sent off-site")</f>
        <v>Calcs - Manure sent off-site</v>
      </c>
      <c r="I54" s="8"/>
    </row>
    <row r="55" spans="1:17" ht="20.100000000000001" customHeight="1" x14ac:dyDescent="0.25"/>
    <row r="56" spans="1:17" ht="20.100000000000001" customHeight="1" x14ac:dyDescent="0.25"/>
    <row r="57" spans="1:17" ht="20.100000000000001" customHeight="1" x14ac:dyDescent="0.25">
      <c r="A57" s="82" t="s">
        <v>1</v>
      </c>
    </row>
    <row r="58" spans="1:17" ht="20.100000000000001" customHeight="1" x14ac:dyDescent="0.25">
      <c r="A58" s="5" t="str">
        <f>HYPERLINK("#'Constants - Dairy'!A1", "Constants - Dairy")</f>
        <v>Constants - Dairy</v>
      </c>
    </row>
    <row r="59" spans="1:17" ht="20.100000000000001" customHeight="1" x14ac:dyDescent="0.25">
      <c r="A59" s="5" t="str">
        <f>HYPERLINK("#'Constants - Ag Residue'!A1", "Constants - Ag residue")</f>
        <v>Constants - Ag residue</v>
      </c>
    </row>
    <row r="60" spans="1:17" ht="20.100000000000001" customHeight="1" x14ac:dyDescent="0.25">
      <c r="A60" s="5" t="str">
        <f>HYPERLINK("#'Constants - Common Livestock'!A1", "Constants - Common Livestock")</f>
        <v>Constants - Common Livestock</v>
      </c>
      <c r="H60" s="8"/>
      <c r="I60" s="8"/>
    </row>
    <row r="61" spans="1:17" ht="20.100000000000001" customHeight="1" x14ac:dyDescent="0.25">
      <c r="A61" s="5" t="str">
        <f>HYPERLINK("#'Constants - Electricity'!A1", "Constants - Electricity")</f>
        <v>Constants - Electricity</v>
      </c>
      <c r="H61" s="8"/>
      <c r="I61" s="8"/>
    </row>
    <row r="62" spans="1:17" ht="20.100000000000001" customHeight="1" x14ac:dyDescent="0.25">
      <c r="A62" s="5" t="str">
        <f>HYPERLINK("#'Constants - Fertiliser'!A1", "Constants - Fertiliser")</f>
        <v>Constants - Fertiliser</v>
      </c>
    </row>
    <row r="63" spans="1:17" ht="20.100000000000001" customHeight="1" x14ac:dyDescent="0.25">
      <c r="A63" s="5" t="str">
        <f>HYPERLINK("#'Constants - Fuel'!A1", "Constants - Fuel")</f>
        <v>Constants - Fuel</v>
      </c>
    </row>
    <row r="64" spans="1:17" ht="20.100000000000001" customHeight="1" x14ac:dyDescent="0.25">
      <c r="A64" s="5" t="str">
        <f>HYPERLINK("#'Constants - Scope 3'!A1", "Constants - Scope 3")</f>
        <v>Constants - Scope 3</v>
      </c>
    </row>
    <row r="65" spans="1:1" ht="20.100000000000001" customHeight="1" x14ac:dyDescent="0.25">
      <c r="A65" s="5" t="str">
        <f>HYPERLINK("#'Constants - Common'!A1", "Constants - Common")</f>
        <v>Constants - Common</v>
      </c>
    </row>
    <row r="66" spans="1:1" ht="20.100000000000001" customHeight="1" x14ac:dyDescent="0.25">
      <c r="A66" s="5" t="str">
        <f>HYPERLINK("#'Constants - Refrigerants'!A1", "Constants - Refrigerants")</f>
        <v>Constants - Refrigerants</v>
      </c>
    </row>
    <row r="67" spans="1:1" ht="20.100000000000001" customHeight="1" x14ac:dyDescent="0.25">
      <c r="A67" s="5" t="str">
        <f>HYPERLINK("#'Constants - Solid Waste'!A1", "Constants - Solid Waste")</f>
        <v>Constants - Solid Waste</v>
      </c>
    </row>
    <row r="68" spans="1:1" ht="20.100000000000001" customHeight="1" x14ac:dyDescent="0.25">
      <c r="A68" s="5" t="str">
        <f>HYPERLINK("#'Acknowledgements'!A1", "Acknowledgements")</f>
        <v>Acknowledgements</v>
      </c>
    </row>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F3FB1-9467-4737-B01D-4F61ED282771}">
  <sheetPr>
    <tabColor rgb="FF008000"/>
  </sheetPr>
  <dimension ref="A1:R342"/>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20" customFormat="1" ht="30" customHeight="1" x14ac:dyDescent="0.35">
      <c r="A1" s="10" t="e" vm="1">
        <v>#VALUE!</v>
      </c>
      <c r="C1" s="20" t="s">
        <v>928</v>
      </c>
    </row>
    <row r="2" spans="1:18" s="3" customFormat="1" ht="20.100000000000001" customHeight="1" x14ac:dyDescent="0.25">
      <c r="A2"/>
    </row>
    <row r="3" spans="1:18" ht="20.100000000000001" customHeight="1" x14ac:dyDescent="0.25">
      <c r="A3" s="5" t="str">
        <f>HYPERLINK("#'Home'!A1", "Home")</f>
        <v>Home</v>
      </c>
      <c r="C3" s="22"/>
      <c r="D3" s="22" t="s">
        <v>129</v>
      </c>
      <c r="E3" s="22"/>
      <c r="F3" s="22"/>
      <c r="G3" s="22"/>
      <c r="H3" s="22"/>
      <c r="I3" s="22"/>
      <c r="J3" s="22"/>
      <c r="K3" s="22"/>
      <c r="L3" s="22"/>
      <c r="M3" s="22"/>
      <c r="N3" s="22"/>
      <c r="O3" s="22"/>
      <c r="P3" s="22"/>
      <c r="Q3" s="22"/>
      <c r="R3" s="22"/>
    </row>
    <row r="4" spans="1:18" ht="20.100000000000001" customHeight="1" x14ac:dyDescent="0.25">
      <c r="A4" s="5" t="str">
        <f>HYPERLINK("#'Results - Activity period'!A1", "Results - Activity period")</f>
        <v>Results - Activity period</v>
      </c>
    </row>
    <row r="5" spans="1:18" ht="20.100000000000001" customHeight="1" x14ac:dyDescent="0.25">
      <c r="A5" s="5" t="str">
        <f>HYPERLINK("#'Results - Product EI'!A1", "Results - Product Emissions Intensity")</f>
        <v>Results - Product Emissions Intensity</v>
      </c>
      <c r="D5" s="2" t="str" cm="1">
        <f t="array" ref="D5">Fuel_Equations.VEERG_8_1_1_1__1_FuelCombustionTransport_Title()</f>
        <v>Emissions for each GHG from the combustion of fuels for transport energy purposes</v>
      </c>
      <c r="K5" s="2" t="str" cm="1">
        <f t="array" ref="K5">Scope3_Equations.VEERG_15_11_1_1__2_UpstreamTransportFuelEmissions_Title()</f>
        <v>Upstream emissions from scope 1 fuel use for transport purposes</v>
      </c>
      <c r="O5" s="184"/>
      <c r="P5" s="184"/>
      <c r="Q5" s="184"/>
    </row>
    <row r="6" spans="1:18" ht="20.100000000000001" customHeight="1" x14ac:dyDescent="0.25">
      <c r="A6" s="5" t="str">
        <f>HYPERLINK("#'Results'!A1", "Results")</f>
        <v>Results</v>
      </c>
      <c r="D6" s="17" t="str" cm="1">
        <f t="array" ref="D6">Fuel_Equations.VEERG_8_1_1_1__1_FuelCombustionTransport_Source()</f>
        <v>VEERG 2026: 8.1.1.1, Equation (1)</v>
      </c>
      <c r="K6" s="17" t="str" cm="1">
        <f t="array" ref="K6">Scope3_Equations.VEERG_15_11_1_1__2_UpstreamTransportFuelEmissions_Source()</f>
        <v>VEERG 2026: 15.11.1.1, Equation (2)</v>
      </c>
      <c r="O6" s="184"/>
      <c r="P6" s="184"/>
      <c r="Q6" s="184"/>
    </row>
    <row r="7" spans="1:18" ht="20.100000000000001" customHeight="1" x14ac:dyDescent="0.25">
      <c r="D7" s="117" t="s">
        <v>382</v>
      </c>
      <c r="E7" s="117" t="str" cm="1">
        <f t="array" aca="1" ref="E7" ca="1">Common_InputFunctions.Utility_DisplayFunctionName(N25)</f>
        <v>=Fuel_Equations.VEERG_8_1_1_1__1_FuelCombustionTransport</v>
      </c>
      <c r="K7" s="117" t="s">
        <v>382</v>
      </c>
      <c r="L7" s="117" t="str" cm="1">
        <f t="array" aca="1" ref="L7" ca="1">Common_InputFunctions.Utility_DisplayFunctionName(Q25)</f>
        <v>=Scope3_Equations.VEERG_15_11_1_1__2_UpstreamTransportFuelEmissions</v>
      </c>
      <c r="O7" s="184"/>
      <c r="P7" s="184"/>
      <c r="Q7" s="184"/>
    </row>
    <row r="8" spans="1:18" ht="20.100000000000001" customHeight="1" x14ac:dyDescent="0.25">
      <c r="E8" s="117"/>
      <c r="L8" s="117"/>
      <c r="O8" s="184"/>
      <c r="P8" s="184"/>
      <c r="Q8" s="184"/>
    </row>
    <row r="9" spans="1:18" ht="20.100000000000001" customHeight="1" x14ac:dyDescent="0.25">
      <c r="A9" s="7" t="s">
        <v>0</v>
      </c>
      <c r="G9" s="17"/>
      <c r="O9" s="184"/>
      <c r="P9" s="184"/>
      <c r="Q9" s="184"/>
    </row>
    <row r="10" spans="1:18" ht="20.100000000000001" customHeight="1" x14ac:dyDescent="0.25">
      <c r="A10" s="5" t="str">
        <f>HYPERLINK("#'Input - Enterprise'!A1", "Enterprise")</f>
        <v>Enterprise</v>
      </c>
      <c r="O10" s="184"/>
      <c r="P10" s="184"/>
      <c r="Q10" s="184"/>
    </row>
    <row r="11" spans="1:18" ht="20.100000000000001" customHeight="1" x14ac:dyDescent="0.25">
      <c r="A11" s="5" t="str">
        <f>HYPERLINK("#'Input - Site'!A1", "Site")</f>
        <v>Site</v>
      </c>
      <c r="D11" s="76" t="s">
        <v>383</v>
      </c>
      <c r="E11" s="1" t="str" cm="1">
        <f t="array" ref="E11">Fuel_Equations.VEERG_8_1_1_1__1_FuelCombustionTransport_Variable()</f>
        <v>E_g</v>
      </c>
      <c r="K11" s="76" t="s">
        <v>383</v>
      </c>
      <c r="L11" s="1" t="str" cm="1">
        <f t="array" ref="L11">Scope3_Equations.VEERG_15_11_1_1__2_UpstreamTransportFuelEmissions_Variable()</f>
        <v>E_WTTtransq</v>
      </c>
      <c r="O11" s="184"/>
      <c r="P11" s="184"/>
      <c r="Q11" s="184"/>
    </row>
    <row r="12" spans="1:18" ht="20.100000000000001" customHeight="1" x14ac:dyDescent="0.25">
      <c r="A12" s="5" t="str">
        <f>HYPERLINK("#'Input - Dairy'!A1", "Dairy")</f>
        <v>Dairy</v>
      </c>
      <c r="D12" s="76" t="s">
        <v>118</v>
      </c>
      <c r="E12" s="9" t="str" cm="1">
        <f t="array" ref="E12">Fuel_Equations.VEERG_8_1_1_1__1_FuelCombustionTransport_Unit()</f>
        <v>t CO2-e</v>
      </c>
      <c r="K12" s="76" t="s">
        <v>118</v>
      </c>
      <c r="L12" s="9" t="str" cm="1">
        <f t="array" ref="L12">Scope3_Equations.VEERG_15_11_1_1__2_UpstreamTransportFuelEmissions_Unit()</f>
        <v>t CO2e</v>
      </c>
    </row>
    <row r="13" spans="1:18" ht="20.100000000000001" customHeight="1" x14ac:dyDescent="0.25">
      <c r="A13" s="5" t="str">
        <f>HYPERLINK("#'Input - Livestock sales'!A1", "Livestock sales")</f>
        <v>Livestock sales</v>
      </c>
    </row>
    <row r="14" spans="1:18" ht="20.100000000000001" customHeight="1" x14ac:dyDescent="0.25">
      <c r="A14" s="5" t="str">
        <f>HYPERLINK("#'Input - Dairy cattle purchases'!A1", "Dairy cattle purchases")</f>
        <v>Dairy cattle purchases</v>
      </c>
      <c r="D14" s="119" t="str" cm="1">
        <f t="array" ref="D14:E20">_xlfn.CHOOSECOLS(Fuel_Equations.VEERG_8_1_1_1__1_FuelCombustionTransport_Arguments(), 1,2)</f>
        <v>Q_Transtq</v>
      </c>
      <c r="E14" s="124" t="str">
        <v>Amount of fuel type q combusted for transport energy purposes</v>
      </c>
      <c r="F14" s="125"/>
      <c r="G14" s="119" t="str" cm="1">
        <f t="array" ref="G14:H20">_xlfn.CHOOSECOLS(Fuel_Equations.VEERG_8_1_1_1__1_FuelCombustionTransport_Arguments(), 3,4)</f>
        <v>Varies based on fuel type: kL, m3, GJ</v>
      </c>
      <c r="H14" s="120" t="str">
        <v>Input</v>
      </c>
      <c r="I14" s="126" t="str" cm="1">
        <f t="array" aca="1" ref="I14" ca="1">HYPERLINK(Common_InputFunctions.Utility_SourceHyperlink($D$22), $D$22)</f>
        <v>Table_E_g</v>
      </c>
      <c r="K14" s="119" t="str" cm="1">
        <f t="array" ref="K14:L16">_xlfn.CHOOSECOLS(Scope3_Equations.VEERG_15_11_1_1__2_UpstreamTransportFuelEmissions_Arguments(),1,2)</f>
        <v>Q_Transq</v>
      </c>
      <c r="L14" s="119" t="str">
        <v>amount of fuel q combusted for transport energy purposes</v>
      </c>
      <c r="M14" s="119"/>
      <c r="N14" s="119" t="str" cm="1">
        <f t="array" ref="N14:O16">_xlfn.CHOOSECOLS(Scope3_Equations.VEERG_15_11_1_1__2_UpstreamTransportFuelEmissions_Arguments(),3,4)</f>
        <v>kL</v>
      </c>
      <c r="O14" s="120" t="str">
        <v>Input</v>
      </c>
      <c r="P14" s="126" t="str" cm="1">
        <f t="array" aca="1" ref="P14" ca="1">HYPERLINK(Common_InputFunctions.Utility_SourceHyperlink($D$22), $D$22)</f>
        <v>Table_E_g</v>
      </c>
      <c r="Q14" s="184"/>
    </row>
    <row r="15" spans="1:18" ht="20.100000000000001" customHeight="1" x14ac:dyDescent="0.25">
      <c r="A15" s="5" t="str">
        <f>HYPERLINK("#'Input - Pasture'!A1", "Pasture")</f>
        <v>Pasture</v>
      </c>
      <c r="D15" s="119" t="str">
        <v>EC_Transq</v>
      </c>
      <c r="E15" s="124" t="str">
        <v>Energy content factor for transport energy purposes</v>
      </c>
      <c r="F15" s="125"/>
      <c r="G15" s="119" t="str">
        <v>GJ / unit of fuel</v>
      </c>
      <c r="H15" s="127" t="str">
        <v>Constant</v>
      </c>
      <c r="I15" s="126" t="str" cm="1">
        <f t="array" aca="1" ref="I15" ca="1">HYPERLINK(Common_InputFunctions.Utility_SourceHyperlink($D$22), $D$22)</f>
        <v>Table_E_g</v>
      </c>
      <c r="K15" s="119" t="str">
        <v>EC_Transq</v>
      </c>
      <c r="L15" s="119" t="str">
        <v>energy content factor for transport energy purposes</v>
      </c>
      <c r="M15" s="119"/>
      <c r="N15" s="119" t="str">
        <v>GJ/kL or GJ/m3</v>
      </c>
      <c r="O15" s="127" t="str">
        <v>Constant</v>
      </c>
      <c r="P15" s="126" t="str" cm="1">
        <f t="array" aca="1" ref="P15" ca="1">HYPERLINK(Common_InputFunctions.Utility_SourceHyperlink($D$22), $D$22)</f>
        <v>Table_E_g</v>
      </c>
      <c r="Q15" s="184"/>
    </row>
    <row r="16" spans="1:18" ht="20.100000000000001" customHeight="1" x14ac:dyDescent="0.25">
      <c r="A16" s="5" t="str">
        <f>HYPERLINK("#'Input - Fert Prod System'!A1", "Fert Prod System")</f>
        <v>Fert Prod System</v>
      </c>
      <c r="D16" s="119" t="str">
        <v>EF_Trans1tqg</v>
      </c>
      <c r="E16" s="124" t="str">
        <v>Scope 1 emission factor for transport energy purposes for each greenhouse gas</v>
      </c>
      <c r="F16" s="125"/>
      <c r="G16" s="119" t="str">
        <v>kg CO2e / GJ</v>
      </c>
      <c r="H16" s="127" t="str">
        <v>Constant</v>
      </c>
      <c r="I16" s="126" t="str" cm="1">
        <f t="array" aca="1" ref="I16" ca="1">HYPERLINK(Common_InputFunctions.Utility_SourceHyperlink($D$22), $D$22)</f>
        <v>Table_E_g</v>
      </c>
      <c r="K16" s="119" t="str">
        <v>EF_Trans3q</v>
      </c>
      <c r="L16" s="119" t="str">
        <v>scope 3 emission factor for transport energy purposes</v>
      </c>
      <c r="M16" s="119"/>
      <c r="N16" s="119" t="str">
        <v>kg CO2e/GJ</v>
      </c>
      <c r="O16" s="127" t="str">
        <v>Constant</v>
      </c>
      <c r="P16" s="126" t="str" cm="1">
        <f t="array" aca="1" ref="P16" ca="1">HYPERLINK(Common_InputFunctions.Utility_SourceHyperlink($D$22), $D$22)</f>
        <v>Table_E_g</v>
      </c>
      <c r="Q16" s="184"/>
    </row>
    <row r="17" spans="1:17" ht="20.100000000000001" customHeight="1" x14ac:dyDescent="0.25">
      <c r="A17" s="5" t="str">
        <f>HYPERLINK("#'Input - Fertiliser'!A1", "Fertiliser")</f>
        <v>Fertiliser</v>
      </c>
      <c r="D17" s="119" t="str">
        <v>q</v>
      </c>
      <c r="E17" s="124" t="str">
        <v>Fuel type</v>
      </c>
      <c r="F17" s="125"/>
      <c r="G17" s="119" t="str">
        <v/>
      </c>
      <c r="H17" s="127" t="str">
        <v>Constant</v>
      </c>
      <c r="I17" s="126"/>
      <c r="J17" s="184"/>
      <c r="P17" s="184"/>
      <c r="Q17" s="184"/>
    </row>
    <row r="18" spans="1:17" ht="20.100000000000001" customHeight="1" x14ac:dyDescent="0.25">
      <c r="A18" s="5" t="str">
        <f>HYPERLINK("#'Input - Fuel'!A1", "Fuel")</f>
        <v>Fuel</v>
      </c>
      <c r="D18" s="119" t="str">
        <v>Trans</v>
      </c>
      <c r="E18" s="124" t="str">
        <v>Transport combustion</v>
      </c>
      <c r="F18" s="125"/>
      <c r="G18" s="119" t="str">
        <v/>
      </c>
      <c r="H18" s="127" t="str">
        <v>Constant</v>
      </c>
      <c r="I18" s="126"/>
      <c r="J18" s="184"/>
      <c r="L18" s="184"/>
      <c r="M18" s="184"/>
      <c r="N18" s="184"/>
      <c r="O18" s="184"/>
      <c r="P18" s="184"/>
      <c r="Q18" s="184"/>
    </row>
    <row r="19" spans="1:17" ht="20.100000000000001" customHeight="1" x14ac:dyDescent="0.25">
      <c r="A19" s="5" t="str">
        <f>HYPERLINK("#'Input - Electricity'!A1", "Electricity")</f>
        <v>Electricity</v>
      </c>
      <c r="D19" s="119" t="str">
        <v>g</v>
      </c>
      <c r="E19" s="124" t="str">
        <v>Greenhouse gas</v>
      </c>
      <c r="F19" s="125"/>
      <c r="G19" s="119" t="str">
        <v/>
      </c>
      <c r="H19" s="127" t="str">
        <v>Constant</v>
      </c>
      <c r="I19" s="126"/>
      <c r="J19" s="184"/>
      <c r="L19" s="184"/>
      <c r="M19" s="184"/>
      <c r="N19" s="184"/>
      <c r="O19" s="184"/>
      <c r="P19" s="184"/>
      <c r="Q19" s="184"/>
    </row>
    <row r="20" spans="1:17" ht="20.100000000000001" customHeight="1" x14ac:dyDescent="0.25">
      <c r="A20" s="5" t="str">
        <f>HYPERLINK("#'Input - Common farm inputs'!A1", "Common farm inputs")</f>
        <v>Common farm inputs</v>
      </c>
      <c r="D20" s="119" t="str">
        <v>1</v>
      </c>
      <c r="E20" s="124" t="str">
        <v>Scope 1</v>
      </c>
      <c r="F20" s="125"/>
      <c r="G20" s="119" t="str">
        <v/>
      </c>
      <c r="H20" s="127" t="str">
        <v>Constant</v>
      </c>
      <c r="I20" s="126"/>
      <c r="J20" s="184"/>
      <c r="L20" s="184"/>
      <c r="M20" s="184"/>
      <c r="N20" s="184"/>
      <c r="O20" s="184"/>
      <c r="P20" s="184"/>
      <c r="Q20" s="184"/>
    </row>
    <row r="21" spans="1:17" ht="20.100000000000001" customHeight="1" x14ac:dyDescent="0.25">
      <c r="A21" s="5" t="str">
        <f>HYPERLINK("#'Input - Crop pasture farm input'!A1", "Crop pasture farm input")</f>
        <v>Crop pasture farm input</v>
      </c>
      <c r="O21" s="184"/>
      <c r="P21" s="184"/>
      <c r="Q21" s="184"/>
    </row>
    <row r="22" spans="1:17" ht="20.100000000000001" customHeight="1" x14ac:dyDescent="0.25">
      <c r="A22" s="5" t="str">
        <f>HYPERLINK("#'Input - Livestock farm Inputs'!A1", "Livestock farm Inputs")</f>
        <v>Livestock farm Inputs</v>
      </c>
      <c r="D22" s="121" t="s">
        <v>929</v>
      </c>
    </row>
    <row r="23" spans="1:17" ht="20.100000000000001" customHeight="1" x14ac:dyDescent="0.25">
      <c r="A23" s="5" t="str">
        <f>HYPERLINK("#'Input - Freight'!A1", "Freight")</f>
        <v>Freight</v>
      </c>
      <c r="D23" s="122" t="s">
        <v>930</v>
      </c>
    </row>
    <row r="24" spans="1:17" ht="20.100000000000001" customHeight="1" x14ac:dyDescent="0.25">
      <c r="A24" s="5" t="str">
        <f>HYPERLINK("#'Input - Solid waste'!A1", "Solid waste")</f>
        <v>Solid waste</v>
      </c>
      <c r="D24" s="123" t="s">
        <v>931</v>
      </c>
      <c r="E24" s="123" t="s">
        <v>932</v>
      </c>
      <c r="F24" s="123" t="s">
        <v>933</v>
      </c>
      <c r="G24" s="123" t="s">
        <v>934</v>
      </c>
      <c r="H24" s="123" t="s">
        <v>935</v>
      </c>
      <c r="I24" s="123" t="s">
        <v>936</v>
      </c>
      <c r="J24" s="123" t="s">
        <v>937</v>
      </c>
      <c r="K24" s="123" t="s">
        <v>938</v>
      </c>
      <c r="L24" s="81" t="s">
        <v>939</v>
      </c>
      <c r="M24" s="123" t="s">
        <v>940</v>
      </c>
      <c r="N24" s="123" t="s">
        <v>941</v>
      </c>
      <c r="O24" s="123" t="s">
        <v>942</v>
      </c>
      <c r="P24" s="123" t="s">
        <v>943</v>
      </c>
      <c r="Q24" s="123" t="s">
        <v>944</v>
      </c>
    </row>
    <row r="25" spans="1:17" ht="20.100000000000001" customHeight="1" x14ac:dyDescent="0.25">
      <c r="A25" s="5" t="str">
        <f>HYPERLINK("#'Input - Manure sent off-site'!A1", "Manure sent off-site")</f>
        <v>Manure sent off-site</v>
      </c>
      <c r="D25" s="24" t="str">
        <f>Table_FuelTypesPerUse[[#Headers],[Cars and light commercial vehicles]]</f>
        <v>Cars and light commercial vehicles</v>
      </c>
      <c r="E25" s="207" t="str">
        <f>'Constants - Fuel'!$E$10</f>
        <v>Gasoline</v>
      </c>
      <c r="F25" s="207" t="str">
        <f>'Constants - Fuel'!G131</f>
        <v>Petrol</v>
      </c>
      <c r="G25" s="15" cm="1">
        <f t="array" ref="G25">IFERROR(_xlfn.XLOOKUP(1, (Table_Fuel_EFs_Transport[Fuel combusted]=$E25)*(Table_Fuel_EFs_Transport[Transport type]=$D$25), Table_Fuel_EFs_Transport[Energy Content Factor (GJ per unit of fuel)]), 0)</f>
        <v>34.200000000000003</v>
      </c>
      <c r="H25" s="15" cm="1">
        <f t="array" ref="H25">IFERROR(_xlfn.XLOOKUP(1, (Table_Fuel_EFs_Transport[Fuel combusted]=$E25)*(Table_Fuel_EFs_Transport[Transport type]=$D$25), Table_Fuel_EFs_Transport[Scope 1 Emission Factor (kg CO2 - e / GJ) CO2]), 0)</f>
        <v>67.400000000000006</v>
      </c>
      <c r="I25" s="15" cm="1">
        <f t="array" ref="I25">IFERROR(_xlfn.XLOOKUP(1, (Table_Fuel_EFs_Transport[Fuel combusted]=$E25)*(Table_Fuel_EFs_Transport[Transport type]=$D$25), Table_Fuel_EFs_Transport[Scope 1 Emission Factor (kg CO2 - e / GJ) CH4]), 0)</f>
        <v>0.02</v>
      </c>
      <c r="J25" s="15" cm="1">
        <f t="array" ref="J25">IFERROR(_xlfn.XLOOKUP(1, (Table_Fuel_EFs_Transport[Fuel combusted]=$E25)*(Table_Fuel_EFs_Transport[Transport type]=$D$25), Table_Fuel_EFs_Transport[Scope 1 Emission Factor (kg CO2 - e / GJ) N2O]), 0)</f>
        <v>0.2</v>
      </c>
      <c r="K25" s="15" cm="1">
        <f t="array" ref="K25">IFERROR(_xlfn.XLOOKUP(1, (Table_Fuel_EFs_Transport[Fuel combusted]=$E25)*(Table_Fuel_EFs_Transport[Transport type]=$D$25), Table_Fuel_EFs_Transport[Scope 3 Emission Factor (kg CO2 - e / GJ)]), 0)</f>
        <v>17.2</v>
      </c>
      <c r="L25" s="187" cm="1">
        <f t="array" ref="L25">Fuel_InputFunctions.Fuel_TotalConsumption(Table_Input_Fuel[Amount consumed], Table_Input_Fuel[Fuel use (select)], D25, Table_Input_Fuel[Fuel type (select)],F25)</f>
        <v>0</v>
      </c>
      <c r="M25" s="187" t="str" cm="1">
        <f t="array" ref="M25">Common_InputFunctions.Utility_LookupValueInTable(F25,Table_FuelTypes_Units[Fuel type],Table_FuelTypes_Units[Unit])</f>
        <v>kL</v>
      </c>
      <c r="N25" s="208" cm="1">
        <f t="array" ref="N25">Fuel_Equations.VEERG_8_1_1_1__1_FuelCombustionTransport($L25,$G25,$H25)</f>
        <v>0</v>
      </c>
      <c r="O25" s="208" cm="1">
        <f t="array" ref="O25">Fuel_Equations.VEERG_8_1_1_1__1_FuelCombustionTransport($L25,$G25,$I25)</f>
        <v>0</v>
      </c>
      <c r="P25" s="208" cm="1">
        <f t="array" ref="P25">Fuel_Equations.VEERG_8_1_1_1__1_FuelCombustionTransport($L25,$G25,$J25)</f>
        <v>0</v>
      </c>
      <c r="Q25" s="208" cm="1">
        <f t="array" ref="Q25">Scope3_Equations.VEERG_15_11_1_1__2_UpstreamTransportFuelEmissions(L25,G25,K25)</f>
        <v>0</v>
      </c>
    </row>
    <row r="26" spans="1:17" ht="20.100000000000001" customHeight="1" x14ac:dyDescent="0.25">
      <c r="A26" s="5" t="str">
        <f>HYPERLINK("#'Input - Refrigerants'!A1", "Refrigerants")</f>
        <v>Refrigerants</v>
      </c>
      <c r="D26" s="209" t="str">
        <f t="shared" ref="D26:D32" si="0">$D$25</f>
        <v>Cars and light commercial vehicles</v>
      </c>
      <c r="E26" s="207" t="str">
        <f>'Constants - Fuel'!$E$11</f>
        <v>Diesel oil</v>
      </c>
      <c r="F26" s="207" t="str">
        <f>'Constants - Fuel'!G132</f>
        <v>Diesel</v>
      </c>
      <c r="G26" s="15" cm="1">
        <f t="array" ref="G26">IFERROR(_xlfn.XLOOKUP(1, (Table_Fuel_EFs_Transport[Fuel combusted]=$E26)*(Table_Fuel_EFs_Transport[Transport type]=$D$25), Table_Fuel_EFs_Transport[Energy Content Factor (GJ per unit of fuel)]), 0)</f>
        <v>38.6</v>
      </c>
      <c r="H26" s="15" cm="1">
        <f t="array" ref="H26">IFERROR(_xlfn.XLOOKUP(1, (Table_Fuel_EFs_Transport[Fuel combusted]=$E26)*(Table_Fuel_EFs_Transport[Transport type]=$D$25), Table_Fuel_EFs_Transport[Scope 1 Emission Factor (kg CO2 - e / GJ) CO2]), 0)</f>
        <v>69.900000000000006</v>
      </c>
      <c r="I26" s="15" cm="1">
        <f t="array" ref="I26">IFERROR(_xlfn.XLOOKUP(1, (Table_Fuel_EFs_Transport[Fuel combusted]=$E26)*(Table_Fuel_EFs_Transport[Transport type]=$D$25), Table_Fuel_EFs_Transport[Scope 1 Emission Factor (kg CO2 - e / GJ) CH4]), 0)</f>
        <v>0.01</v>
      </c>
      <c r="J26" s="15" cm="1">
        <f t="array" ref="J26">IFERROR(_xlfn.XLOOKUP(1, (Table_Fuel_EFs_Transport[Fuel combusted]=$E26)*(Table_Fuel_EFs_Transport[Transport type]=$D$25), Table_Fuel_EFs_Transport[Scope 1 Emission Factor (kg CO2 - e / GJ) N2O]), 0)</f>
        <v>0.5</v>
      </c>
      <c r="K26" s="15" cm="1">
        <f t="array" ref="K26">IFERROR(_xlfn.XLOOKUP(1, (Table_Fuel_EFs_Transport[Fuel combusted]=$E26)*(Table_Fuel_EFs_Transport[Transport type]=$D$25), Table_Fuel_EFs_Transport[Scope 3 Emission Factor (kg CO2 - e / GJ)]), 0)</f>
        <v>17.3</v>
      </c>
      <c r="L26" s="187" cm="1">
        <f t="array" ref="L26">Fuel_InputFunctions.Fuel_TotalConsumption(Table_Input_Fuel[Amount consumed], Table_Input_Fuel[Fuel use (select)], D26, Table_Input_Fuel[Fuel type (select)],F26)</f>
        <v>10</v>
      </c>
      <c r="M26" s="187" t="str" cm="1">
        <f t="array" ref="M26">Common_InputFunctions.Utility_LookupValueInTable(F26,Table_FuelTypes_Units[Fuel type],Table_FuelTypes_Units[Unit])</f>
        <v>kL</v>
      </c>
      <c r="N26" s="208" cm="1">
        <f t="array" ref="N26">Fuel_Equations.VEERG_8_1_1_1__1_FuelCombustionTransport($L26,$G26,$H26)</f>
        <v>26.981400000000001</v>
      </c>
      <c r="O26" s="208" cm="1">
        <f t="array" ref="O26">Fuel_Equations.VEERG_8_1_1_1__1_FuelCombustionTransport($L26,$G26,$I26)</f>
        <v>3.8600000000000001E-3</v>
      </c>
      <c r="P26" s="208" cm="1">
        <f t="array" ref="P26">Fuel_Equations.VEERG_8_1_1_1__1_FuelCombustionTransport($L26,$G26,$J26)</f>
        <v>0.193</v>
      </c>
      <c r="Q26" s="208" cm="1">
        <f t="array" ref="Q26">Scope3_Equations.VEERG_15_11_1_1__2_UpstreamTransportFuelEmissions(L26,G26,K26)</f>
        <v>6.6778000000000004</v>
      </c>
    </row>
    <row r="27" spans="1:17" ht="20.100000000000001" customHeight="1" x14ac:dyDescent="0.25">
      <c r="A27" s="5" t="str">
        <f>HYPERLINK("#'Input - Data quality'!A1", "Data quality")</f>
        <v>Data quality</v>
      </c>
      <c r="D27" s="209" t="str">
        <f t="shared" si="0"/>
        <v>Cars and light commercial vehicles</v>
      </c>
      <c r="E27" s="207" t="str">
        <f>'Constants - Fuel'!$E$12</f>
        <v>Liquefied petroleum gas (LPG)</v>
      </c>
      <c r="F27" s="207" t="str">
        <f>'Constants - Fuel'!G133</f>
        <v>Liquefied petroleum gas (LPG)</v>
      </c>
      <c r="G27" s="15" cm="1">
        <f t="array" ref="G27">IFERROR(_xlfn.XLOOKUP(1, (Table_Fuel_EFs_Transport[Fuel combusted]=$E27)*(Table_Fuel_EFs_Transport[Transport type]=$D$25), Table_Fuel_EFs_Transport[Energy Content Factor (GJ per unit of fuel)]), 0)</f>
        <v>26.2</v>
      </c>
      <c r="H27" s="15" cm="1">
        <f t="array" ref="H27">IFERROR(_xlfn.XLOOKUP(1, (Table_Fuel_EFs_Transport[Fuel combusted]=$E27)*(Table_Fuel_EFs_Transport[Transport type]=$D$25), Table_Fuel_EFs_Transport[Scope 1 Emission Factor (kg CO2 - e / GJ) CO2]), 0)</f>
        <v>60.2</v>
      </c>
      <c r="I27" s="15" cm="1">
        <f t="array" ref="I27">IFERROR(_xlfn.XLOOKUP(1, (Table_Fuel_EFs_Transport[Fuel combusted]=$E27)*(Table_Fuel_EFs_Transport[Transport type]=$D$25), Table_Fuel_EFs_Transport[Scope 1 Emission Factor (kg CO2 - e / GJ) CH4]), 0)</f>
        <v>0.5</v>
      </c>
      <c r="J27" s="15" cm="1">
        <f t="array" ref="J27">IFERROR(_xlfn.XLOOKUP(1, (Table_Fuel_EFs_Transport[Fuel combusted]=$E27)*(Table_Fuel_EFs_Transport[Transport type]=$D$25), Table_Fuel_EFs_Transport[Scope 1 Emission Factor (kg CO2 - e / GJ) N2O]), 0)</f>
        <v>0.3</v>
      </c>
      <c r="K27" s="15" cm="1">
        <f t="array" ref="K27">IFERROR(_xlfn.XLOOKUP(1, (Table_Fuel_EFs_Transport[Fuel combusted]=$E27)*(Table_Fuel_EFs_Transport[Transport type]=$D$25), Table_Fuel_EFs_Transport[Scope 3 Emission Factor (kg CO2 - e / GJ)]), 0)</f>
        <v>20.2</v>
      </c>
      <c r="L27" s="187" cm="1">
        <f t="array" ref="L27">Fuel_InputFunctions.Fuel_TotalConsumption(Table_Input_Fuel[Amount consumed], Table_Input_Fuel[Fuel use (select)], D27, Table_Input_Fuel[Fuel type (select)],F27)</f>
        <v>0</v>
      </c>
      <c r="M27" s="187" t="str" cm="1">
        <f t="array" ref="M27">Common_InputFunctions.Utility_LookupValueInTable(F27,Table_FuelTypes_Units[Fuel type],Table_FuelTypes_Units[Unit])</f>
        <v>kL</v>
      </c>
      <c r="N27" s="208" cm="1">
        <f t="array" ref="N27">Fuel_Equations.VEERG_8_1_1_1__1_FuelCombustionTransport($L27,$G27,$H27)</f>
        <v>0</v>
      </c>
      <c r="O27" s="208" cm="1">
        <f t="array" ref="O27">Fuel_Equations.VEERG_8_1_1_1__1_FuelCombustionTransport($L27,$G27,$I27)</f>
        <v>0</v>
      </c>
      <c r="P27" s="208" cm="1">
        <f t="array" ref="P27">Fuel_Equations.VEERG_8_1_1_1__1_FuelCombustionTransport($L27,$G27,$J27)</f>
        <v>0</v>
      </c>
      <c r="Q27" s="208" cm="1">
        <f t="array" ref="Q27">Scope3_Equations.VEERG_15_11_1_1__2_UpstreamTransportFuelEmissions(L27,G27,K27)</f>
        <v>0</v>
      </c>
    </row>
    <row r="28" spans="1:17" ht="20.100000000000001" customHeight="1" x14ac:dyDescent="0.25">
      <c r="D28" s="209" t="str">
        <f t="shared" si="0"/>
        <v>Cars and light commercial vehicles</v>
      </c>
      <c r="E28" s="207" t="str">
        <f>'Constants - Fuel'!$E$13</f>
        <v>Fuel oil</v>
      </c>
      <c r="F28" s="207" t="str">
        <f>'Constants - Fuel'!G134</f>
        <v>Fuel oil</v>
      </c>
      <c r="G28" s="15" cm="1">
        <f t="array" ref="G28">IFERROR(_xlfn.XLOOKUP(1, (Table_Fuel_EFs_Transport[Fuel combusted]=$E28)*(Table_Fuel_EFs_Transport[Transport type]=$D$25), Table_Fuel_EFs_Transport[Energy Content Factor (GJ per unit of fuel)]), 0)</f>
        <v>39.700000000000003</v>
      </c>
      <c r="H28" s="15" cm="1">
        <f t="array" ref="H28">IFERROR(_xlfn.XLOOKUP(1, (Table_Fuel_EFs_Transport[Fuel combusted]=$E28)*(Table_Fuel_EFs_Transport[Transport type]=$D$25), Table_Fuel_EFs_Transport[Scope 1 Emission Factor (kg CO2 - e / GJ) CO2]), 0)</f>
        <v>73.599999999999994</v>
      </c>
      <c r="I28" s="15" cm="1">
        <f t="array" ref="I28">IFERROR(_xlfn.XLOOKUP(1, (Table_Fuel_EFs_Transport[Fuel combusted]=$E28)*(Table_Fuel_EFs_Transport[Transport type]=$D$25), Table_Fuel_EFs_Transport[Scope 1 Emission Factor (kg CO2 - e / GJ) CH4]), 0)</f>
        <v>0.08</v>
      </c>
      <c r="J28" s="15" cm="1">
        <f t="array" ref="J28">IFERROR(_xlfn.XLOOKUP(1, (Table_Fuel_EFs_Transport[Fuel combusted]=$E28)*(Table_Fuel_EFs_Transport[Transport type]=$D$25), Table_Fuel_EFs_Transport[Scope 1 Emission Factor (kg CO2 - e / GJ) N2O]), 0)</f>
        <v>0.5</v>
      </c>
      <c r="K28" s="15" cm="1">
        <f t="array" ref="K28">IFERROR(_xlfn.XLOOKUP(1, (Table_Fuel_EFs_Transport[Fuel combusted]=$E28)*(Table_Fuel_EFs_Transport[Transport type]=$D$25), Table_Fuel_EFs_Transport[Scope 3 Emission Factor (kg CO2 - e / GJ)]), 0)</f>
        <v>18</v>
      </c>
      <c r="L28" s="187" cm="1">
        <f t="array" ref="L28">Fuel_InputFunctions.Fuel_TotalConsumption(Table_Input_Fuel[Amount consumed], Table_Input_Fuel[Fuel use (select)], D28, Table_Input_Fuel[Fuel type (select)],F28)</f>
        <v>0</v>
      </c>
      <c r="M28" s="187" t="str" cm="1">
        <f t="array" ref="M28">Common_InputFunctions.Utility_LookupValueInTable(F28,Table_FuelTypes_Units[Fuel type],Table_FuelTypes_Units[Unit])</f>
        <v>kL</v>
      </c>
      <c r="N28" s="208" cm="1">
        <f t="array" ref="N28">Fuel_Equations.VEERG_8_1_1_1__1_FuelCombustionTransport($L28,$G28,$H28)</f>
        <v>0</v>
      </c>
      <c r="O28" s="208" cm="1">
        <f t="array" ref="O28">Fuel_Equations.VEERG_8_1_1_1__1_FuelCombustionTransport($L28,$G28,$I28)</f>
        <v>0</v>
      </c>
      <c r="P28" s="208" cm="1">
        <f t="array" ref="P28">Fuel_Equations.VEERG_8_1_1_1__1_FuelCombustionTransport($L28,$G28,$J28)</f>
        <v>0</v>
      </c>
      <c r="Q28" s="208" cm="1">
        <f t="array" ref="Q28">Scope3_Equations.VEERG_15_11_1_1__2_UpstreamTransportFuelEmissions(L28,G28,K28)</f>
        <v>0</v>
      </c>
    </row>
    <row r="29" spans="1:17" ht="20.100000000000001" customHeight="1" x14ac:dyDescent="0.25">
      <c r="D29" s="209" t="str">
        <f t="shared" si="0"/>
        <v>Cars and light commercial vehicles</v>
      </c>
      <c r="E29" s="207" t="str">
        <f>'Constants - Fuel'!$E$14</f>
        <v>Ethanol</v>
      </c>
      <c r="F29" s="207" t="str">
        <f>'Constants - Fuel'!G135</f>
        <v>Ethanol</v>
      </c>
      <c r="G29" s="15" cm="1">
        <f t="array" ref="G29">IFERROR(_xlfn.XLOOKUP(1, (Table_Fuel_EFs_Transport[Fuel combusted]=$E29)*(Table_Fuel_EFs_Transport[Transport type]=$D$25), Table_Fuel_EFs_Transport[Energy Content Factor (GJ per unit of fuel)]), 0)</f>
        <v>23.4</v>
      </c>
      <c r="H29" s="15" cm="1">
        <f t="array" ref="H29">IFERROR(_xlfn.XLOOKUP(1, (Table_Fuel_EFs_Transport[Fuel combusted]=$E29)*(Table_Fuel_EFs_Transport[Transport type]=$D$25), Table_Fuel_EFs_Transport[Scope 1 Emission Factor (kg CO2 - e / GJ) CO2]), 0)</f>
        <v>0</v>
      </c>
      <c r="I29" s="15" cm="1">
        <f t="array" ref="I29">IFERROR(_xlfn.XLOOKUP(1, (Table_Fuel_EFs_Transport[Fuel combusted]=$E29)*(Table_Fuel_EFs_Transport[Transport type]=$D$25), Table_Fuel_EFs_Transport[Scope 1 Emission Factor (kg CO2 - e / GJ) CH4]), 0)</f>
        <v>0.2</v>
      </c>
      <c r="J29" s="15" cm="1">
        <f t="array" ref="J29">IFERROR(_xlfn.XLOOKUP(1, (Table_Fuel_EFs_Transport[Fuel combusted]=$E29)*(Table_Fuel_EFs_Transport[Transport type]=$D$25), Table_Fuel_EFs_Transport[Scope 1 Emission Factor (kg CO2 - e / GJ) N2O]), 0)</f>
        <v>0.2</v>
      </c>
      <c r="K29" s="15" t="str" cm="1">
        <f t="array" ref="K29">IFERROR(_xlfn.XLOOKUP(1, (Table_Fuel_EFs_Transport[Fuel combusted]=$E29)*(Table_Fuel_EFs_Transport[Transport type]=$D$25), Table_Fuel_EFs_Transport[Scope 3 Emission Factor (kg CO2 - e / GJ)]), 0)</f>
        <v>NE</v>
      </c>
      <c r="L29" s="187" cm="1">
        <f t="array" ref="L29">Fuel_InputFunctions.Fuel_TotalConsumption(Table_Input_Fuel[Amount consumed], Table_Input_Fuel[Fuel use (select)], D29, Table_Input_Fuel[Fuel type (select)],F29)</f>
        <v>0</v>
      </c>
      <c r="M29" s="187" t="str" cm="1">
        <f t="array" ref="M29">Common_InputFunctions.Utility_LookupValueInTable(F29,Table_FuelTypes_Units[Fuel type],Table_FuelTypes_Units[Unit])</f>
        <v>kL</v>
      </c>
      <c r="N29" s="208" cm="1">
        <f t="array" ref="N29">Fuel_Equations.VEERG_8_1_1_1__1_FuelCombustionTransport($L29,$G29,$H29)</f>
        <v>0</v>
      </c>
      <c r="O29" s="208" cm="1">
        <f t="array" ref="O29">Fuel_Equations.VEERG_8_1_1_1__1_FuelCombustionTransport($L29,$G29,$I29)</f>
        <v>0</v>
      </c>
      <c r="P29" s="208" cm="1">
        <f t="array" ref="P29">Fuel_Equations.VEERG_8_1_1_1__1_FuelCombustionTransport($L29,$G29,$J29)</f>
        <v>0</v>
      </c>
      <c r="Q29" s="208" cm="1">
        <f t="array" ref="Q29">Scope3_Equations.VEERG_15_11_1_1__2_UpstreamTransportFuelEmissions(L29,G29,IF(ISNUMBER(K29),K29,0))</f>
        <v>0</v>
      </c>
    </row>
    <row r="30" spans="1:17" ht="20.100000000000001" customHeight="1" x14ac:dyDescent="0.25">
      <c r="A30" s="6" t="s">
        <v>2</v>
      </c>
      <c r="D30" s="209" t="str">
        <f t="shared" si="0"/>
        <v>Cars and light commercial vehicles</v>
      </c>
      <c r="E30" s="207" t="str">
        <f>'Constants - Fuel'!$E$15</f>
        <v>Biodiesel</v>
      </c>
      <c r="F30" s="207" t="str">
        <f>'Constants - Fuel'!G136</f>
        <v>Biodiesel</v>
      </c>
      <c r="G30" s="15" cm="1">
        <f t="array" ref="G30">IFERROR(_xlfn.XLOOKUP(1, (Table_Fuel_EFs_Transport[Fuel combusted]=$E30)*(Table_Fuel_EFs_Transport[Transport type]=$D$25), Table_Fuel_EFs_Transport[Energy Content Factor (GJ per unit of fuel)]), 0)</f>
        <v>34.6</v>
      </c>
      <c r="H30" s="15" cm="1">
        <f t="array" ref="H30">IFERROR(_xlfn.XLOOKUP(1, (Table_Fuel_EFs_Transport[Fuel combusted]=$E30)*(Table_Fuel_EFs_Transport[Transport type]=$D$25), Table_Fuel_EFs_Transport[Scope 1 Emission Factor (kg CO2 - e / GJ) CO2]), 0)</f>
        <v>0</v>
      </c>
      <c r="I30" s="15" cm="1">
        <f t="array" ref="I30">IFERROR(_xlfn.XLOOKUP(1, (Table_Fuel_EFs_Transport[Fuel combusted]=$E30)*(Table_Fuel_EFs_Transport[Transport type]=$D$25), Table_Fuel_EFs_Transport[Scope 1 Emission Factor (kg CO2 - e / GJ) CH4]), 0)</f>
        <v>0.8</v>
      </c>
      <c r="J30" s="15" cm="1">
        <f t="array" ref="J30">IFERROR(_xlfn.XLOOKUP(1, (Table_Fuel_EFs_Transport[Fuel combusted]=$E30)*(Table_Fuel_EFs_Transport[Transport type]=$D$25), Table_Fuel_EFs_Transport[Scope 1 Emission Factor (kg CO2 - e / GJ) N2O]), 0)</f>
        <v>1.7</v>
      </c>
      <c r="K30" s="15" t="str" cm="1">
        <f t="array" ref="K30">IFERROR(_xlfn.XLOOKUP(1, (Table_Fuel_EFs_Transport[Fuel combusted]=$E30)*(Table_Fuel_EFs_Transport[Transport type]=$D$25), Table_Fuel_EFs_Transport[Scope 3 Emission Factor (kg CO2 - e / GJ)]), 0)</f>
        <v>NE</v>
      </c>
      <c r="L30" s="187" cm="1">
        <f t="array" ref="L30">Fuel_InputFunctions.Fuel_TotalConsumption(Table_Input_Fuel[Amount consumed], Table_Input_Fuel[Fuel use (select)], D30, Table_Input_Fuel[Fuel type (select)],F30)</f>
        <v>0</v>
      </c>
      <c r="M30" s="187" t="str" cm="1">
        <f t="array" ref="M30">Common_InputFunctions.Utility_LookupValueInTable(F30,Table_FuelTypes_Units[Fuel type],Table_FuelTypes_Units[Unit])</f>
        <v>kL</v>
      </c>
      <c r="N30" s="208" cm="1">
        <f t="array" ref="N30">Fuel_Equations.VEERG_8_1_1_1__1_FuelCombustionTransport($L30,$G30,$H30)</f>
        <v>0</v>
      </c>
      <c r="O30" s="208" cm="1">
        <f t="array" ref="O30">Fuel_Equations.VEERG_8_1_1_1__1_FuelCombustionTransport($L30,$G30,$I30)</f>
        <v>0</v>
      </c>
      <c r="P30" s="208" cm="1">
        <f t="array" ref="P30">Fuel_Equations.VEERG_8_1_1_1__1_FuelCombustionTransport($L30,$G30,$J30)</f>
        <v>0</v>
      </c>
      <c r="Q30" s="208" cm="1">
        <f t="array" ref="Q30">Scope3_Equations.VEERG_15_11_1_1__2_UpstreamTransportFuelEmissions(L30,G30,IF(ISNUMBER(K30),K30,0))</f>
        <v>0</v>
      </c>
    </row>
    <row r="31" spans="1:17" ht="20.100000000000001" customHeight="1" x14ac:dyDescent="0.25">
      <c r="A31" s="5" t="str">
        <f>HYPERLINK("#'3.3.1.1-2 Enteric Methane'!A1", "3.3.1.1-2 Enteric methane")</f>
        <v>3.3.1.1-2 Enteric methane</v>
      </c>
      <c r="D31" s="209" t="str">
        <f t="shared" si="0"/>
        <v>Cars and light commercial vehicles</v>
      </c>
      <c r="E31" s="207" t="str">
        <f>'Constants - Fuel'!$E$16</f>
        <v>Renewable diesel</v>
      </c>
      <c r="F31" s="207" t="str">
        <f>'Constants - Fuel'!G137</f>
        <v>Renewable diesel</v>
      </c>
      <c r="G31" s="15" cm="1">
        <f t="array" ref="G31">IFERROR(_xlfn.XLOOKUP(1, (Table_Fuel_EFs_Transport[Fuel combusted]=$E31)*(Table_Fuel_EFs_Transport[Transport type]=$D$25), Table_Fuel_EFs_Transport[Energy Content Factor (GJ per unit of fuel)]), 0)</f>
        <v>38.6</v>
      </c>
      <c r="H31" s="15" cm="1">
        <f t="array" ref="H31">IFERROR(_xlfn.XLOOKUP(1, (Table_Fuel_EFs_Transport[Fuel combusted]=$E31)*(Table_Fuel_EFs_Transport[Transport type]=$D$25), Table_Fuel_EFs_Transport[Scope 1 Emission Factor (kg CO2 - e / GJ) CO2]), 0)</f>
        <v>0</v>
      </c>
      <c r="I31" s="15" cm="1">
        <f t="array" ref="I31">IFERROR(_xlfn.XLOOKUP(1, (Table_Fuel_EFs_Transport[Fuel combusted]=$E31)*(Table_Fuel_EFs_Transport[Transport type]=$D$25), Table_Fuel_EFs_Transport[Scope 1 Emission Factor (kg CO2 - e / GJ) CH4]), 0)</f>
        <v>0.01</v>
      </c>
      <c r="J31" s="15" cm="1">
        <f t="array" ref="J31">IFERROR(_xlfn.XLOOKUP(1, (Table_Fuel_EFs_Transport[Fuel combusted]=$E31)*(Table_Fuel_EFs_Transport[Transport type]=$D$25), Table_Fuel_EFs_Transport[Scope 1 Emission Factor (kg CO2 - e / GJ) N2O]), 0)</f>
        <v>0.5</v>
      </c>
      <c r="K31" s="15" t="str" cm="1">
        <f t="array" ref="K31">IFERROR(_xlfn.XLOOKUP(1, (Table_Fuel_EFs_Transport[Fuel combusted]=$E31)*(Table_Fuel_EFs_Transport[Transport type]=$D$25), Table_Fuel_EFs_Transport[Scope 3 Emission Factor (kg CO2 - e / GJ)]), 0)</f>
        <v>NE</v>
      </c>
      <c r="L31" s="187" cm="1">
        <f t="array" ref="L31">Fuel_InputFunctions.Fuel_TotalConsumption(Table_Input_Fuel[Amount consumed], Table_Input_Fuel[Fuel use (select)], D31, Table_Input_Fuel[Fuel type (select)],F31)</f>
        <v>0</v>
      </c>
      <c r="M31" s="187" t="str" cm="1">
        <f t="array" ref="M31">Common_InputFunctions.Utility_LookupValueInTable(F31,Table_FuelTypes_Units[Fuel type],Table_FuelTypes_Units[Unit])</f>
        <v>kL</v>
      </c>
      <c r="N31" s="208" cm="1">
        <f t="array" ref="N31">Fuel_Equations.VEERG_8_1_1_1__1_FuelCombustionTransport($L31,$G31,$H31)</f>
        <v>0</v>
      </c>
      <c r="O31" s="208" cm="1">
        <f t="array" ref="O31">Fuel_Equations.VEERG_8_1_1_1__1_FuelCombustionTransport($L31,$G31,$I31)</f>
        <v>0</v>
      </c>
      <c r="P31" s="208" cm="1">
        <f t="array" ref="P31">Fuel_Equations.VEERG_8_1_1_1__1_FuelCombustionTransport($L31,$G31,$J31)</f>
        <v>0</v>
      </c>
      <c r="Q31" s="208" cm="1">
        <f t="array" ref="Q31">Scope3_Equations.VEERG_15_11_1_1__2_UpstreamTransportFuelEmissions(L31,G31,IF(ISNUMBER(K31),K31,0))</f>
        <v>0</v>
      </c>
    </row>
    <row r="32" spans="1:17" ht="20.100000000000001" customHeight="1" x14ac:dyDescent="0.25">
      <c r="A32" s="5" t="str">
        <f>HYPERLINK("#'4.3.1.1-2 Methane'!A1", "4.3.1.1-2 Manure methane")</f>
        <v>4.3.1.1-2 Manure methane</v>
      </c>
      <c r="D32" s="209" t="str">
        <f t="shared" si="0"/>
        <v>Cars and light commercial vehicles</v>
      </c>
      <c r="E32" s="207" t="str">
        <f>'Constants - Fuel'!$E$17</f>
        <v>Other biofuels</v>
      </c>
      <c r="F32" s="207" t="str">
        <f>'Constants - Fuel'!G138</f>
        <v>Other biofuels</v>
      </c>
      <c r="G32" s="15" cm="1">
        <f t="array" ref="G32">IFERROR(_xlfn.XLOOKUP(1, (Table_Fuel_EFs_Transport[Fuel combusted]=$E32)*(Table_Fuel_EFs_Transport[Transport type]=$D$25), Table_Fuel_EFs_Transport[Energy Content Factor (GJ per unit of fuel)]), 0)</f>
        <v>23.4</v>
      </c>
      <c r="H32" s="15" cm="1">
        <f t="array" ref="H32">IFERROR(_xlfn.XLOOKUP(1, (Table_Fuel_EFs_Transport[Fuel combusted]=$E32)*(Table_Fuel_EFs_Transport[Transport type]=$D$25), Table_Fuel_EFs_Transport[Scope 1 Emission Factor (kg CO2 - e / GJ) CO2]), 0)</f>
        <v>0</v>
      </c>
      <c r="I32" s="15" cm="1">
        <f t="array" ref="I32">IFERROR(_xlfn.XLOOKUP(1, (Table_Fuel_EFs_Transport[Fuel combusted]=$E32)*(Table_Fuel_EFs_Transport[Transport type]=$D$25), Table_Fuel_EFs_Transport[Scope 1 Emission Factor (kg CO2 - e / GJ) CH4]), 0)</f>
        <v>0.8</v>
      </c>
      <c r="J32" s="15" cm="1">
        <f t="array" ref="J32">IFERROR(_xlfn.XLOOKUP(1, (Table_Fuel_EFs_Transport[Fuel combusted]=$E32)*(Table_Fuel_EFs_Transport[Transport type]=$D$25), Table_Fuel_EFs_Transport[Scope 1 Emission Factor (kg CO2 - e / GJ) N2O]), 0)</f>
        <v>1.7</v>
      </c>
      <c r="K32" s="205" t="str" cm="1">
        <f t="array" ref="K32">IFERROR(_xlfn.XLOOKUP(1, (Table_Fuel_EFs_Transport[Fuel combusted]=$E32)*(Table_Fuel_EFs_Transport[Transport type]=$D$25), Table_Fuel_EFs_Transport[Scope 3 Emission Factor (kg CO2 - e / GJ)]), 0)</f>
        <v>NE</v>
      </c>
      <c r="L32" s="210" cm="1">
        <f t="array" ref="L32">Fuel_InputFunctions.Fuel_TotalConsumption(Table_Input_Fuel[Amount consumed], Table_Input_Fuel[Fuel use (select)], D32, Table_Input_Fuel[Fuel type (select)],F32)</f>
        <v>0</v>
      </c>
      <c r="M32" s="187" t="str" cm="1">
        <f t="array" ref="M32">Common_InputFunctions.Utility_LookupValueInTable(F32,Table_FuelTypes_Units[Fuel type],Table_FuelTypes_Units[Unit])</f>
        <v>kL</v>
      </c>
      <c r="N32" s="211" cm="1">
        <f t="array" ref="N32">Fuel_Equations.VEERG_8_1_1_1__1_FuelCombustionTransport($L32,$G32,$H32)</f>
        <v>0</v>
      </c>
      <c r="O32" s="211" cm="1">
        <f t="array" ref="O32">Fuel_Equations.VEERG_8_1_1_1__1_FuelCombustionTransport($L32,$G32,$I32)</f>
        <v>0</v>
      </c>
      <c r="P32" s="211" cm="1">
        <f t="array" ref="P32">Fuel_Equations.VEERG_8_1_1_1__1_FuelCombustionTransport($L32,$G32,$J32)</f>
        <v>0</v>
      </c>
      <c r="Q32" s="208" cm="1">
        <f t="array" ref="Q32">Scope3_Equations.VEERG_15_11_1_1__2_UpstreamTransportFuelEmissions(L32,G32,IF(ISNUMBER(K32),K32,0))</f>
        <v>0</v>
      </c>
    </row>
    <row r="33" spans="1:17" ht="20.100000000000001" customHeight="1" x14ac:dyDescent="0.25">
      <c r="A33" s="5" t="str">
        <f>HYPERLINK("#'4.3.1.3-4 Direct N20'!A1", "4.3.1.3-4 Direct N20")</f>
        <v>4.3.1.3-4 Direct N20</v>
      </c>
      <c r="D33" s="212" t="str">
        <f>Table_FuelTypesPerUse[[#Headers],[Off-road Agriculture and forestry equipment]]</f>
        <v>Off-road Agriculture and forestry equipment</v>
      </c>
      <c r="E33" s="213" t="str">
        <f>'Constants - Fuel'!$E$11</f>
        <v>Diesel oil</v>
      </c>
      <c r="F33" s="213" t="str">
        <f>'Constants - Fuel'!H131</f>
        <v>Diesel</v>
      </c>
      <c r="G33" s="214" cm="1">
        <f t="array" ref="G33">IFERROR(_xlfn.XLOOKUP(1, (Table_Fuel_EFs_Transport[Fuel combusted]=$E33)*(Table_Fuel_EFs_Transport[Transport type]=$D$33), Table_Fuel_EFs_Transport[Energy Content Factor (GJ per unit of fuel)]), 0)</f>
        <v>38.6</v>
      </c>
      <c r="H33" s="214" cm="1">
        <f t="array" ref="H33">IFERROR(_xlfn.XLOOKUP(1, (Table_Fuel_EFs_Transport[Fuel combusted]=$E33)*(Table_Fuel_EFs_Transport[Transport type]=$D$33), Table_Fuel_EFs_Transport[Scope 1 Emission Factor (kg CO2 - e / GJ) CO2]), 0)</f>
        <v>69.900000000000006</v>
      </c>
      <c r="I33" s="214" cm="1">
        <f t="array" ref="I33">IFERROR(_xlfn.XLOOKUP(1, (Table_Fuel_EFs_Transport[Fuel combusted]=$E33)*(Table_Fuel_EFs_Transport[Transport type]=$D$33), Table_Fuel_EFs_Transport[Scope 1 Emission Factor (kg CO2 - e / GJ) CH4]), 0)</f>
        <v>0.3</v>
      </c>
      <c r="J33" s="214" cm="1">
        <f t="array" ref="J33">IFERROR(_xlfn.XLOOKUP(1, (Table_Fuel_EFs_Transport[Fuel combusted]=$E33)*(Table_Fuel_EFs_Transport[Transport type]=$D$33), Table_Fuel_EFs_Transport[Scope 1 Emission Factor (kg CO2 - e / GJ) N2O]), 0)</f>
        <v>0.5</v>
      </c>
      <c r="K33" s="215" cm="1">
        <f t="array" ref="K33">IFERROR(_xlfn.XLOOKUP(1, (Table_Fuel_EFs_Transport[Fuel combusted]=$E33)*(Table_Fuel_EFs_Transport[Transport type]=$D$25), Table_Fuel_EFs_Transport[Scope 3 Emission Factor (kg CO2 - e / GJ)]), 0)</f>
        <v>17.3</v>
      </c>
      <c r="L33" s="216" cm="1">
        <f t="array" ref="L33">Fuel_InputFunctions.Fuel_TotalConsumption(Table_Input_Fuel[Amount consumed], Table_Input_Fuel[Fuel use (select)], D33, Table_Input_Fuel[Fuel type (select)],F33)</f>
        <v>10</v>
      </c>
      <c r="M33" s="217" t="str" cm="1">
        <f t="array" ref="M33">Common_InputFunctions.Utility_LookupValueInTable(F33,Table_FuelTypes_Units[Fuel type],Table_FuelTypes_Units[Unit])</f>
        <v>kL</v>
      </c>
      <c r="N33" s="218" cm="1">
        <f t="array" ref="N33">Fuel_Equations.VEERG_8_1_1_1__1_FuelCombustionTransport($L33,$G33,$H33)</f>
        <v>26.981400000000001</v>
      </c>
      <c r="O33" s="218" cm="1">
        <f t="array" ref="O33">Fuel_Equations.VEERG_8_1_1_1__1_FuelCombustionTransport($L33,$G33,$I33)</f>
        <v>0.1158</v>
      </c>
      <c r="P33" s="218" cm="1">
        <f t="array" ref="P33">Fuel_Equations.VEERG_8_1_1_1__1_FuelCombustionTransport($L33,$G33,$J33)</f>
        <v>0.193</v>
      </c>
      <c r="Q33" s="219" cm="1">
        <f t="array" ref="Q33">Scope3_Equations.VEERG_15_11_1_1__2_UpstreamTransportFuelEmissions(L33,G33,K33)</f>
        <v>6.6778000000000004</v>
      </c>
    </row>
    <row r="34" spans="1:17" ht="20.100000000000001" customHeight="1" x14ac:dyDescent="0.25">
      <c r="A34" s="5" t="str">
        <f>HYPERLINK("#'4.3.1.5 Atmos deposition'!A1", "4.3.1.5 Atmos deposition")</f>
        <v>4.3.1.5 Atmos deposition</v>
      </c>
      <c r="D34" s="212" t="str">
        <f>Table_FuelTypesPerUse[[#Headers],[Aviation]]</f>
        <v>Aviation</v>
      </c>
      <c r="E34" s="213" t="str">
        <f>'Constants - Fuel'!$E$28</f>
        <v>Gasoline for use as fuel in an aircraft</v>
      </c>
      <c r="F34" s="213" t="str">
        <f>'Constants - Fuel'!$F$131</f>
        <v>Avgas</v>
      </c>
      <c r="G34" s="220" cm="1">
        <f t="array" ref="G34">IFERROR(_xlfn.XLOOKUP(1, (Table_Fuel_EFs_Transport[Fuel combusted]=$E34)*(Table_Fuel_EFs_Transport[Transport type]=$D$34), Table_Fuel_EFs_Transport[Energy Content Factor (GJ per unit of fuel)]), 0)</f>
        <v>33.1</v>
      </c>
      <c r="H34" s="220" cm="1">
        <f t="array" ref="H34">IFERROR(_xlfn.XLOOKUP(1, (Table_Fuel_EFs_Transport[Fuel combusted]=$E34)*(Table_Fuel_EFs_Transport[Transport type]=$D$34), Table_Fuel_EFs_Transport[Scope 1 Emission Factor (kg CO2 - e / GJ) CO2]), 0)</f>
        <v>67</v>
      </c>
      <c r="I34" s="220" cm="1">
        <f t="array" ref="I34">IFERROR(_xlfn.XLOOKUP(1, (Table_Fuel_EFs_Transport[Fuel combusted]=$E34)*(Table_Fuel_EFs_Transport[Transport type]=$D$34), Table_Fuel_EFs_Transport[Scope 1 Emission Factor (kg CO2 - e / GJ) CH4]), 0)</f>
        <v>0.06</v>
      </c>
      <c r="J34" s="220" cm="1">
        <f t="array" ref="J34">IFERROR(_xlfn.XLOOKUP(1, (Table_Fuel_EFs_Transport[Fuel combusted]=$E34)*(Table_Fuel_EFs_Transport[Transport type]=$D$34), Table_Fuel_EFs_Transport[Scope 1 Emission Factor (kg CO2 - e / GJ) N2O]), 0)</f>
        <v>0.6</v>
      </c>
      <c r="K34" s="220" cm="1">
        <f t="array" ref="K34">IFERROR(_xlfn.XLOOKUP(1, (Table_Fuel_EFs_Transport[Fuel combusted]=$E34)*(Table_Fuel_EFs_Transport[Transport type]=$D$25), Table_Fuel_EFs_Transport[Scope 3 Emission Factor (kg CO2 - e / GJ)]), 0)</f>
        <v>0</v>
      </c>
      <c r="L34" s="217" cm="1">
        <f t="array" ref="L34">Fuel_InputFunctions.Fuel_TotalConsumption(Table_Input_Fuel[Amount consumed], Table_Input_Fuel[Fuel use (select)], D34, Table_Input_Fuel[Fuel type (select)],F34)</f>
        <v>0</v>
      </c>
      <c r="M34" s="217" t="str" cm="1">
        <f t="array" ref="M34">Common_InputFunctions.Utility_LookupValueInTable(F34,Table_FuelTypes_Units[Fuel type],Table_FuelTypes_Units[Unit])</f>
        <v>kL</v>
      </c>
      <c r="N34" s="218" cm="1">
        <f t="array" ref="N34">Fuel_Equations.VEERG_8_1_1_1__1_FuelCombustionTransport($L34,$G34,$H34)</f>
        <v>0</v>
      </c>
      <c r="O34" s="218" cm="1">
        <f t="array" ref="O34">Fuel_Equations.VEERG_8_1_1_1__1_FuelCombustionTransport($L34,$G34,$I34)</f>
        <v>0</v>
      </c>
      <c r="P34" s="218" cm="1">
        <f t="array" ref="P34">Fuel_Equations.VEERG_8_1_1_1__1_FuelCombustionTransport($L34,$G34,$J34)</f>
        <v>0</v>
      </c>
      <c r="Q34" s="218" cm="1">
        <f t="array" ref="Q34">Scope3_Equations.VEERG_15_11_1_1__2_UpstreamTransportFuelEmissions(L34,G34,K34)</f>
        <v>0</v>
      </c>
    </row>
    <row r="35" spans="1:17" ht="20.100000000000001" customHeight="1" x14ac:dyDescent="0.25">
      <c r="A35" s="5" t="str">
        <f>HYPERLINK("#'4.3.1.6-7 Leaching and runoff'!A1", "4.3.1.6-7 Leaching &amp; runoff")</f>
        <v>4.3.1.6-7 Leaching &amp; runoff</v>
      </c>
      <c r="D35" s="209" t="str">
        <f>$D$34</f>
        <v>Aviation</v>
      </c>
      <c r="E35" s="207" t="str">
        <f>'Constants - Fuel'!$E$29</f>
        <v>Kerosene for use as fuel in an aircraft</v>
      </c>
      <c r="F35" s="207" t="str">
        <f>'Constants - Fuel'!$F$132</f>
        <v>Jet A1, Jet B</v>
      </c>
      <c r="G35" s="15" cm="1">
        <f t="array" ref="G35">IFERROR(_xlfn.XLOOKUP(1, (Table_Fuel_EFs_Transport[Fuel combusted]=$E35)*(Table_Fuel_EFs_Transport[Transport type]=$D$34), Table_Fuel_EFs_Transport[Energy Content Factor (GJ per unit of fuel)]), 0)</f>
        <v>36.799999999999997</v>
      </c>
      <c r="H35" s="15" cm="1">
        <f t="array" ref="H35">IFERROR(_xlfn.XLOOKUP(1, (Table_Fuel_EFs_Transport[Fuel combusted]=$E35)*(Table_Fuel_EFs_Transport[Transport type]=$D$34), Table_Fuel_EFs_Transport[Scope 1 Emission Factor (kg CO2 - e / GJ) CO2]), 0)</f>
        <v>69.599999999999994</v>
      </c>
      <c r="I35" s="15" cm="1">
        <f t="array" ref="I35">IFERROR(_xlfn.XLOOKUP(1, (Table_Fuel_EFs_Transport[Fuel combusted]=$E35)*(Table_Fuel_EFs_Transport[Transport type]=$D$34), Table_Fuel_EFs_Transport[Scope 1 Emission Factor (kg CO2 - e / GJ) CH4]), 0)</f>
        <v>0.01</v>
      </c>
      <c r="J35" s="15" cm="1">
        <f t="array" ref="J35">IFERROR(_xlfn.XLOOKUP(1, (Table_Fuel_EFs_Transport[Fuel combusted]=$E35)*(Table_Fuel_EFs_Transport[Transport type]=$D$34), Table_Fuel_EFs_Transport[Scope 1 Emission Factor (kg CO2 - e / GJ) N2O]), 0)</f>
        <v>0.6</v>
      </c>
      <c r="K35" s="15" cm="1">
        <f t="array" ref="K35">IFERROR(_xlfn.XLOOKUP(1, (Table_Fuel_EFs_Transport[Fuel combusted]=$E35)*(Table_Fuel_EFs_Transport[Transport type]=$D$25), Table_Fuel_EFs_Transport[Scope 3 Emission Factor (kg CO2 - e / GJ)]), 0)</f>
        <v>0</v>
      </c>
      <c r="L35" s="187" cm="1">
        <f t="array" ref="L35">Fuel_InputFunctions.Fuel_TotalConsumption(Table_Input_Fuel[Amount consumed], Table_Input_Fuel[Fuel use (select)], D35, Table_Input_Fuel[Fuel type (select)],F35)</f>
        <v>0</v>
      </c>
      <c r="M35" s="187" t="str" cm="1">
        <f t="array" ref="M35">Common_InputFunctions.Utility_LookupValueInTable(F35,Table_FuelTypes_Units[Fuel type],Table_FuelTypes_Units[Unit])</f>
        <v>kL</v>
      </c>
      <c r="N35" s="208" cm="1">
        <f t="array" ref="N35">Fuel_Equations.VEERG_8_1_1_1__1_FuelCombustionTransport($L35,$G35,$H35)</f>
        <v>0</v>
      </c>
      <c r="O35" s="208" cm="1">
        <f t="array" ref="O35">Fuel_Equations.VEERG_8_1_1_1__1_FuelCombustionTransport($L35,$G35,$I35)</f>
        <v>0</v>
      </c>
      <c r="P35" s="208" cm="1">
        <f t="array" ref="P35">Fuel_Equations.VEERG_8_1_1_1__1_FuelCombustionTransport($L35,$G35,$J35)</f>
        <v>0</v>
      </c>
      <c r="Q35" s="208" cm="1">
        <f t="array" ref="Q35">Scope3_Equations.VEERG_15_11_1_1__2_UpstreamTransportFuelEmissions(L35,G35,K35)</f>
        <v>0</v>
      </c>
    </row>
    <row r="36" spans="1:17" ht="20.100000000000001" customHeight="1" x14ac:dyDescent="0.25">
      <c r="A36" s="5" t="str">
        <f>HYPERLINK("#'4.3.1.8 Manure applied to soils'!A1", "4.3.1.8 Manure applied to soils")</f>
        <v>4.3.1.8 Manure applied to soils</v>
      </c>
      <c r="D36" s="209" t="str">
        <f>$D$34</f>
        <v>Aviation</v>
      </c>
      <c r="E36" s="207" t="str">
        <f>'Constants - Fuel'!$E$30</f>
        <v>Renewable aviation kerosene</v>
      </c>
      <c r="F36" s="207" t="str">
        <f>'Constants - Fuel'!$F$133</f>
        <v>Renewable aviation kerosene</v>
      </c>
      <c r="G36" s="205" cm="1">
        <f t="array" ref="G36">IFERROR(_xlfn.XLOOKUP(1, (Table_Fuel_EFs_Transport[Fuel combusted]=$E36)*(Table_Fuel_EFs_Transport[Transport type]=$D$34), Table_Fuel_EFs_Transport[Energy Content Factor (GJ per unit of fuel)]), 0)</f>
        <v>36.799999999999997</v>
      </c>
      <c r="H36" s="205" cm="1">
        <f t="array" ref="H36">IFERROR(_xlfn.XLOOKUP(1, (Table_Fuel_EFs_Transport[Fuel combusted]=$E36)*(Table_Fuel_EFs_Transport[Transport type]=$D$34), Table_Fuel_EFs_Transport[Scope 1 Emission Factor (kg CO2 - e / GJ) CO2]), 0)</f>
        <v>0</v>
      </c>
      <c r="I36" s="205" cm="1">
        <f t="array" ref="I36">IFERROR(_xlfn.XLOOKUP(1, (Table_Fuel_EFs_Transport[Fuel combusted]=$E36)*(Table_Fuel_EFs_Transport[Transport type]=$D$34), Table_Fuel_EFs_Transport[Scope 1 Emission Factor (kg CO2 - e / GJ) CH4]), 0)</f>
        <v>0.01</v>
      </c>
      <c r="J36" s="205" cm="1">
        <f t="array" ref="J36">IFERROR(_xlfn.XLOOKUP(1, (Table_Fuel_EFs_Transport[Fuel combusted]=$E36)*(Table_Fuel_EFs_Transport[Transport type]=$D$34), Table_Fuel_EFs_Transport[Scope 1 Emission Factor (kg CO2 - e / GJ) N2O]), 0)</f>
        <v>0.6</v>
      </c>
      <c r="K36" s="205" cm="1">
        <f t="array" ref="K36">IFERROR(_xlfn.XLOOKUP(1, (Table_Fuel_EFs_Transport[Fuel combusted]=$E36)*(Table_Fuel_EFs_Transport[Transport type]=$D$25), Table_Fuel_EFs_Transport[Scope 3 Emission Factor (kg CO2 - e / GJ)]), 0)</f>
        <v>0</v>
      </c>
      <c r="L36" s="210" cm="1">
        <f t="array" ref="L36">Fuel_InputFunctions.Fuel_TotalConsumption(Table_Input_Fuel[Amount consumed], Table_Input_Fuel[Fuel use (select)], D36, Table_Input_Fuel[Fuel type (select)],F36)</f>
        <v>0</v>
      </c>
      <c r="M36" s="187" t="str" cm="1">
        <f t="array" ref="M36">Common_InputFunctions.Utility_LookupValueInTable(F36,Table_FuelTypes_Units[Fuel type],Table_FuelTypes_Units[Unit])</f>
        <v>kL</v>
      </c>
      <c r="N36" s="208" cm="1">
        <f t="array" ref="N36">Fuel_Equations.VEERG_8_1_1_1__1_FuelCombustionTransport($L36,$G36,$H36)</f>
        <v>0</v>
      </c>
      <c r="O36" s="208" cm="1">
        <f t="array" ref="O36">Fuel_Equations.VEERG_8_1_1_1__1_FuelCombustionTransport($L36,$G36,$I36)</f>
        <v>0</v>
      </c>
      <c r="P36" s="208" cm="1">
        <f t="array" ref="P36">Fuel_Equations.VEERG_8_1_1_1__1_FuelCombustionTransport($L36,$G36,$J36)</f>
        <v>0</v>
      </c>
      <c r="Q36" s="211" cm="1">
        <f t="array" ref="Q36">Scope3_Equations.VEERG_15_11_1_1__2_UpstreamTransportFuelEmissions(L36,G36,K36)</f>
        <v>0</v>
      </c>
    </row>
    <row r="37" spans="1:17" ht="20.100000000000001" customHeight="1" x14ac:dyDescent="0.25">
      <c r="A37" s="5" t="str">
        <f>HYPERLINK("#'4.3.1.9 Soil direct N2O'!A1", "4.3.1.9 Soil direct N2O")</f>
        <v>4.3.1.9 Soil direct N2O</v>
      </c>
      <c r="D37" s="212" t="str">
        <f>Table_FuelTypesPerUse[[#Headers],[Vessels]]</f>
        <v>Vessels</v>
      </c>
      <c r="E37" s="213" t="str">
        <f>'Constants - Fuel'!$E$10</f>
        <v>Gasoline</v>
      </c>
      <c r="F37" s="213" t="str">
        <f>'Constants - Fuel'!$I$131</f>
        <v>Petrol</v>
      </c>
      <c r="G37" s="220" cm="1">
        <f t="array" ref="G37">IFERROR(_xlfn.XLOOKUP(1, (Table_Fuel_EFs_Transport[Fuel combusted]=$E37)*(Table_Fuel_EFs_Transport[Transport type]=$D$37), Table_Fuel_EFs_Transport[Energy Content Factor (GJ per unit of fuel)]), 0)</f>
        <v>34.200000000000003</v>
      </c>
      <c r="H37" s="220" cm="1">
        <f t="array" ref="H37">IFERROR(_xlfn.XLOOKUP(1, (Table_Fuel_EFs_Transport[Fuel combusted]=$E37)*(Table_Fuel_EFs_Transport[Transport type]=$D$37), Table_Fuel_EFs_Transport[Scope 1 Emission Factor (kg CO2 - e / GJ) CO2]), 0)</f>
        <v>67.400000000000006</v>
      </c>
      <c r="I37" s="220" cm="1">
        <f t="array" ref="I37">IFERROR(_xlfn.XLOOKUP(1, (Table_Fuel_EFs_Transport[Fuel combusted]=$E37)*(Table_Fuel_EFs_Transport[Transport type]=$D$37), Table_Fuel_EFs_Transport[Scope 1 Emission Factor (kg CO2 - e / GJ) CH4]), 0)</f>
        <v>10.1</v>
      </c>
      <c r="J37" s="220" cm="1">
        <f t="array" ref="J37">IFERROR(_xlfn.XLOOKUP(1, (Table_Fuel_EFs_Transport[Fuel combusted]=$E37)*(Table_Fuel_EFs_Transport[Transport type]=$D$37), Table_Fuel_EFs_Transport[Scope 1 Emission Factor (kg CO2 - e / GJ) N2O]), 0)</f>
        <v>0.3</v>
      </c>
      <c r="K37" s="220" cm="1">
        <f t="array" ref="K37">IFERROR(_xlfn.XLOOKUP(1, (Table_Fuel_EFs_Transport[Fuel combusted]=$E37)*(Table_Fuel_EFs_Transport[Transport type]=$D$25), Table_Fuel_EFs_Transport[Scope 3 Emission Factor (kg CO2 - e / GJ)]), 0)</f>
        <v>17.2</v>
      </c>
      <c r="L37" s="217" cm="1">
        <f t="array" ref="L37">Fuel_InputFunctions.Fuel_TotalConsumption(Table_Input_Fuel[Amount consumed], Table_Input_Fuel[Fuel use (select)], D37, Table_Input_Fuel[Fuel type (select)],F37)</f>
        <v>0</v>
      </c>
      <c r="M37" s="221" t="str" cm="1">
        <f t="array" ref="M37">Common_InputFunctions.Utility_LookupValueInTable(F37,Table_FuelTypes_Units[Fuel type],Table_FuelTypes_Units[Unit])</f>
        <v>kL</v>
      </c>
      <c r="N37" s="218" cm="1">
        <f t="array" ref="N37">Fuel_Equations.VEERG_8_1_1_1__1_FuelCombustionTransport($L37,$G37,$H37)</f>
        <v>0</v>
      </c>
      <c r="O37" s="218" cm="1">
        <f t="array" ref="O37">Fuel_Equations.VEERG_8_1_1_1__1_FuelCombustionTransport($L37,$G37,$I37)</f>
        <v>0</v>
      </c>
      <c r="P37" s="218" cm="1">
        <f t="array" ref="P37">Fuel_Equations.VEERG_8_1_1_1__1_FuelCombustionTransport($L37,$G37,$J37)</f>
        <v>0</v>
      </c>
      <c r="Q37" s="218" cm="1">
        <f t="array" ref="Q37">Scope3_Equations.VEERG_15_11_1_1__2_UpstreamTransportFuelEmissions(L37,G37,K37)</f>
        <v>0</v>
      </c>
    </row>
    <row r="38" spans="1:17" ht="20.100000000000001" customHeight="1" x14ac:dyDescent="0.25">
      <c r="A38" s="5" t="str">
        <f>HYPERLINK("#'4.3.1.10-11 Soil Atmos Dep'!A1", "4.3.1.10-11 Soil Atmos Deposition")</f>
        <v>4.3.1.10-11 Soil Atmos Deposition</v>
      </c>
      <c r="D38" s="209" t="str">
        <f>$D$37</f>
        <v>Vessels</v>
      </c>
      <c r="E38" s="207" t="str">
        <f>'Constants - Fuel'!$E$11</f>
        <v>Diesel oil</v>
      </c>
      <c r="F38" s="207" t="str">
        <f>'Constants - Fuel'!$I$132</f>
        <v>Diesel</v>
      </c>
      <c r="G38" s="15" cm="1">
        <f t="array" ref="G38">IFERROR(_xlfn.XLOOKUP(1, (Table_Fuel_EFs_Transport[Fuel combusted]=$E38)*(Table_Fuel_EFs_Transport[Transport type]=$D$37), Table_Fuel_EFs_Transport[Energy Content Factor (GJ per unit of fuel)]), 0)</f>
        <v>38.6</v>
      </c>
      <c r="H38" s="15" cm="1">
        <f t="array" ref="H38">IFERROR(_xlfn.XLOOKUP(1, (Table_Fuel_EFs_Transport[Fuel combusted]=$E38)*(Table_Fuel_EFs_Transport[Transport type]=$D$37), Table_Fuel_EFs_Transport[Scope 1 Emission Factor (kg CO2 - e / GJ) CO2]), 0)</f>
        <v>69.900000000000006</v>
      </c>
      <c r="I38" s="15" cm="1">
        <f t="array" ref="I38">IFERROR(_xlfn.XLOOKUP(1, (Table_Fuel_EFs_Transport[Fuel combusted]=$E38)*(Table_Fuel_EFs_Transport[Transport type]=$D$37), Table_Fuel_EFs_Transport[Scope 1 Emission Factor (kg CO2 - e / GJ) CH4]), 0)</f>
        <v>0.2</v>
      </c>
      <c r="J38" s="15" cm="1">
        <f t="array" ref="J38">IFERROR(_xlfn.XLOOKUP(1, (Table_Fuel_EFs_Transport[Fuel combusted]=$E38)*(Table_Fuel_EFs_Transport[Transport type]=$D$37), Table_Fuel_EFs_Transport[Scope 1 Emission Factor (kg CO2 - e / GJ) N2O]), 0)</f>
        <v>0.5</v>
      </c>
      <c r="K38" s="15" cm="1">
        <f t="array" ref="K38">IFERROR(_xlfn.XLOOKUP(1, (Table_Fuel_EFs_Transport[Fuel combusted]=$E38)*(Table_Fuel_EFs_Transport[Transport type]=$D$25), Table_Fuel_EFs_Transport[Scope 3 Emission Factor (kg CO2 - e / GJ)]), 0)</f>
        <v>17.3</v>
      </c>
      <c r="L38" s="187" cm="1">
        <f t="array" ref="L38">Fuel_InputFunctions.Fuel_TotalConsumption(Table_Input_Fuel[Amount consumed], Table_Input_Fuel[Fuel use (select)], D38, Table_Input_Fuel[Fuel type (select)],F38)</f>
        <v>0</v>
      </c>
      <c r="M38" s="187" t="str" cm="1">
        <f t="array" ref="M38">Common_InputFunctions.Utility_LookupValueInTable(F38,Table_FuelTypes_Units[Fuel type],Table_FuelTypes_Units[Unit])</f>
        <v>kL</v>
      </c>
      <c r="N38" s="208" cm="1">
        <f t="array" ref="N38">Fuel_Equations.VEERG_8_1_1_1__1_FuelCombustionTransport($L38,$G38,$H38)</f>
        <v>0</v>
      </c>
      <c r="O38" s="208" cm="1">
        <f t="array" ref="O38">Fuel_Equations.VEERG_8_1_1_1__1_FuelCombustionTransport($L38,$G38,$I38)</f>
        <v>0</v>
      </c>
      <c r="P38" s="208" cm="1">
        <f t="array" ref="P38">Fuel_Equations.VEERG_8_1_1_1__1_FuelCombustionTransport($L38,$G38,$J38)</f>
        <v>0</v>
      </c>
      <c r="Q38" s="208" cm="1">
        <f t="array" ref="Q38">Scope3_Equations.VEERG_15_11_1_1__2_UpstreamTransportFuelEmissions(L38,G38,K38)</f>
        <v>0</v>
      </c>
    </row>
    <row r="39" spans="1:17" ht="20.100000000000001" customHeight="1" x14ac:dyDescent="0.25">
      <c r="A39" s="5" t="str">
        <f>HYPERLINK("#'4.3.1.12-13 Soil leach runoff'!A1", "4.3.1.12-13 Soil leach &amp; runoff")</f>
        <v>4.3.1.12-13 Soil leach &amp; runoff</v>
      </c>
      <c r="D39" s="209" t="str">
        <f>$D$37</f>
        <v>Vessels</v>
      </c>
      <c r="E39" s="207" t="str">
        <f>'Constants - Fuel'!E33</f>
        <v>Fuel Oil</v>
      </c>
      <c r="F39" s="207" t="str">
        <f>'Constants - Fuel'!$I$133</f>
        <v>Fuel oil</v>
      </c>
      <c r="G39" s="15" cm="1">
        <f t="array" ref="G39">IFERROR(_xlfn.XLOOKUP(1, (Table_Fuel_EFs_Transport[Fuel combusted]=$E39)*(Table_Fuel_EFs_Transport[Transport type]=$D$37), Table_Fuel_EFs_Transport[Energy Content Factor (GJ per unit of fuel)]), 0)</f>
        <v>39.700000000000003</v>
      </c>
      <c r="H39" s="15" cm="1">
        <f t="array" ref="H39">IFERROR(_xlfn.XLOOKUP(1, (Table_Fuel_EFs_Transport[Fuel combusted]=$E39)*(Table_Fuel_EFs_Transport[Transport type]=$D$37), Table_Fuel_EFs_Transport[Scope 1 Emission Factor (kg CO2 - e / GJ) CO2]), 0)</f>
        <v>73.599999999999994</v>
      </c>
      <c r="I39" s="15" cm="1">
        <f t="array" ref="I39">IFERROR(_xlfn.XLOOKUP(1, (Table_Fuel_EFs_Transport[Fuel combusted]=$E39)*(Table_Fuel_EFs_Transport[Transport type]=$D$37), Table_Fuel_EFs_Transport[Scope 1 Emission Factor (kg CO2 - e / GJ) CH4]), 0)</f>
        <v>0.2</v>
      </c>
      <c r="J39" s="15" cm="1">
        <f t="array" ref="J39">IFERROR(_xlfn.XLOOKUP(1, (Table_Fuel_EFs_Transport[Fuel combusted]=$E39)*(Table_Fuel_EFs_Transport[Transport type]=$D$37), Table_Fuel_EFs_Transport[Scope 1 Emission Factor (kg CO2 - e / GJ) N2O]), 0)</f>
        <v>0.5</v>
      </c>
      <c r="K39" s="15" cm="1">
        <f t="array" ref="K39">IFERROR(_xlfn.XLOOKUP(1, (Table_Fuel_EFs_Transport[Fuel combusted]=$E39)*(Table_Fuel_EFs_Transport[Transport type]=$D$25), Table_Fuel_EFs_Transport[Scope 3 Emission Factor (kg CO2 - e / GJ)]), 0)</f>
        <v>18</v>
      </c>
      <c r="L39" s="187" cm="1">
        <f t="array" ref="L39">Fuel_InputFunctions.Fuel_TotalConsumption(Table_Input_Fuel[Amount consumed], Table_Input_Fuel[Fuel use (select)], D39, Table_Input_Fuel[Fuel type (select)],F39)</f>
        <v>10</v>
      </c>
      <c r="M39" s="187" t="str" cm="1">
        <f t="array" ref="M39">Common_InputFunctions.Utility_LookupValueInTable(F39,Table_FuelTypes_Units[Fuel type],Table_FuelTypes_Units[Unit])</f>
        <v>kL</v>
      </c>
      <c r="N39" s="208" cm="1">
        <f t="array" ref="N39">Fuel_Equations.VEERG_8_1_1_1__1_FuelCombustionTransport($L39,$G39,$H39)</f>
        <v>29.219199999999997</v>
      </c>
      <c r="O39" s="208" cm="1">
        <f t="array" ref="O39">Fuel_Equations.VEERG_8_1_1_1__1_FuelCombustionTransport($L39,$G39,$I39)</f>
        <v>7.9400000000000012E-2</v>
      </c>
      <c r="P39" s="208" cm="1">
        <f t="array" ref="P39">Fuel_Equations.VEERG_8_1_1_1__1_FuelCombustionTransport($L39,$G39,$J39)</f>
        <v>0.19850000000000001</v>
      </c>
      <c r="Q39" s="208" cm="1">
        <f t="array" ref="Q39">Scope3_Equations.VEERG_15_11_1_1__2_UpstreamTransportFuelEmissions(L39,G39,K39)</f>
        <v>7.1459999999999999</v>
      </c>
    </row>
    <row r="40" spans="1:17" ht="20.100000000000001" customHeight="1" x14ac:dyDescent="0.25">
      <c r="A40" s="5" t="str">
        <f>HYPERLINK("#'5.1.1.1-2 Inorganic fert N2O'!A1", "5.1.1.1-2 Inorganic fert N2O")</f>
        <v>5.1.1.1-2 Inorganic fert N2O</v>
      </c>
      <c r="H40" s="184"/>
      <c r="I40" s="184"/>
      <c r="J40" s="184"/>
      <c r="L40" s="184"/>
      <c r="M40" s="184"/>
      <c r="N40" s="184"/>
      <c r="O40" s="184"/>
      <c r="P40" s="184"/>
      <c r="Q40" s="184"/>
    </row>
    <row r="41" spans="1:17" ht="20.100000000000001" customHeight="1" x14ac:dyDescent="0.25">
      <c r="A41" s="5" t="str">
        <f>HYPERLINK("#'5.1.1.3-4 Inorganic fert CO2'!A1", "5.1.1.3-4 Inorganic fert CO2")</f>
        <v>5.1.1.3-4 Inorganic fert CO2</v>
      </c>
      <c r="H41" s="184"/>
      <c r="I41" s="184"/>
      <c r="J41" s="184"/>
      <c r="L41" s="184"/>
      <c r="M41" s="184"/>
      <c r="N41" s="184"/>
      <c r="O41" s="184"/>
      <c r="P41" s="184"/>
      <c r="Q41" s="184"/>
    </row>
    <row r="42" spans="1:17" ht="20.100000000000001" customHeight="1" x14ac:dyDescent="0.25">
      <c r="A42" s="5" t="str">
        <f>HYPERLINK("#'5.2.1.1-2 Organic Fert N2O'!A1", "5.2.1.1-2 Organic fert N2O")</f>
        <v>5.2.1.1-2 Organic fert N2O</v>
      </c>
      <c r="D42" s="222" t="str">
        <f>"Total scope 1 - " &amp; D25</f>
        <v>Total scope 1 - Cars and light commercial vehicles</v>
      </c>
      <c r="E42" s="223"/>
      <c r="F42" s="224"/>
    </row>
    <row r="43" spans="1:17" ht="20.100000000000001" customHeight="1" x14ac:dyDescent="0.25">
      <c r="A43" s="5" t="str">
        <f>HYPERLINK("#'5.3.1.1-2 Lime CO2'!A1", "5.3.1.1-2 Lime CO2")</f>
        <v>5.3.1.1-2 Lime CO2</v>
      </c>
      <c r="D43" s="24" t="s">
        <v>945</v>
      </c>
      <c r="E43" s="225">
        <f>SUM(N25:N32)+N("Partial sum")</f>
        <v>26.981400000000001</v>
      </c>
      <c r="F43" s="16" t="str">
        <f>$E$12</f>
        <v>t CO2-e</v>
      </c>
    </row>
    <row r="44" spans="1:17" ht="20.100000000000001" customHeight="1" x14ac:dyDescent="0.25">
      <c r="A44" s="5" t="str">
        <f>HYPERLINK("#'5.4.1.1-4 Atmos deposition'!A1", "5.4.1.1-4 Atmos. deposition")</f>
        <v>5.4.1.1-4 Atmos. deposition</v>
      </c>
      <c r="D44" s="24" t="s">
        <v>946</v>
      </c>
      <c r="E44" s="225">
        <f>SUM(O25:O32)+N("Partial sum")</f>
        <v>3.8600000000000001E-3</v>
      </c>
      <c r="F44" s="16" t="str">
        <f t="shared" ref="F44:F46" si="1">$E$12</f>
        <v>t CO2-e</v>
      </c>
    </row>
    <row r="45" spans="1:17" ht="20.100000000000001" customHeight="1" x14ac:dyDescent="0.25">
      <c r="A45" s="5" t="str">
        <f>HYPERLINK("#'5.5.1.1-2 Leaching and runoff'!A1", "5.5.1.1-2 Leaching &amp; runoff")</f>
        <v>5.5.1.1-2 Leaching &amp; runoff</v>
      </c>
      <c r="D45" s="24" t="s">
        <v>947</v>
      </c>
      <c r="E45" s="225">
        <f>SUM(P25:P32)+N("Partial sum")</f>
        <v>0.193</v>
      </c>
      <c r="F45" s="16" t="str">
        <f t="shared" si="1"/>
        <v>t CO2-e</v>
      </c>
    </row>
    <row r="46" spans="1:17" ht="20.100000000000001" customHeight="1" x14ac:dyDescent="0.25">
      <c r="A46" s="5" t="str">
        <f>HYPERLINK("#'6.2.1.1-2 Pasture residue N2O'!A1", "6.2.1.1-2 Pasture residue N2O")</f>
        <v>6.2.1.1-2 Pasture residue N2O</v>
      </c>
      <c r="D46" s="24" t="s">
        <v>244</v>
      </c>
      <c r="E46" s="225">
        <f>SUM(Q25:Q32)+N("Partial sum")</f>
        <v>6.6778000000000004</v>
      </c>
      <c r="F46" s="16" t="str">
        <f t="shared" si="1"/>
        <v>t CO2-e</v>
      </c>
    </row>
    <row r="47" spans="1:17" ht="20.100000000000001" customHeight="1" x14ac:dyDescent="0.25">
      <c r="A47" s="5" t="str">
        <f>HYPERLINK("#'6.3.1.1-2 Leach runoff pasture'!A1", "6.3.1.1-2 Leach &amp; runoff (pasture)")</f>
        <v>6.3.1.1-2 Leach &amp; runoff (pasture)</v>
      </c>
      <c r="D47" s="184"/>
      <c r="E47" s="184"/>
      <c r="F47" s="184"/>
    </row>
    <row r="48" spans="1:17" ht="20.100000000000001" customHeight="1" x14ac:dyDescent="0.25">
      <c r="A48" s="118" t="str">
        <f>HYPERLINK("#'8.1.1.1-2 Transport fuel'!A1", "8.1.1.1-2 Transport fuel")</f>
        <v>8.1.1.1-2 Transport fuel</v>
      </c>
      <c r="D48" s="222" t="str">
        <f>"Total scope 1 - " &amp; D33</f>
        <v>Total scope 1 - Off-road Agriculture and forestry equipment</v>
      </c>
      <c r="E48" s="226"/>
      <c r="F48" s="224"/>
      <c r="H48" s="184"/>
      <c r="I48" s="184"/>
      <c r="J48" s="184"/>
      <c r="L48" s="184"/>
      <c r="M48" s="184"/>
      <c r="N48" s="184"/>
      <c r="O48" s="184"/>
      <c r="P48" s="184"/>
      <c r="Q48" s="184"/>
    </row>
    <row r="49" spans="1:17" ht="20.100000000000001" customHeight="1" x14ac:dyDescent="0.25">
      <c r="A49" s="5" t="str">
        <f>HYPERLINK("#'8.2.1.1-2 Stationary fuel'!A1", "8.2.1.1-2 Stationary fuel")</f>
        <v>8.2.1.1-2 Stationary fuel</v>
      </c>
      <c r="D49" s="24" t="s">
        <v>945</v>
      </c>
      <c r="E49" s="225">
        <f>SUM(N33:N33)+N("Partial sum")</f>
        <v>26.981400000000001</v>
      </c>
      <c r="F49" s="16" t="str">
        <f t="shared" ref="F49:F52" si="2">$E$12</f>
        <v>t CO2-e</v>
      </c>
      <c r="H49" s="184"/>
      <c r="I49" s="184"/>
      <c r="J49" s="184"/>
      <c r="L49" s="184"/>
      <c r="M49" s="184"/>
      <c r="N49" s="184"/>
      <c r="O49" s="184"/>
      <c r="P49" s="184"/>
      <c r="Q49" s="184"/>
    </row>
    <row r="50" spans="1:17" ht="20.100000000000001" customHeight="1" x14ac:dyDescent="0.25">
      <c r="A50" s="5" t="str">
        <f>HYPERLINK("#'9.1.1.1-2 Refrigerant use'!A1", "9.1.1.1-2 Refrigerant use")</f>
        <v>9.1.1.1-2 Refrigerant use</v>
      </c>
      <c r="D50" s="24" t="s">
        <v>946</v>
      </c>
      <c r="E50" s="225">
        <f>SUM(O33:O33)+N("Partial sum")</f>
        <v>0.1158</v>
      </c>
      <c r="F50" s="16" t="str">
        <f t="shared" si="2"/>
        <v>t CO2-e</v>
      </c>
      <c r="H50" s="184"/>
      <c r="I50" s="184"/>
      <c r="J50" s="184"/>
      <c r="L50" s="184"/>
      <c r="M50" s="184"/>
      <c r="N50" s="184"/>
      <c r="O50" s="184"/>
      <c r="P50" s="184"/>
      <c r="Q50" s="184"/>
    </row>
    <row r="51" spans="1:17" ht="20.100000000000001" customHeight="1" x14ac:dyDescent="0.25">
      <c r="A51" s="5" t="str">
        <f>HYPERLINK("#'10.1.1-2 Solid waste treatment'!A1", "10.1.1.1-2 Solid waste")</f>
        <v>10.1.1.1-2 Solid waste</v>
      </c>
      <c r="D51" s="24" t="s">
        <v>947</v>
      </c>
      <c r="E51" s="225">
        <f>SUM(P33:P33)+N("Partial sum")</f>
        <v>0.193</v>
      </c>
      <c r="F51" s="16" t="str">
        <f t="shared" si="2"/>
        <v>t CO2-e</v>
      </c>
      <c r="H51" s="184"/>
      <c r="I51" s="184"/>
      <c r="J51" s="184"/>
      <c r="L51" s="184"/>
      <c r="M51" s="184"/>
      <c r="N51" s="184"/>
      <c r="O51" s="184"/>
      <c r="P51" s="184"/>
      <c r="Q51" s="184"/>
    </row>
    <row r="52" spans="1:17" ht="20.100000000000001" customHeight="1" x14ac:dyDescent="0.25">
      <c r="A52" s="5" t="str">
        <f>HYPERLINK("#'14.1.1-2 Purchased electricity'!A1", "14.1.1-2 Purchased electricity")</f>
        <v>14.1.1-2 Purchased electricity</v>
      </c>
      <c r="D52" s="24" t="s">
        <v>244</v>
      </c>
      <c r="E52" s="225">
        <f>SUM(Q33)+N("Partial sum")</f>
        <v>6.6778000000000004</v>
      </c>
      <c r="F52" s="16" t="str">
        <f t="shared" si="2"/>
        <v>t CO2-e</v>
      </c>
      <c r="H52" s="184"/>
      <c r="I52" s="184"/>
      <c r="J52" s="184"/>
      <c r="L52" s="184"/>
      <c r="M52" s="184"/>
      <c r="N52" s="184"/>
      <c r="O52" s="184"/>
      <c r="P52" s="184"/>
      <c r="Q52" s="184"/>
    </row>
    <row r="53" spans="1:17" ht="20.100000000000001" customHeight="1" x14ac:dyDescent="0.25">
      <c r="A53" s="5" t="str">
        <f>HYPERLINK("#'15 Scope 3'!A1", "15 Scope 3")</f>
        <v>15 Scope 3</v>
      </c>
      <c r="D53" s="184"/>
      <c r="E53" s="227"/>
      <c r="F53" s="184"/>
      <c r="G53" s="184"/>
      <c r="H53" s="184"/>
      <c r="I53" s="184"/>
      <c r="J53" s="184"/>
      <c r="L53" s="184"/>
      <c r="M53" s="184"/>
      <c r="N53" s="184"/>
      <c r="O53" s="184"/>
      <c r="P53" s="184"/>
      <c r="Q53" s="184"/>
    </row>
    <row r="54" spans="1:17" ht="20.100000000000001" customHeight="1" x14ac:dyDescent="0.25">
      <c r="A54" s="5" t="str">
        <f>HYPERLINK("#'Calcs - Manure sent off-site'!A1", "Calcs - Manure sent off-site")</f>
        <v>Calcs - Manure sent off-site</v>
      </c>
      <c r="D54" s="222" t="str">
        <f>"Total scope 1 - " &amp; D34</f>
        <v>Total scope 1 - Aviation</v>
      </c>
      <c r="E54" s="226"/>
      <c r="F54" s="224"/>
      <c r="G54" s="184"/>
      <c r="H54" s="184"/>
      <c r="I54" s="184"/>
      <c r="J54" s="184"/>
      <c r="L54" s="184"/>
      <c r="M54" s="184"/>
      <c r="N54" s="184"/>
      <c r="O54" s="184"/>
      <c r="P54" s="184"/>
      <c r="Q54" s="184"/>
    </row>
    <row r="55" spans="1:17" ht="20.100000000000001" customHeight="1" x14ac:dyDescent="0.25">
      <c r="D55" s="24" t="s">
        <v>945</v>
      </c>
      <c r="E55" s="225">
        <f>SUM(N34:N36)+N("Partial sum")</f>
        <v>0</v>
      </c>
      <c r="F55" s="16" t="str">
        <f t="shared" ref="F55:F58" si="3">$E$12</f>
        <v>t CO2-e</v>
      </c>
      <c r="G55" s="184"/>
      <c r="H55" s="184"/>
      <c r="I55" s="184"/>
      <c r="J55" s="184"/>
      <c r="L55" s="184"/>
      <c r="M55" s="184"/>
      <c r="N55" s="184"/>
      <c r="O55" s="184"/>
      <c r="P55" s="184"/>
      <c r="Q55" s="184"/>
    </row>
    <row r="56" spans="1:17" ht="20.100000000000001" customHeight="1" x14ac:dyDescent="0.25">
      <c r="D56" s="24" t="s">
        <v>946</v>
      </c>
      <c r="E56" s="225">
        <f>SUM(O34:O36)+N("Partial sum")</f>
        <v>0</v>
      </c>
      <c r="F56" s="16" t="str">
        <f t="shared" si="3"/>
        <v>t CO2-e</v>
      </c>
      <c r="G56" s="184"/>
      <c r="H56" s="184"/>
      <c r="I56" s="184"/>
      <c r="J56" s="184"/>
      <c r="L56" s="184"/>
      <c r="M56" s="184"/>
      <c r="N56" s="184"/>
      <c r="O56" s="184"/>
      <c r="P56" s="184"/>
      <c r="Q56" s="184"/>
    </row>
    <row r="57" spans="1:17" ht="20.100000000000001" customHeight="1" x14ac:dyDescent="0.25">
      <c r="A57" s="82" t="s">
        <v>1</v>
      </c>
      <c r="D57" s="24" t="s">
        <v>947</v>
      </c>
      <c r="E57" s="225">
        <f>SUM(P34:P36)+N("Partial sum")</f>
        <v>0</v>
      </c>
      <c r="F57" s="16" t="str">
        <f t="shared" si="3"/>
        <v>t CO2-e</v>
      </c>
      <c r="G57" s="184"/>
      <c r="H57" s="184"/>
      <c r="I57" s="184"/>
      <c r="J57" s="184"/>
      <c r="L57" s="184"/>
      <c r="M57" s="184"/>
      <c r="N57" s="184"/>
      <c r="O57" s="184"/>
      <c r="P57" s="184"/>
      <c r="Q57" s="184"/>
    </row>
    <row r="58" spans="1:17" ht="20.100000000000001" customHeight="1" x14ac:dyDescent="0.25">
      <c r="A58" s="5" t="str">
        <f>HYPERLINK("#'Constants - Dairy'!A1", "Constants - Dairy")</f>
        <v>Constants - Dairy</v>
      </c>
      <c r="D58" s="24" t="s">
        <v>244</v>
      </c>
      <c r="E58" s="225">
        <f>SUM(Q34:Q36)+N("Partial sum")</f>
        <v>0</v>
      </c>
      <c r="F58" s="16" t="str">
        <f t="shared" si="3"/>
        <v>t CO2-e</v>
      </c>
      <c r="G58" s="184"/>
      <c r="H58" s="184"/>
      <c r="I58" s="184"/>
      <c r="J58" s="184"/>
      <c r="L58" s="184"/>
      <c r="M58" s="184"/>
      <c r="N58" s="184"/>
      <c r="O58" s="184"/>
      <c r="P58" s="184"/>
      <c r="Q58" s="184"/>
    </row>
    <row r="59" spans="1:17" ht="20.100000000000001" customHeight="1" x14ac:dyDescent="0.25">
      <c r="A59" s="5" t="str">
        <f>HYPERLINK("#'Constants - Ag Residue'!A1", "Constants - Ag residue")</f>
        <v>Constants - Ag residue</v>
      </c>
      <c r="D59" s="184"/>
      <c r="E59" s="227"/>
      <c r="F59" s="184"/>
      <c r="G59" s="184"/>
      <c r="H59" s="184"/>
      <c r="I59" s="184"/>
      <c r="J59" s="184"/>
      <c r="L59" s="184"/>
      <c r="M59" s="184"/>
      <c r="N59" s="184"/>
      <c r="O59" s="184"/>
      <c r="P59" s="184"/>
      <c r="Q59" s="184"/>
    </row>
    <row r="60" spans="1:17" ht="20.100000000000001" customHeight="1" x14ac:dyDescent="0.25">
      <c r="A60" s="5" t="str">
        <f>HYPERLINK("#'Constants - Common Livestock'!A1", "Constants - Common Livestock")</f>
        <v>Constants - Common Livestock</v>
      </c>
      <c r="D60" s="222" t="str">
        <f>"Total scope 1 - " &amp; D37</f>
        <v>Total scope 1 - Vessels</v>
      </c>
      <c r="E60" s="226"/>
      <c r="F60" s="224"/>
      <c r="G60" s="184"/>
      <c r="H60" s="184"/>
      <c r="I60" s="184"/>
      <c r="J60" s="184"/>
      <c r="L60" s="184"/>
      <c r="M60" s="184"/>
      <c r="N60" s="184"/>
      <c r="O60" s="184"/>
      <c r="P60" s="184"/>
      <c r="Q60" s="184"/>
    </row>
    <row r="61" spans="1:17" ht="20.100000000000001" customHeight="1" x14ac:dyDescent="0.25">
      <c r="A61" s="5" t="str">
        <f>HYPERLINK("#'Constants - Electricity'!A1", "Constants - Electricity")</f>
        <v>Constants - Electricity</v>
      </c>
      <c r="D61" s="24" t="s">
        <v>945</v>
      </c>
      <c r="E61" s="225">
        <f>SUM(N37:N39)+N("Partial sum")</f>
        <v>29.219199999999997</v>
      </c>
      <c r="F61" s="16" t="str">
        <f t="shared" ref="F61:F64" si="4">$E$12</f>
        <v>t CO2-e</v>
      </c>
      <c r="G61" s="184"/>
      <c r="H61" s="184"/>
      <c r="I61" s="184"/>
      <c r="J61" s="184"/>
      <c r="L61" s="184"/>
      <c r="M61" s="184"/>
      <c r="N61" s="184"/>
      <c r="O61" s="184"/>
      <c r="P61" s="184"/>
      <c r="Q61" s="184"/>
    </row>
    <row r="62" spans="1:17" ht="20.100000000000001" customHeight="1" x14ac:dyDescent="0.25">
      <c r="A62" s="5" t="str">
        <f>HYPERLINK("#'Constants - Fertiliser'!A1", "Constants - Fertiliser")</f>
        <v>Constants - Fertiliser</v>
      </c>
      <c r="D62" s="24" t="s">
        <v>946</v>
      </c>
      <c r="E62" s="225">
        <f>SUM(O37:O39)+N("Partial sum")</f>
        <v>7.9400000000000012E-2</v>
      </c>
      <c r="F62" s="16" t="str">
        <f t="shared" si="4"/>
        <v>t CO2-e</v>
      </c>
      <c r="G62" s="184"/>
      <c r="H62" s="184"/>
      <c r="I62" s="184"/>
      <c r="J62" s="184"/>
      <c r="L62" s="184"/>
      <c r="M62" s="184"/>
      <c r="N62" s="184"/>
      <c r="O62" s="184"/>
      <c r="P62" s="184"/>
      <c r="Q62" s="184"/>
    </row>
    <row r="63" spans="1:17" ht="20.100000000000001" customHeight="1" x14ac:dyDescent="0.25">
      <c r="A63" s="5" t="str">
        <f>HYPERLINK("#'Constants - Fuel'!A1", "Constants - Fuel")</f>
        <v>Constants - Fuel</v>
      </c>
      <c r="D63" s="24" t="s">
        <v>947</v>
      </c>
      <c r="E63" s="225">
        <f>SUM(P37:P39)+N("Partial sum")</f>
        <v>0.19850000000000001</v>
      </c>
      <c r="F63" s="16" t="str">
        <f t="shared" si="4"/>
        <v>t CO2-e</v>
      </c>
      <c r="G63" s="184"/>
      <c r="H63" s="184"/>
      <c r="I63" s="184"/>
      <c r="J63" s="184"/>
      <c r="L63" s="184"/>
      <c r="M63" s="184"/>
      <c r="N63" s="184"/>
      <c r="O63" s="184"/>
      <c r="P63" s="184"/>
      <c r="Q63" s="184"/>
    </row>
    <row r="64" spans="1:17" ht="20.100000000000001" customHeight="1" x14ac:dyDescent="0.25">
      <c r="A64" s="5" t="str">
        <f>HYPERLINK("#'Constants - Scope 3'!A1", "Constants - Scope 3")</f>
        <v>Constants - Scope 3</v>
      </c>
      <c r="D64" s="24" t="s">
        <v>244</v>
      </c>
      <c r="E64" s="225">
        <f>SUM(Q37:Q39)+N("Partial sum")</f>
        <v>7.1459999999999999</v>
      </c>
      <c r="F64" s="16" t="str">
        <f t="shared" si="4"/>
        <v>t CO2-e</v>
      </c>
      <c r="G64" s="184"/>
      <c r="H64" s="184"/>
      <c r="I64" s="184"/>
      <c r="J64" s="184"/>
      <c r="L64" s="184"/>
      <c r="M64" s="184"/>
      <c r="N64" s="184"/>
      <c r="O64" s="184"/>
      <c r="P64" s="184"/>
      <c r="Q64" s="184"/>
    </row>
    <row r="65" spans="1:17" ht="20.100000000000001" customHeight="1" x14ac:dyDescent="0.25">
      <c r="A65" s="5" t="str">
        <f>HYPERLINK("#'Constants - Common'!A1", "Constants - Common")</f>
        <v>Constants - Common</v>
      </c>
      <c r="G65" s="184"/>
      <c r="H65" s="184"/>
      <c r="I65" s="184"/>
      <c r="J65" s="184"/>
      <c r="L65" s="184"/>
      <c r="M65" s="184"/>
      <c r="N65" s="184"/>
      <c r="O65" s="184"/>
      <c r="P65" s="184"/>
      <c r="Q65" s="184"/>
    </row>
    <row r="66" spans="1:17" ht="20.100000000000001" customHeight="1" x14ac:dyDescent="0.25">
      <c r="A66" s="5" t="str">
        <f>HYPERLINK("#'Constants - Refrigerants'!A1", "Constants - Refrigerants")</f>
        <v>Constants - Refrigerants</v>
      </c>
      <c r="D66" s="222" t="s">
        <v>948</v>
      </c>
      <c r="E66" s="228"/>
      <c r="F66" s="224"/>
      <c r="G66" s="184"/>
      <c r="H66" s="184"/>
      <c r="I66" s="184"/>
      <c r="J66" s="184"/>
      <c r="L66" s="184"/>
      <c r="M66" s="184"/>
      <c r="N66" s="184"/>
      <c r="O66" s="184"/>
      <c r="P66" s="184"/>
      <c r="Q66" s="184"/>
    </row>
    <row r="67" spans="1:17" ht="20.100000000000001" customHeight="1" x14ac:dyDescent="0.25">
      <c r="A67" s="5" t="str">
        <f>HYPERLINK("#'Constants - Solid Waste'!A1", "Constants - Solid Waste")</f>
        <v>Constants - Solid Waste</v>
      </c>
      <c r="D67" s="24" t="s">
        <v>945</v>
      </c>
      <c r="E67" s="225">
        <f>E43+E49+E55+E61</f>
        <v>83.182000000000002</v>
      </c>
      <c r="F67" s="16" t="str">
        <f t="shared" ref="F67:F70" si="5">$E$12</f>
        <v>t CO2-e</v>
      </c>
      <c r="G67" s="184"/>
    </row>
    <row r="68" spans="1:17" ht="20.100000000000001" customHeight="1" x14ac:dyDescent="0.25">
      <c r="A68" s="5" t="str">
        <f>HYPERLINK("#'Acknowledgements'!A1", "Acknowledgements")</f>
        <v>Acknowledgements</v>
      </c>
      <c r="D68" s="24" t="s">
        <v>946</v>
      </c>
      <c r="E68" s="225">
        <f t="shared" ref="E68:E70" si="6">E44+E50+E56+E62</f>
        <v>0.19906000000000001</v>
      </c>
      <c r="F68" s="16" t="str">
        <f t="shared" si="5"/>
        <v>t CO2-e</v>
      </c>
      <c r="G68" s="184"/>
    </row>
    <row r="69" spans="1:17" ht="20.100000000000001" customHeight="1" x14ac:dyDescent="0.25">
      <c r="D69" s="24" t="s">
        <v>947</v>
      </c>
      <c r="E69" s="225">
        <f t="shared" si="6"/>
        <v>0.58450000000000002</v>
      </c>
      <c r="F69" s="16" t="str">
        <f t="shared" si="5"/>
        <v>t CO2-e</v>
      </c>
      <c r="G69" s="184"/>
    </row>
    <row r="70" spans="1:17" ht="20.100000000000001" customHeight="1" x14ac:dyDescent="0.25">
      <c r="D70" s="24" t="s">
        <v>244</v>
      </c>
      <c r="E70" s="225">
        <f t="shared" si="6"/>
        <v>20.5016</v>
      </c>
      <c r="F70" s="16" t="str">
        <f t="shared" si="5"/>
        <v>t CO2-e</v>
      </c>
      <c r="G70" s="184"/>
    </row>
    <row r="71" spans="1:17" ht="20.100000000000001" customHeight="1" x14ac:dyDescent="0.25">
      <c r="G71" s="184"/>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Q172 O150:Q150 E269 N166:Q166 O143:Q144 E228 O167:Q167 G132 I129:I133 F134:I134 F129:F132 H128:H132 G129 F148:I148 I149 F150:I150" xr:uid="{FEF06FC4-374E-491F-B9D1-AACC7DD55B7B}"/>
  </dataValidation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B2B1F-511E-447B-911C-18E7DA7CED3F}">
  <sheetPr>
    <tabColor rgb="FF008000"/>
  </sheetPr>
  <dimension ref="A1:R165"/>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20" customFormat="1" ht="30" customHeight="1" x14ac:dyDescent="0.35">
      <c r="A1" s="10" t="e" vm="1">
        <v>#VALUE!</v>
      </c>
      <c r="C1" s="20" t="s">
        <v>949</v>
      </c>
    </row>
    <row r="2" spans="1:18" s="3" customFormat="1" ht="20.100000000000001" customHeight="1" x14ac:dyDescent="0.25">
      <c r="A2"/>
    </row>
    <row r="3" spans="1:18" ht="20.100000000000001" customHeight="1" x14ac:dyDescent="0.25">
      <c r="A3" s="5" t="str">
        <f>HYPERLINK("#'Home'!A1", "Home")</f>
        <v>Home</v>
      </c>
      <c r="C3" s="22"/>
      <c r="D3" s="22" t="s">
        <v>129</v>
      </c>
      <c r="E3" s="22"/>
      <c r="F3" s="22"/>
      <c r="G3" s="22"/>
      <c r="H3" s="22"/>
      <c r="I3" s="22"/>
      <c r="J3" s="22"/>
      <c r="K3" s="22"/>
      <c r="L3" s="22"/>
      <c r="M3" s="22"/>
      <c r="N3" s="22"/>
      <c r="O3" s="22"/>
      <c r="P3" s="22"/>
      <c r="Q3" s="22"/>
      <c r="R3" s="22"/>
    </row>
    <row r="4" spans="1:18" ht="20.100000000000001" customHeight="1" x14ac:dyDescent="0.25">
      <c r="A4" s="5" t="str">
        <f>HYPERLINK("#'Results - Activity period'!A1", "Results - Activity period")</f>
        <v>Results - Activity period</v>
      </c>
    </row>
    <row r="5" spans="1:18" ht="20.100000000000001" customHeight="1" x14ac:dyDescent="0.25">
      <c r="A5" s="5" t="str">
        <f>HYPERLINK("#'Results - Product EI'!A1", "Results - Product Emissions Intensity")</f>
        <v>Results - Product Emissions Intensity</v>
      </c>
      <c r="D5" s="2" t="str" cm="1">
        <f t="array" ref="D5">Fuel_Equations.VEERG_8_2_1_1__1_FuelCombustionStationary_Title()</f>
        <v>Emissions for each GHG from the stationary combustion of fuels</v>
      </c>
      <c r="K5" s="2" t="str" cm="1">
        <f t="array" ref="K5">Scope3_Equations.VEERG_15_11_1_1__3_UpstreamStationaryFuelEmissions_Title()</f>
        <v>Upstream emissions from scope 1 stationary combustion fuel use</v>
      </c>
      <c r="O5" s="184"/>
      <c r="P5" s="184"/>
      <c r="Q5" s="184"/>
      <c r="R5" s="184"/>
    </row>
    <row r="6" spans="1:18" ht="20.100000000000001" customHeight="1" x14ac:dyDescent="0.25">
      <c r="A6" s="5" t="str">
        <f>HYPERLINK("#'Results'!A1", "Results")</f>
        <v>Results</v>
      </c>
      <c r="D6" s="17" t="str" cm="1">
        <f t="array" ref="D6">Fuel_Equations.VEERG_8_2_1_1__1_FuelCombustionStationary_Source()</f>
        <v>VEERG 2026: 8.2.1.1, Equation (1)</v>
      </c>
      <c r="K6" s="17" t="str" cm="1">
        <f t="array" ref="K6">Scope3_Equations.VEERG_15_11_1_1__3_UpstreamStationaryFuelEmissions_Source()</f>
        <v>VEERG 2026: 15.11.1.1, Equation (3)</v>
      </c>
      <c r="O6" s="184"/>
      <c r="P6" s="184"/>
      <c r="Q6" s="184"/>
      <c r="R6" s="184"/>
    </row>
    <row r="7" spans="1:18" ht="20.100000000000001" customHeight="1" x14ac:dyDescent="0.25">
      <c r="D7" s="117" t="s">
        <v>382</v>
      </c>
      <c r="E7" s="117" t="str" cm="1">
        <f t="array" aca="1" ref="E7" ca="1">Common_InputFunctions.Utility_DisplayFunctionName(N25)</f>
        <v>=Fuel_Equations.VEERG_8_2_1_1__1_FuelCombustionStationary</v>
      </c>
      <c r="K7" s="25" t="str" cm="1">
        <f t="array" ref="K7">Scope3_Equations.VEERG_15_11_1_1__3_UpstreamStationaryFuelEmissions_Variation()</f>
        <v>VARIATION ON SOURCE: Added 'state' and 'metro/non-metro' arguments as gaseous scope 3 EFs are state and metro/non-metro location-based.</v>
      </c>
      <c r="O7" s="184"/>
      <c r="P7" s="184"/>
      <c r="Q7" s="184"/>
      <c r="R7" s="184"/>
    </row>
    <row r="8" spans="1:18" ht="20.100000000000001" customHeight="1" x14ac:dyDescent="0.25">
      <c r="K8" s="117" t="s">
        <v>382</v>
      </c>
      <c r="L8" s="117" t="str" cm="1">
        <f t="array" aca="1" ref="L8" ca="1">Common_InputFunctions.Utility_DisplayFunctionName(Q25)</f>
        <v>=Fuel_Equations.VEERG_8_2_1_1__1_FuelCombustionStationary</v>
      </c>
      <c r="O8" s="184"/>
      <c r="P8" s="184"/>
      <c r="Q8" s="184"/>
      <c r="R8" s="184"/>
    </row>
    <row r="9" spans="1:18" ht="20.100000000000001" customHeight="1" x14ac:dyDescent="0.25">
      <c r="A9" s="7" t="s">
        <v>0</v>
      </c>
      <c r="G9" s="17"/>
      <c r="O9" s="184"/>
      <c r="P9" s="184"/>
      <c r="Q9" s="184"/>
      <c r="R9" s="184"/>
    </row>
    <row r="10" spans="1:18" ht="20.100000000000001" customHeight="1" x14ac:dyDescent="0.25">
      <c r="A10" s="5" t="str">
        <f>HYPERLINK("#'Input - Enterprise'!A1", "Enterprise")</f>
        <v>Enterprise</v>
      </c>
      <c r="O10" s="184"/>
      <c r="P10" s="184"/>
      <c r="Q10" s="184"/>
      <c r="R10" s="184"/>
    </row>
    <row r="11" spans="1:18" ht="20.100000000000001" customHeight="1" x14ac:dyDescent="0.25">
      <c r="A11" s="5" t="str">
        <f>HYPERLINK("#'Input - Site'!A1", "Site")</f>
        <v>Site</v>
      </c>
      <c r="D11" s="76" t="s">
        <v>383</v>
      </c>
      <c r="E11" s="1" t="str" cm="1">
        <f t="array" ref="E11">Fuel_Equations.VEERG_8_2_1_1__1_FuelCombustionStationary_Variable()</f>
        <v>E_g</v>
      </c>
      <c r="K11" s="76" t="s">
        <v>383</v>
      </c>
      <c r="L11" s="1" t="str" cm="1">
        <f t="array" ref="L11">Scope3_Equations.VEERG_15_11_1_1__3_UpstreamStationaryFuelEmissions_Variable()</f>
        <v>E_WTTSCq</v>
      </c>
      <c r="O11" s="184"/>
      <c r="P11" s="184"/>
      <c r="Q11" s="184"/>
      <c r="R11" s="184"/>
    </row>
    <row r="12" spans="1:18" ht="20.100000000000001" customHeight="1" x14ac:dyDescent="0.25">
      <c r="A12" s="5" t="str">
        <f>HYPERLINK("#'Input - Dairy'!A1", "Dairy")</f>
        <v>Dairy</v>
      </c>
      <c r="D12" s="76" t="s">
        <v>118</v>
      </c>
      <c r="E12" s="9" t="str" cm="1">
        <f t="array" ref="E12">Fuel_Equations.VEERG_8_2_1_1__1_FuelCombustionStationary_Unit()</f>
        <v>t CO2-e</v>
      </c>
      <c r="K12" s="76" t="s">
        <v>118</v>
      </c>
      <c r="L12" s="9" t="str" cm="1">
        <f t="array" ref="L12">Scope3_Equations.VEERG_15_11_1_1__3_UpstreamStationaryFuelEmissions_Unit()</f>
        <v>t CO2e</v>
      </c>
    </row>
    <row r="13" spans="1:18" ht="20.100000000000001" customHeight="1" x14ac:dyDescent="0.25">
      <c r="A13" s="5" t="str">
        <f>HYPERLINK("#'Input - Livestock sales'!A1", "Livestock sales")</f>
        <v>Livestock sales</v>
      </c>
    </row>
    <row r="14" spans="1:18" ht="20.100000000000001" customHeight="1" x14ac:dyDescent="0.25">
      <c r="A14" s="5" t="str">
        <f>HYPERLINK("#'Input - Dairy cattle purchases'!A1", "Dairy cattle purchases")</f>
        <v>Dairy cattle purchases</v>
      </c>
      <c r="D14" s="119" t="str" cm="1">
        <f t="array" ref="D14:E20">_xlfn.CHOOSECOLS(Fuel_Equations.VEERG_8_2_1_1__1_FuelCombustionStationary_Arguments(), 1,2)</f>
        <v>Q_SCq</v>
      </c>
      <c r="E14" s="124" t="str">
        <v>Amount of fuel type q used for stationary combustion operations</v>
      </c>
      <c r="F14" s="125"/>
      <c r="G14" s="119" t="str" cm="1">
        <f t="array" ref="G14:H20">_xlfn.CHOOSECOLS(Fuel_Equations.VEERG_8_2_1_1__1_FuelCombustionStationary_Arguments(), 3,4)</f>
        <v>Varies based on fuel type: kL, m3, GJ</v>
      </c>
      <c r="H14" s="120" t="str">
        <v>Input</v>
      </c>
      <c r="I14" s="126" t="str" cm="1">
        <f t="array" aca="1" ref="I14" ca="1">HYPERLINK(Common_InputFunctions.Utility_SourceHyperlink($D$22), $D$22)</f>
        <v>Table_E_g</v>
      </c>
      <c r="K14" s="119" t="str" cm="1">
        <f t="array" ref="K14:L18">_xlfn.CHOOSECOLS(Scope3_Equations.VEERG_15_11_1_1__3_UpstreamStationaryFuelEmissions_Arguments(),1,2)</f>
        <v>Q_SCq</v>
      </c>
      <c r="L14" s="119" t="str">
        <v>amount of fuel q used for stationary combustion operations</v>
      </c>
      <c r="M14" s="119"/>
      <c r="N14" s="119" t="str" cm="1">
        <f t="array" ref="N14:O18">_xlfn.CHOOSECOLS(Scope3_Equations.VEERG_15_11_1_1__3_UpstreamStationaryFuelEmissions_Arguments(),3,4)</f>
        <v>kL</v>
      </c>
      <c r="O14" s="120" t="str">
        <v>Input</v>
      </c>
      <c r="P14" s="126" t="str" cm="1">
        <f t="array" aca="1" ref="P14" ca="1">HYPERLINK(Common_InputFunctions.Utility_SourceHyperlink($D$22), $D$22)</f>
        <v>Table_E_g</v>
      </c>
      <c r="Q14" s="184"/>
    </row>
    <row r="15" spans="1:18" ht="20.100000000000001" customHeight="1" x14ac:dyDescent="0.25">
      <c r="A15" s="5" t="str">
        <f>HYPERLINK("#'Input - Pasture'!A1", "Pasture")</f>
        <v>Pasture</v>
      </c>
      <c r="D15" s="119" t="str">
        <v>EC_SCq</v>
      </c>
      <c r="E15" s="124" t="str">
        <v>Energy content factor for stationary combustion operations</v>
      </c>
      <c r="F15" s="125"/>
      <c r="G15" s="119" t="str">
        <v>GJ / unit of fuel</v>
      </c>
      <c r="H15" s="127" t="str">
        <v>Constant</v>
      </c>
      <c r="I15" s="126" t="str" cm="1">
        <f t="array" aca="1" ref="I15" ca="1">HYPERLINK(Common_InputFunctions.Utility_SourceHyperlink($D$22), $D$22)</f>
        <v>Table_E_g</v>
      </c>
      <c r="K15" s="119" t="str">
        <v>EC_SCq</v>
      </c>
      <c r="L15" s="119" t="str">
        <v>energy content factor for stationary combustion operations</v>
      </c>
      <c r="M15" s="119"/>
      <c r="N15" s="119" t="str">
        <v>GJ/kL</v>
      </c>
      <c r="O15" s="127" t="str">
        <v>Constant</v>
      </c>
      <c r="P15" s="126" t="str" cm="1">
        <f t="array" aca="1" ref="P15" ca="1">HYPERLINK(Common_InputFunctions.Utility_SourceHyperlink($D$22), $D$22)</f>
        <v>Table_E_g</v>
      </c>
      <c r="Q15" s="184"/>
    </row>
    <row r="16" spans="1:18" ht="20.100000000000001" customHeight="1" x14ac:dyDescent="0.25">
      <c r="A16" s="5" t="str">
        <f>HYPERLINK("#'Input - Fert Prod System'!A1", "Fert Prod System")</f>
        <v>Fert Prod System</v>
      </c>
      <c r="D16" s="119" t="str">
        <v>EF_SC1qg</v>
      </c>
      <c r="E16" s="124" t="str">
        <v>Scope 1 emission factor for stationary combustion for each greenhouse gas</v>
      </c>
      <c r="F16" s="125"/>
      <c r="G16" s="119" t="str">
        <v>kg CO2e / GJ</v>
      </c>
      <c r="H16" s="127" t="str">
        <v>Constant</v>
      </c>
      <c r="I16" s="126" t="str" cm="1">
        <f t="array" aca="1" ref="I16" ca="1">HYPERLINK(Common_InputFunctions.Utility_SourceHyperlink($D$22), $D$22)</f>
        <v>Table_E_g</v>
      </c>
      <c r="K16" s="119" t="str">
        <v>EF_SC3q</v>
      </c>
      <c r="L16" s="119" t="str">
        <v>scope 3 emission factor for stationary combustion operations</v>
      </c>
      <c r="M16" s="119"/>
      <c r="N16" s="119" t="str">
        <v>kg CO2e/GJ</v>
      </c>
      <c r="O16" s="127" t="str">
        <v>Constant</v>
      </c>
      <c r="P16" s="126" t="str" cm="1">
        <f t="array" aca="1" ref="P16" ca="1">HYPERLINK(Common_InputFunctions.Utility_SourceHyperlink($D$22), $D$22)</f>
        <v>Table_E_g</v>
      </c>
      <c r="Q16" s="184"/>
    </row>
    <row r="17" spans="1:17" ht="20.100000000000001" customHeight="1" x14ac:dyDescent="0.25">
      <c r="A17" s="5" t="str">
        <f>HYPERLINK("#'Input - Fertiliser'!A1", "Fertiliser")</f>
        <v>Fertiliser</v>
      </c>
      <c r="D17" s="119" t="str">
        <v>q</v>
      </c>
      <c r="E17" s="124" t="str">
        <v>Fuel type</v>
      </c>
      <c r="F17" s="125"/>
      <c r="G17" s="119" t="str">
        <v/>
      </c>
      <c r="H17" s="127" t="str">
        <v>Constant</v>
      </c>
      <c r="I17" s="126"/>
      <c r="J17" s="184"/>
      <c r="K17" s="119" t="str">
        <v>i</v>
      </c>
      <c r="L17" s="124" t="str">
        <v>state</v>
      </c>
      <c r="M17" s="125"/>
      <c r="N17" s="119" t="str">
        <v/>
      </c>
      <c r="O17" s="120" t="str">
        <v>Input</v>
      </c>
      <c r="P17" s="119" t="str">
        <f>X_Cell_Site_State</f>
        <v>Western Australia</v>
      </c>
      <c r="Q17" s="184"/>
    </row>
    <row r="18" spans="1:17" ht="20.100000000000001" customHeight="1" x14ac:dyDescent="0.25">
      <c r="A18" s="5" t="str">
        <f>HYPERLINK("#'Input - Fuel'!A1", "Fuel")</f>
        <v>Fuel</v>
      </c>
      <c r="D18" s="119" t="str">
        <v>SC</v>
      </c>
      <c r="E18" s="124" t="str">
        <v>Stationary combustion</v>
      </c>
      <c r="F18" s="125"/>
      <c r="G18" s="119" t="str">
        <v/>
      </c>
      <c r="H18" s="127" t="str">
        <v>Constant</v>
      </c>
      <c r="I18" s="126"/>
      <c r="J18" s="184"/>
      <c r="K18" s="119" t="str">
        <v>m</v>
      </c>
      <c r="L18" s="124" t="str">
        <v>metropolitan/non-metropolitan location</v>
      </c>
      <c r="M18" s="125"/>
      <c r="N18" s="119" t="str">
        <v/>
      </c>
      <c r="O18" s="120" t="str">
        <v>Input</v>
      </c>
      <c r="P18" s="119" t="str">
        <f>X_Cell_Fuel_IsMetroLocation</f>
        <v>Metro</v>
      </c>
      <c r="Q18" s="184"/>
    </row>
    <row r="19" spans="1:17" ht="20.100000000000001" customHeight="1" x14ac:dyDescent="0.25">
      <c r="A19" s="5" t="str">
        <f>HYPERLINK("#'Input - Electricity'!A1", "Electricity")</f>
        <v>Electricity</v>
      </c>
      <c r="D19" s="119" t="str">
        <v>g</v>
      </c>
      <c r="E19" s="124" t="str">
        <v>Greenhouse gas</v>
      </c>
      <c r="F19" s="125"/>
      <c r="G19" s="119" t="str">
        <v/>
      </c>
      <c r="H19" s="127" t="str">
        <v>Constant</v>
      </c>
      <c r="I19" s="126"/>
      <c r="J19" s="184"/>
      <c r="L19" s="184"/>
      <c r="N19" s="184"/>
      <c r="O19" s="184"/>
      <c r="P19" s="184"/>
      <c r="Q19" s="184"/>
    </row>
    <row r="20" spans="1:17" ht="20.100000000000001" customHeight="1" x14ac:dyDescent="0.25">
      <c r="A20" s="5" t="str">
        <f>HYPERLINK("#'Input - Common farm inputs'!A1", "Common farm inputs")</f>
        <v>Common farm inputs</v>
      </c>
      <c r="D20" s="119" t="str">
        <v>1</v>
      </c>
      <c r="E20" s="124" t="str">
        <v>Scope 1</v>
      </c>
      <c r="F20" s="125"/>
      <c r="G20" s="119" t="str">
        <v/>
      </c>
      <c r="H20" s="127" t="str">
        <v>Constant</v>
      </c>
      <c r="I20" s="126"/>
      <c r="J20" s="184"/>
      <c r="L20" s="184"/>
      <c r="N20" s="184"/>
      <c r="O20" s="184"/>
      <c r="P20" s="184"/>
      <c r="Q20" s="184"/>
    </row>
    <row r="21" spans="1:17" ht="20.100000000000001" customHeight="1" x14ac:dyDescent="0.25">
      <c r="A21" s="5" t="str">
        <f>HYPERLINK("#'Input - Crop pasture farm input'!A1", "Crop pasture farm input")</f>
        <v>Crop pasture farm input</v>
      </c>
      <c r="O21" s="184"/>
      <c r="P21" s="184"/>
      <c r="Q21" s="184"/>
    </row>
    <row r="22" spans="1:17" ht="20.100000000000001" customHeight="1" x14ac:dyDescent="0.25">
      <c r="A22" s="5" t="str">
        <f>HYPERLINK("#'Input - Livestock farm Inputs'!A1", "Livestock farm Inputs")</f>
        <v>Livestock farm Inputs</v>
      </c>
      <c r="D22" s="121" t="s">
        <v>929</v>
      </c>
    </row>
    <row r="23" spans="1:17" ht="20.100000000000001" customHeight="1" x14ac:dyDescent="0.25">
      <c r="A23" s="5" t="str">
        <f>HYPERLINK("#'Input - Freight'!A1", "Freight")</f>
        <v>Freight</v>
      </c>
      <c r="D23" s="122" t="s">
        <v>950</v>
      </c>
    </row>
    <row r="24" spans="1:17" ht="20.100000000000001" customHeight="1" x14ac:dyDescent="0.25">
      <c r="A24" s="5" t="str">
        <f>HYPERLINK("#'Input - Solid waste'!A1", "Solid waste")</f>
        <v>Solid waste</v>
      </c>
      <c r="D24" s="123" t="s">
        <v>931</v>
      </c>
      <c r="E24" s="123" t="s">
        <v>932</v>
      </c>
      <c r="F24" s="123" t="s">
        <v>933</v>
      </c>
      <c r="G24" s="123" t="s">
        <v>951</v>
      </c>
      <c r="H24" s="123" t="s">
        <v>952</v>
      </c>
      <c r="I24" s="123" t="s">
        <v>953</v>
      </c>
      <c r="J24" s="123" t="s">
        <v>954</v>
      </c>
      <c r="K24" s="123" t="s">
        <v>955</v>
      </c>
      <c r="L24" s="81" t="s">
        <v>956</v>
      </c>
      <c r="M24" s="123" t="s">
        <v>940</v>
      </c>
      <c r="N24" s="123" t="s">
        <v>941</v>
      </c>
      <c r="O24" s="123" t="s">
        <v>942</v>
      </c>
      <c r="P24" s="123" t="s">
        <v>943</v>
      </c>
      <c r="Q24" s="123" t="s">
        <v>957</v>
      </c>
    </row>
    <row r="25" spans="1:17" ht="20.100000000000001" customHeight="1" x14ac:dyDescent="0.25">
      <c r="A25" s="5" t="str">
        <f>HYPERLINK("#'Input - Manure sent off-site'!A1", "Manure sent off-site")</f>
        <v>Manure sent off-site</v>
      </c>
      <c r="D25" s="24" t="str">
        <f>Table_FuelTypesPerUse[[#Headers],[Generators]]</f>
        <v>Generators</v>
      </c>
      <c r="E25" s="207" t="str">
        <f>'Constants - Fuel'!$D$58</f>
        <v>Automotive gasoline / petrol (other than for use as fuel in an aircraft)</v>
      </c>
      <c r="F25" s="207" t="str">
        <f>'Constants - Fuel'!D131</f>
        <v>Petrol</v>
      </c>
      <c r="G25" s="15">
        <f>IFERROR(_xlfn.XLOOKUP($E25, Table_Fuel_EFs_StationaryLiquid[Fuel combusted], Table_Fuel_EFs_StationaryLiquid[Energy Content Factor (GJ per unit of fuel)]),0)</f>
        <v>34.200000000000003</v>
      </c>
      <c r="H25" s="15">
        <f>IFERROR(_xlfn.XLOOKUP($E25, Table_Fuel_EFs_StationaryLiquid[Fuel combusted], Table_Fuel_EFs_StationaryLiquid[Scope 1 Emission Factor (kg CO2 - e / GJ) CO2]),0)</f>
        <v>67.400000000000006</v>
      </c>
      <c r="I25" s="15">
        <f>IFERROR(_xlfn.XLOOKUP($E25, Table_Fuel_EFs_StationaryLiquid[Fuel combusted], Table_Fuel_EFs_StationaryLiquid[Scope 1 Emission Factor (kg CO2 - e / GJ) CH4]),0)</f>
        <v>0.2</v>
      </c>
      <c r="J25" s="15">
        <f>IFERROR(_xlfn.XLOOKUP($E25, Table_Fuel_EFs_StationaryLiquid[Fuel combusted], Table_Fuel_EFs_StationaryLiquid[Scope 1 Emission Factor (kg CO2 - e / GJ) N2O]),0)</f>
        <v>0.2</v>
      </c>
      <c r="K25" s="15">
        <f>IFERROR(_xlfn.XLOOKUP($E25, Table_Fuel_EFs_StationaryLiquid[Fuel combusted], Table_Fuel_EFs_StationaryLiquid[Scope 3 Emission Factor (kg CO2 - e / GJ)]),0)</f>
        <v>17.2</v>
      </c>
      <c r="L25" s="187" cm="1">
        <f t="array" ref="L25">Fuel_InputFunctions.Fuel_TotalConsumption(Table_Input_Fuel[Amount consumed], Table_Input_Fuel[Fuel use (select)], D25, Table_Input_Fuel[Fuel type (select)],F25)</f>
        <v>0</v>
      </c>
      <c r="M25" s="187" t="str" cm="1">
        <f t="array" ref="M25">Common_InputFunctions.Utility_LookupValueInTable(F25,Table_FuelTypes_Units[Fuel type],Table_FuelTypes_Units[Unit])</f>
        <v>kL</v>
      </c>
      <c r="N25" s="229" cm="1">
        <f t="array" ref="N25">Fuel_Equations.VEERG_8_2_1_1__1_FuelCombustionStationary($L25,$G25,H25)</f>
        <v>0</v>
      </c>
      <c r="O25" s="229" cm="1">
        <f t="array" ref="O25">Fuel_Equations.VEERG_8_2_1_1__1_FuelCombustionStationary($L25,$G25,I25)</f>
        <v>0</v>
      </c>
      <c r="P25" s="229" cm="1">
        <f t="array" ref="P25">Fuel_Equations.VEERG_8_2_1_1__1_FuelCombustionStationary($L25,$G25,J25)</f>
        <v>0</v>
      </c>
      <c r="Q25" s="229" cm="1">
        <f t="array" ref="Q25">Fuel_Equations.VEERG_8_2_1_1__1_FuelCombustionStationary($L25,$G25,IF(ISNUMBER(K25), K25, 0))</f>
        <v>0</v>
      </c>
    </row>
    <row r="26" spans="1:17" ht="20.100000000000001" customHeight="1" x14ac:dyDescent="0.25">
      <c r="A26" s="5" t="str">
        <f>HYPERLINK("#'Input - Refrigerants'!A1", "Refrigerants")</f>
        <v>Refrigerants</v>
      </c>
      <c r="D26" s="209" t="str">
        <f t="shared" ref="D26:D31" si="0">$D$25</f>
        <v>Generators</v>
      </c>
      <c r="E26" s="207" t="str">
        <f>'Constants - Fuel'!$D$63</f>
        <v>Diesel oil</v>
      </c>
      <c r="F26" s="207" t="str">
        <f>'Constants - Fuel'!D132</f>
        <v>Diesel</v>
      </c>
      <c r="G26" s="15">
        <f>IFERROR(_xlfn.XLOOKUP($E26, Table_Fuel_EFs_StationaryLiquid[Fuel combusted], Table_Fuel_EFs_StationaryLiquid[Energy Content Factor (GJ per unit of fuel)]),0)</f>
        <v>38.6</v>
      </c>
      <c r="H26" s="15">
        <f>IFERROR(_xlfn.XLOOKUP($E26, Table_Fuel_EFs_StationaryLiquid[Fuel combusted], Table_Fuel_EFs_StationaryLiquid[Scope 1 Emission Factor (kg CO2 - e / GJ) CO2]),0)</f>
        <v>69.900000000000006</v>
      </c>
      <c r="I26" s="15">
        <f>IFERROR(_xlfn.XLOOKUP($E26, Table_Fuel_EFs_StationaryLiquid[Fuel combusted], Table_Fuel_EFs_StationaryLiquid[Scope 1 Emission Factor (kg CO2 - e / GJ) CH4]),0)</f>
        <v>0.1</v>
      </c>
      <c r="J26" s="15">
        <f>IFERROR(_xlfn.XLOOKUP($E26, Table_Fuel_EFs_StationaryLiquid[Fuel combusted], Table_Fuel_EFs_StationaryLiquid[Scope 1 Emission Factor (kg CO2 - e / GJ) N2O]),0)</f>
        <v>0.2</v>
      </c>
      <c r="K26" s="15">
        <f>IFERROR(_xlfn.XLOOKUP($E26, Table_Fuel_EFs_StationaryLiquid[Fuel combusted], Table_Fuel_EFs_StationaryLiquid[Scope 3 Emission Factor (kg CO2 - e / GJ)]),0)</f>
        <v>17.3</v>
      </c>
      <c r="L26" s="187" cm="1">
        <f t="array" ref="L26">Fuel_InputFunctions.Fuel_TotalConsumption(Table_Input_Fuel[Amount consumed], Table_Input_Fuel[Fuel use (select)], D26, Table_Input_Fuel[Fuel type (select)],F26)</f>
        <v>0</v>
      </c>
      <c r="M26" s="187" t="str" cm="1">
        <f t="array" ref="M26">Common_InputFunctions.Utility_LookupValueInTable(F26,Table_FuelTypes_Units[Fuel type],Table_FuelTypes_Units[Unit])</f>
        <v>kL</v>
      </c>
      <c r="N26" s="229" cm="1">
        <f t="array" ref="N26">Fuel_Equations.VEERG_8_2_1_1__1_FuelCombustionStationary($L26,$G26,H26)</f>
        <v>0</v>
      </c>
      <c r="O26" s="229" cm="1">
        <f t="array" ref="O26">Fuel_Equations.VEERG_8_2_1_1__1_FuelCombustionStationary($L26,$G26,I26)</f>
        <v>0</v>
      </c>
      <c r="P26" s="229" cm="1">
        <f t="array" ref="P26">Fuel_Equations.VEERG_8_2_1_1__1_FuelCombustionStationary($L26,$G26,J26)</f>
        <v>0</v>
      </c>
      <c r="Q26" s="229" cm="1">
        <f t="array" ref="Q26">Fuel_Equations.VEERG_8_2_1_1__1_FuelCombustionStationary($L26,$G26,IF(ISNUMBER(K26), K26, 0))</f>
        <v>0</v>
      </c>
    </row>
    <row r="27" spans="1:17" ht="20.100000000000001" customHeight="1" x14ac:dyDescent="0.25">
      <c r="A27" s="5" t="str">
        <f>HYPERLINK("#'Input - Data quality'!A1", "Data quality")</f>
        <v>Data quality</v>
      </c>
      <c r="D27" s="209" t="str">
        <f t="shared" si="0"/>
        <v>Generators</v>
      </c>
      <c r="E27" s="207" t="str">
        <f>'Constants - Fuel'!$D$67</f>
        <v>Liquefied petroleum gas (LPG)</v>
      </c>
      <c r="F27" s="207" t="str">
        <f>'Constants - Fuel'!D133</f>
        <v>Liquefied petroleum gas (LPG)</v>
      </c>
      <c r="G27" s="15">
        <f>IFERROR(_xlfn.XLOOKUP($E27, Table_Fuel_EFs_StationaryLiquid[Fuel combusted], Table_Fuel_EFs_StationaryLiquid[Energy Content Factor (GJ per unit of fuel)]),0)</f>
        <v>25.7</v>
      </c>
      <c r="H27" s="15">
        <f>IFERROR(_xlfn.XLOOKUP($E27, Table_Fuel_EFs_StationaryLiquid[Fuel combusted], Table_Fuel_EFs_StationaryLiquid[Scope 1 Emission Factor (kg CO2 - e / GJ) CO2]),0)</f>
        <v>60.2</v>
      </c>
      <c r="I27" s="15">
        <f>IFERROR(_xlfn.XLOOKUP($E27, Table_Fuel_EFs_StationaryLiquid[Fuel combusted], Table_Fuel_EFs_StationaryLiquid[Scope 1 Emission Factor (kg CO2 - e / GJ) CH4]),0)</f>
        <v>0.2</v>
      </c>
      <c r="J27" s="15">
        <f>IFERROR(_xlfn.XLOOKUP($E27, Table_Fuel_EFs_StationaryLiquid[Fuel combusted], Table_Fuel_EFs_StationaryLiquid[Scope 1 Emission Factor (kg CO2 - e / GJ) N2O]),0)</f>
        <v>0.2</v>
      </c>
      <c r="K27" s="15">
        <f>IFERROR(_xlfn.XLOOKUP($E27, Table_Fuel_EFs_StationaryLiquid[Fuel combusted], Table_Fuel_EFs_StationaryLiquid[Scope 3 Emission Factor (kg CO2 - e / GJ)]),0)</f>
        <v>20.2</v>
      </c>
      <c r="L27" s="187" cm="1">
        <f t="array" ref="L27">Fuel_InputFunctions.Fuel_TotalConsumption(Table_Input_Fuel[Amount consumed], Table_Input_Fuel[Fuel use (select)], D27, Table_Input_Fuel[Fuel type (select)],F27)</f>
        <v>0</v>
      </c>
      <c r="M27" s="187" t="str" cm="1">
        <f t="array" ref="M27">Common_InputFunctions.Utility_LookupValueInTable(F27,Table_FuelTypes_Units[Fuel type],Table_FuelTypes_Units[Unit])</f>
        <v>kL</v>
      </c>
      <c r="N27" s="229" cm="1">
        <f t="array" ref="N27">Fuel_Equations.VEERG_8_2_1_1__1_FuelCombustionStationary($L27,$G27,H27)</f>
        <v>0</v>
      </c>
      <c r="O27" s="229" cm="1">
        <f t="array" ref="O27">Fuel_Equations.VEERG_8_2_1_1__1_FuelCombustionStationary($L27,$G27,I27)</f>
        <v>0</v>
      </c>
      <c r="P27" s="229" cm="1">
        <f t="array" ref="P27">Fuel_Equations.VEERG_8_2_1_1__1_FuelCombustionStationary($L27,$G27,J27)</f>
        <v>0</v>
      </c>
      <c r="Q27" s="229" cm="1">
        <f t="array" ref="Q27">Fuel_Equations.VEERG_8_2_1_1__1_FuelCombustionStationary($L27,$G27,IF(ISNUMBER(K27), K27, 0))</f>
        <v>0</v>
      </c>
    </row>
    <row r="28" spans="1:17" ht="20.100000000000001" customHeight="1" x14ac:dyDescent="0.25">
      <c r="D28" s="209" t="str">
        <f t="shared" si="0"/>
        <v>Generators</v>
      </c>
      <c r="E28" s="207" t="str">
        <f>'Constants - Fuel'!$D$73</f>
        <v>Biodiesel</v>
      </c>
      <c r="F28" s="207" t="str">
        <f>'Constants - Fuel'!D134</f>
        <v>Biodiesel</v>
      </c>
      <c r="G28" s="15">
        <f>IFERROR(_xlfn.XLOOKUP($E28, Table_Fuel_EFs_StationaryLiquid[Fuel combusted], Table_Fuel_EFs_StationaryLiquid[Energy Content Factor (GJ per unit of fuel)]),0)</f>
        <v>34.6</v>
      </c>
      <c r="H28" s="15">
        <f>IFERROR(_xlfn.XLOOKUP($E28, Table_Fuel_EFs_StationaryLiquid[Fuel combusted], Table_Fuel_EFs_StationaryLiquid[Scope 1 Emission Factor (kg CO2 - e / GJ) CO2]),0)</f>
        <v>0</v>
      </c>
      <c r="I28" s="15">
        <f>IFERROR(_xlfn.XLOOKUP($E28, Table_Fuel_EFs_StationaryLiquid[Fuel combusted], Table_Fuel_EFs_StationaryLiquid[Scope 1 Emission Factor (kg CO2 - e / GJ) CH4]),0)</f>
        <v>0.08</v>
      </c>
      <c r="J28" s="15">
        <f>IFERROR(_xlfn.XLOOKUP($E28, Table_Fuel_EFs_StationaryLiquid[Fuel combusted], Table_Fuel_EFs_StationaryLiquid[Scope 1 Emission Factor (kg CO2 - e / GJ) N2O]),0)</f>
        <v>0.2</v>
      </c>
      <c r="K28" s="15" t="str">
        <f>IFERROR(_xlfn.XLOOKUP($E28, Table_Fuel_EFs_StationaryLiquid[Fuel combusted], Table_Fuel_EFs_StationaryLiquid[Scope 3 Emission Factor (kg CO2 - e / GJ)]),0)</f>
        <v>NE</v>
      </c>
      <c r="L28" s="187" cm="1">
        <f t="array" ref="L28">Fuel_InputFunctions.Fuel_TotalConsumption(Table_Input_Fuel[Amount consumed], Table_Input_Fuel[Fuel use (select)], D28, Table_Input_Fuel[Fuel type (select)],F28)</f>
        <v>0</v>
      </c>
      <c r="M28" s="187" t="str" cm="1">
        <f t="array" ref="M28">Common_InputFunctions.Utility_LookupValueInTable(F28,Table_FuelTypes_Units[Fuel type],Table_FuelTypes_Units[Unit])</f>
        <v>kL</v>
      </c>
      <c r="N28" s="229" cm="1">
        <f t="array" ref="N28">Fuel_Equations.VEERG_8_2_1_1__1_FuelCombustionStationary($L28,$G28,H28)</f>
        <v>0</v>
      </c>
      <c r="O28" s="229" cm="1">
        <f t="array" ref="O28">Fuel_Equations.VEERG_8_2_1_1__1_FuelCombustionStationary($L28,$G28,I28)</f>
        <v>0</v>
      </c>
      <c r="P28" s="229" cm="1">
        <f t="array" ref="P28">Fuel_Equations.VEERG_8_2_1_1__1_FuelCombustionStationary($L28,$G28,J28)</f>
        <v>0</v>
      </c>
      <c r="Q28" s="229" cm="1">
        <f t="array" ref="Q28">Fuel_Equations.VEERG_8_2_1_1__1_FuelCombustionStationary($L28,$G28,IF(ISNUMBER(K28), K28, 0))</f>
        <v>0</v>
      </c>
    </row>
    <row r="29" spans="1:17" ht="20.100000000000001" customHeight="1" x14ac:dyDescent="0.25">
      <c r="D29" s="209" t="str">
        <f t="shared" si="0"/>
        <v>Generators</v>
      </c>
      <c r="E29" s="207" t="str">
        <f>'Constants - Fuel'!$D$74</f>
        <v>Ethanol for use as a fuel in an internal combustion engine</v>
      </c>
      <c r="F29" s="207" t="str">
        <f>'Constants - Fuel'!D135</f>
        <v>Ethanol</v>
      </c>
      <c r="G29" s="15">
        <f>IFERROR(_xlfn.XLOOKUP($E29, Table_Fuel_EFs_StationaryLiquid[Fuel combusted], Table_Fuel_EFs_StationaryLiquid[Energy Content Factor (GJ per unit of fuel)]),0)</f>
        <v>23.4</v>
      </c>
      <c r="H29" s="15">
        <f>IFERROR(_xlfn.XLOOKUP($E29, Table_Fuel_EFs_StationaryLiquid[Fuel combusted], Table_Fuel_EFs_StationaryLiquid[Scope 1 Emission Factor (kg CO2 - e / GJ) CO2]),0)</f>
        <v>0</v>
      </c>
      <c r="I29" s="15">
        <f>IFERROR(_xlfn.XLOOKUP($E29, Table_Fuel_EFs_StationaryLiquid[Fuel combusted], Table_Fuel_EFs_StationaryLiquid[Scope 1 Emission Factor (kg CO2 - e / GJ) CH4]),0)</f>
        <v>0.08</v>
      </c>
      <c r="J29" s="15">
        <f>IFERROR(_xlfn.XLOOKUP($E29, Table_Fuel_EFs_StationaryLiquid[Fuel combusted], Table_Fuel_EFs_StationaryLiquid[Scope 1 Emission Factor (kg CO2 - e / GJ) N2O]),0)</f>
        <v>0.2</v>
      </c>
      <c r="K29" s="15" t="str">
        <f>IFERROR(_xlfn.XLOOKUP($E29, Table_Fuel_EFs_StationaryLiquid[Fuel combusted], Table_Fuel_EFs_StationaryLiquid[Scope 3 Emission Factor (kg CO2 - e / GJ)]),0)</f>
        <v>NE</v>
      </c>
      <c r="L29" s="187" cm="1">
        <f t="array" ref="L29">Fuel_InputFunctions.Fuel_TotalConsumption(Table_Input_Fuel[Amount consumed], Table_Input_Fuel[Fuel use (select)], D29, Table_Input_Fuel[Fuel type (select)],F29)</f>
        <v>0</v>
      </c>
      <c r="M29" s="187" t="str" cm="1">
        <f t="array" ref="M29">Common_InputFunctions.Utility_LookupValueInTable(F29,Table_FuelTypes_Units[Fuel type],Table_FuelTypes_Units[Unit])</f>
        <v>kL</v>
      </c>
      <c r="N29" s="229" cm="1">
        <f t="array" ref="N29">Fuel_Equations.VEERG_8_2_1_1__1_FuelCombustionStationary($L29,$G29,H29)</f>
        <v>0</v>
      </c>
      <c r="O29" s="229" cm="1">
        <f t="array" ref="O29">Fuel_Equations.VEERG_8_2_1_1__1_FuelCombustionStationary($L29,$G29,I29)</f>
        <v>0</v>
      </c>
      <c r="P29" s="229" cm="1">
        <f t="array" ref="P29">Fuel_Equations.VEERG_8_2_1_1__1_FuelCombustionStationary($L29,$G29,J29)</f>
        <v>0</v>
      </c>
      <c r="Q29" s="229" cm="1">
        <f t="array" ref="Q29">Fuel_Equations.VEERG_8_2_1_1__1_FuelCombustionStationary($L29,$G29,IF(ISNUMBER(K29), K29, 0))</f>
        <v>0</v>
      </c>
    </row>
    <row r="30" spans="1:17" ht="20.100000000000001" customHeight="1" x14ac:dyDescent="0.25">
      <c r="A30" s="6" t="s">
        <v>2</v>
      </c>
      <c r="D30" s="209" t="str">
        <f t="shared" si="0"/>
        <v>Generators</v>
      </c>
      <c r="E30" s="207" t="str">
        <f>'Constants - Fuel'!$D$75</f>
        <v>Biofuels other than those mentioned in the items above and below</v>
      </c>
      <c r="F30" s="207" t="str">
        <f>'Constants - Fuel'!D136</f>
        <v>Other biofuels</v>
      </c>
      <c r="G30" s="15">
        <f>IFERROR(_xlfn.XLOOKUP($E30, Table_Fuel_EFs_StationaryLiquid[Fuel combusted], Table_Fuel_EFs_StationaryLiquid[Energy Content Factor (GJ per unit of fuel)]),0)</f>
        <v>23.4</v>
      </c>
      <c r="H30" s="15">
        <f>IFERROR(_xlfn.XLOOKUP($E30, Table_Fuel_EFs_StationaryLiquid[Fuel combusted], Table_Fuel_EFs_StationaryLiquid[Scope 1 Emission Factor (kg CO2 - e / GJ) CO2]),0)</f>
        <v>0</v>
      </c>
      <c r="I30" s="15">
        <f>IFERROR(_xlfn.XLOOKUP($E30, Table_Fuel_EFs_StationaryLiquid[Fuel combusted], Table_Fuel_EFs_StationaryLiquid[Scope 1 Emission Factor (kg CO2 - e / GJ) CH4]),0)</f>
        <v>0.08</v>
      </c>
      <c r="J30" s="15">
        <f>IFERROR(_xlfn.XLOOKUP($E30, Table_Fuel_EFs_StationaryLiquid[Fuel combusted], Table_Fuel_EFs_StationaryLiquid[Scope 1 Emission Factor (kg CO2 - e / GJ) N2O]),0)</f>
        <v>0.2</v>
      </c>
      <c r="K30" s="15" t="str">
        <f>IFERROR(_xlfn.XLOOKUP($E30, Table_Fuel_EFs_StationaryLiquid[Fuel combusted], Table_Fuel_EFs_StationaryLiquid[Scope 3 Emission Factor (kg CO2 - e / GJ)]),0)</f>
        <v>NE</v>
      </c>
      <c r="L30" s="187" cm="1">
        <f t="array" ref="L30">Fuel_InputFunctions.Fuel_TotalConsumption(Table_Input_Fuel[Amount consumed], Table_Input_Fuel[Fuel use (select)], D30, Table_Input_Fuel[Fuel type (select)],F30)</f>
        <v>0</v>
      </c>
      <c r="M30" s="187" t="str" cm="1">
        <f t="array" ref="M30">Common_InputFunctions.Utility_LookupValueInTable(F30,Table_FuelTypes_Units[Fuel type],Table_FuelTypes_Units[Unit])</f>
        <v>kL</v>
      </c>
      <c r="N30" s="229" cm="1">
        <f t="array" ref="N30">Fuel_Equations.VEERG_8_2_1_1__1_FuelCombustionStationary($L30,$G30,H30)</f>
        <v>0</v>
      </c>
      <c r="O30" s="229" cm="1">
        <f t="array" ref="O30">Fuel_Equations.VEERG_8_2_1_1__1_FuelCombustionStationary($L30,$G30,I30)</f>
        <v>0</v>
      </c>
      <c r="P30" s="229" cm="1">
        <f t="array" ref="P30">Fuel_Equations.VEERG_8_2_1_1__1_FuelCombustionStationary($L30,$G30,J30)</f>
        <v>0</v>
      </c>
      <c r="Q30" s="229" cm="1">
        <f t="array" ref="Q30">Fuel_Equations.VEERG_8_2_1_1__1_FuelCombustionStationary($L30,$G30,IF(ISNUMBER(K30), K30, 0))</f>
        <v>0</v>
      </c>
    </row>
    <row r="31" spans="1:17" ht="20.100000000000001" customHeight="1" x14ac:dyDescent="0.25">
      <c r="A31" s="5" t="str">
        <f>HYPERLINK("#'3.3.1.1-2 Enteric Methane'!A1", "3.3.1.1-2 Enteric methane")</f>
        <v>3.3.1.1-2 Enteric methane</v>
      </c>
      <c r="D31" s="209" t="str">
        <f t="shared" si="0"/>
        <v>Generators</v>
      </c>
      <c r="E31" s="207" t="str">
        <f>'Constants - Fuel'!$D$77</f>
        <v>Renewable diesel</v>
      </c>
      <c r="F31" s="207" t="str">
        <f>'Constants - Fuel'!D137</f>
        <v>Renewable diesel</v>
      </c>
      <c r="G31" s="205">
        <f>IFERROR(_xlfn.XLOOKUP($E31, Table_Fuel_EFs_StationaryLiquid[Fuel combusted], Table_Fuel_EFs_StationaryLiquid[Energy Content Factor (GJ per unit of fuel)]),0)</f>
        <v>38.6</v>
      </c>
      <c r="H31" s="205">
        <f>IFERROR(_xlfn.XLOOKUP($E31, Table_Fuel_EFs_StationaryLiquid[Fuel combusted], Table_Fuel_EFs_StationaryLiquid[Scope 1 Emission Factor (kg CO2 - e / GJ) CO2]),0)</f>
        <v>0</v>
      </c>
      <c r="I31" s="205">
        <f>IFERROR(_xlfn.XLOOKUP($E31, Table_Fuel_EFs_StationaryLiquid[Fuel combusted], Table_Fuel_EFs_StationaryLiquid[Scope 1 Emission Factor (kg CO2 - e / GJ) CH4]),0)</f>
        <v>0.1</v>
      </c>
      <c r="J31" s="205">
        <f>IFERROR(_xlfn.XLOOKUP($E31, Table_Fuel_EFs_StationaryLiquid[Fuel combusted], Table_Fuel_EFs_StationaryLiquid[Scope 1 Emission Factor (kg CO2 - e / GJ) N2O]),0)</f>
        <v>0.2</v>
      </c>
      <c r="K31" s="205" t="str">
        <f>IFERROR(_xlfn.XLOOKUP($E31, Table_Fuel_EFs_StationaryLiquid[Fuel combusted], Table_Fuel_EFs_StationaryLiquid[Scope 3 Emission Factor (kg CO2 - e / GJ)]),0)</f>
        <v>NE</v>
      </c>
      <c r="L31" s="210" cm="1">
        <f t="array" ref="L31">Fuel_InputFunctions.Fuel_TotalConsumption(Table_Input_Fuel[Amount consumed], Table_Input_Fuel[Fuel use (select)], D31, Table_Input_Fuel[Fuel type (select)],F31)</f>
        <v>0</v>
      </c>
      <c r="M31" s="210" t="str" cm="1">
        <f t="array" ref="M31">Common_InputFunctions.Utility_LookupValueInTable(F31,Table_FuelTypes_Units[Fuel type],Table_FuelTypes_Units[Unit])</f>
        <v>kL</v>
      </c>
      <c r="N31" s="230" cm="1">
        <f t="array" ref="N31">Fuel_Equations.VEERG_8_2_1_1__1_FuelCombustionStationary($L31,$G31,H31)</f>
        <v>0</v>
      </c>
      <c r="O31" s="230" cm="1">
        <f t="array" ref="O31">Fuel_Equations.VEERG_8_2_1_1__1_FuelCombustionStationary($L31,$G31,I31)</f>
        <v>0</v>
      </c>
      <c r="P31" s="230" cm="1">
        <f t="array" ref="P31">Fuel_Equations.VEERG_8_2_1_1__1_FuelCombustionStationary($L31,$G31,J31)</f>
        <v>0</v>
      </c>
      <c r="Q31" s="230" cm="1">
        <f t="array" ref="Q31">Fuel_Equations.VEERG_8_2_1_1__1_FuelCombustionStationary($L31,$G31,IF(ISNUMBER(K31), K31, 0))</f>
        <v>0</v>
      </c>
    </row>
    <row r="32" spans="1:17" ht="20.100000000000001" customHeight="1" x14ac:dyDescent="0.25">
      <c r="A32" s="5" t="str">
        <f>HYPERLINK("#'4.3.1.1-2 Methane'!A1", "4.3.1.1-2 Manure methane")</f>
        <v>4.3.1.1-2 Manure methane</v>
      </c>
      <c r="D32" s="212" t="str">
        <f>Table_FuelTypesPerUse[[#Headers],[Power standalone machinery or heating]]</f>
        <v>Power standalone machinery or heating</v>
      </c>
      <c r="E32" s="213" t="str">
        <f>'Constants - Fuel'!$D$58</f>
        <v>Automotive gasoline / petrol (other than for use as fuel in an aircraft)</v>
      </c>
      <c r="F32" s="213" t="str">
        <f>'Constants - Fuel'!E131</f>
        <v>Petrol</v>
      </c>
      <c r="G32" s="220">
        <f>IFERROR(_xlfn.XLOOKUP($E32, Table_Fuel_EFs_StationaryLiquid[Fuel combusted], Table_Fuel_EFs_StationaryLiquid[Energy Content Factor (GJ per unit of fuel)]),0)</f>
        <v>34.200000000000003</v>
      </c>
      <c r="H32" s="220">
        <f>IFERROR(_xlfn.XLOOKUP($E32, Table_Fuel_EFs_StationaryLiquid[Fuel combusted], Table_Fuel_EFs_StationaryLiquid[Scope 1 Emission Factor (kg CO2 - e / GJ) CO2]),0)</f>
        <v>67.400000000000006</v>
      </c>
      <c r="I32" s="220">
        <f>IFERROR(_xlfn.XLOOKUP($E32, Table_Fuel_EFs_StationaryLiquid[Fuel combusted], Table_Fuel_EFs_StationaryLiquid[Scope 1 Emission Factor (kg CO2 - e / GJ) CH4]),0)</f>
        <v>0.2</v>
      </c>
      <c r="J32" s="220">
        <f>IFERROR(_xlfn.XLOOKUP($E32, Table_Fuel_EFs_StationaryLiquid[Fuel combusted], Table_Fuel_EFs_StationaryLiquid[Scope 1 Emission Factor (kg CO2 - e / GJ) N2O]),0)</f>
        <v>0.2</v>
      </c>
      <c r="K32" s="220">
        <f>IFERROR(_xlfn.XLOOKUP($E32, Table_Fuel_EFs_StationaryLiquid[Fuel combusted], Table_Fuel_EFs_StationaryLiquid[Scope 3 Emission Factor (kg CO2 - e / GJ)]),0)</f>
        <v>17.2</v>
      </c>
      <c r="L32" s="216" cm="1">
        <f t="array" ref="L32">Fuel_InputFunctions.Fuel_TotalConsumption(Table_Input_Fuel[Amount consumed], Table_Input_Fuel[Fuel use (select)], D32, Table_Input_Fuel[Fuel type (select)],F32)</f>
        <v>10</v>
      </c>
      <c r="M32" s="217" t="str" cm="1">
        <f t="array" ref="M32">Common_InputFunctions.Utility_LookupValueInTable(F32,Table_FuelTypes_Units[Fuel type],Table_FuelTypes_Units[Unit])</f>
        <v>kL</v>
      </c>
      <c r="N32" s="231" cm="1">
        <f t="array" ref="N32">Fuel_Equations.VEERG_8_2_1_1__1_FuelCombustionStationary($L32,$G32,H32)</f>
        <v>23.050800000000002</v>
      </c>
      <c r="O32" s="231" cm="1">
        <f t="array" ref="O32">Fuel_Equations.VEERG_8_2_1_1__1_FuelCombustionStationary($L32,$G32,I32)</f>
        <v>6.8400000000000002E-2</v>
      </c>
      <c r="P32" s="231" cm="1">
        <f t="array" ref="P32">Fuel_Equations.VEERG_8_2_1_1__1_FuelCombustionStationary($L32,$G32,J32)</f>
        <v>6.8400000000000002E-2</v>
      </c>
      <c r="Q32" s="231" cm="1">
        <f t="array" ref="Q32">Fuel_Equations.VEERG_8_2_1_1__1_FuelCombustionStationary($L32,$G32,IF(ISNUMBER(K32), K32, 0))</f>
        <v>5.8823999999999996</v>
      </c>
    </row>
    <row r="33" spans="1:17" ht="20.100000000000001" customHeight="1" x14ac:dyDescent="0.25">
      <c r="A33" s="5" t="str">
        <f>HYPERLINK("#'4.3.1.3-4 Direct N20'!A1", "4.3.1.3-4 Direct N20")</f>
        <v>4.3.1.3-4 Direct N20</v>
      </c>
      <c r="D33" s="209" t="str">
        <f t="shared" ref="D33:D40" si="1">$D$32</f>
        <v>Power standalone machinery or heating</v>
      </c>
      <c r="E33" s="207" t="str">
        <f>'Constants - Fuel'!$D$63</f>
        <v>Diesel oil</v>
      </c>
      <c r="F33" s="207" t="str">
        <f>'Constants - Fuel'!E132</f>
        <v>Diesel</v>
      </c>
      <c r="G33" s="15">
        <f>IFERROR(_xlfn.XLOOKUP($E33, Table_Fuel_EFs_StationaryLiquid[Fuel combusted], Table_Fuel_EFs_StationaryLiquid[Energy Content Factor (GJ per unit of fuel)]),0)</f>
        <v>38.6</v>
      </c>
      <c r="H33" s="15">
        <f>IFERROR(_xlfn.XLOOKUP($E33, Table_Fuel_EFs_StationaryLiquid[Fuel combusted], Table_Fuel_EFs_StationaryLiquid[Scope 1 Emission Factor (kg CO2 - e / GJ) CO2]),0)</f>
        <v>69.900000000000006</v>
      </c>
      <c r="I33" s="15">
        <f>IFERROR(_xlfn.XLOOKUP($E33, Table_Fuel_EFs_StationaryLiquid[Fuel combusted], Table_Fuel_EFs_StationaryLiquid[Scope 1 Emission Factor (kg CO2 - e / GJ) CH4]),0)</f>
        <v>0.1</v>
      </c>
      <c r="J33" s="15">
        <f>IFERROR(_xlfn.XLOOKUP($E33, Table_Fuel_EFs_StationaryLiquid[Fuel combusted], Table_Fuel_EFs_StationaryLiquid[Scope 1 Emission Factor (kg CO2 - e / GJ) N2O]),0)</f>
        <v>0.2</v>
      </c>
      <c r="K33" s="15">
        <f>IFERROR(_xlfn.XLOOKUP($E33, Table_Fuel_EFs_StationaryLiquid[Fuel combusted], Table_Fuel_EFs_StationaryLiquid[Scope 3 Emission Factor (kg CO2 - e / GJ)]),0)</f>
        <v>17.3</v>
      </c>
      <c r="L33" s="15" cm="1">
        <f t="array" ref="L33">Fuel_InputFunctions.Fuel_TotalConsumption(Table_Input_Fuel[Amount consumed], Table_Input_Fuel[Fuel use (select)], D33, Table_Input_Fuel[Fuel type (select)],F33)</f>
        <v>0</v>
      </c>
      <c r="M33" s="15" t="str" cm="1">
        <f t="array" ref="M33">Common_InputFunctions.Utility_LookupValueInTable(F33,Table_FuelTypes_Units[Fuel type],Table_FuelTypes_Units[Unit])</f>
        <v>kL</v>
      </c>
      <c r="N33" s="229" cm="1">
        <f t="array" ref="N33">Fuel_Equations.VEERG_8_2_1_1__1_FuelCombustionStationary($L33,$G33,H33)</f>
        <v>0</v>
      </c>
      <c r="O33" s="229" cm="1">
        <f t="array" ref="O33">Fuel_Equations.VEERG_8_2_1_1__1_FuelCombustionStationary($L33,$G33,I33)</f>
        <v>0</v>
      </c>
      <c r="P33" s="229" cm="1">
        <f t="array" ref="P33">Fuel_Equations.VEERG_8_2_1_1__1_FuelCombustionStationary($L33,$G33,J33)</f>
        <v>0</v>
      </c>
      <c r="Q33" s="229" cm="1">
        <f t="array" ref="Q33">Fuel_Equations.VEERG_8_2_1_1__1_FuelCombustionStationary($L33,$G33,IF(ISNUMBER(K33), K33, 0))</f>
        <v>0</v>
      </c>
    </row>
    <row r="34" spans="1:17" ht="20.100000000000001" customHeight="1" x14ac:dyDescent="0.25">
      <c r="A34" s="5" t="str">
        <f>HYPERLINK("#'4.3.1.5 Atmos deposition'!A1", "4.3.1.5 Atmos deposition")</f>
        <v>4.3.1.5 Atmos deposition</v>
      </c>
      <c r="D34" s="209" t="str">
        <f t="shared" si="1"/>
        <v>Power standalone machinery or heating</v>
      </c>
      <c r="E34" s="207" t="str">
        <f>'Constants - Fuel'!$D$67</f>
        <v>Liquefied petroleum gas (LPG)</v>
      </c>
      <c r="F34" s="207" t="str">
        <f>'Constants - Fuel'!E133</f>
        <v>Liquefied petroleum gas (LPG)</v>
      </c>
      <c r="G34" s="15">
        <f>IFERROR(_xlfn.XLOOKUP($E34, Table_Fuel_EFs_StationaryLiquid[Fuel combusted], Table_Fuel_EFs_StationaryLiquid[Energy Content Factor (GJ per unit of fuel)]),0)</f>
        <v>25.7</v>
      </c>
      <c r="H34" s="15">
        <f>IFERROR(_xlfn.XLOOKUP($E34, Table_Fuel_EFs_StationaryLiquid[Fuel combusted], Table_Fuel_EFs_StationaryLiquid[Scope 1 Emission Factor (kg CO2 - e / GJ) CO2]),0)</f>
        <v>60.2</v>
      </c>
      <c r="I34" s="15">
        <f>IFERROR(_xlfn.XLOOKUP($E34, Table_Fuel_EFs_StationaryLiquid[Fuel combusted], Table_Fuel_EFs_StationaryLiquid[Scope 1 Emission Factor (kg CO2 - e / GJ) CH4]),0)</f>
        <v>0.2</v>
      </c>
      <c r="J34" s="15">
        <f>IFERROR(_xlfn.XLOOKUP($E34, Table_Fuel_EFs_StationaryLiquid[Fuel combusted], Table_Fuel_EFs_StationaryLiquid[Scope 1 Emission Factor (kg CO2 - e / GJ) N2O]),0)</f>
        <v>0.2</v>
      </c>
      <c r="K34" s="15">
        <f>IFERROR(_xlfn.XLOOKUP($E34, Table_Fuel_EFs_StationaryLiquid[Fuel combusted], Table_Fuel_EFs_StationaryLiquid[Scope 3 Emission Factor (kg CO2 - e / GJ)]),0)</f>
        <v>20.2</v>
      </c>
      <c r="L34" s="15" cm="1">
        <f t="array" ref="L34">Fuel_InputFunctions.Fuel_TotalConsumption(Table_Input_Fuel[Amount consumed], Table_Input_Fuel[Fuel use (select)], D34, Table_Input_Fuel[Fuel type (select)],F34)</f>
        <v>0</v>
      </c>
      <c r="M34" s="15" t="str" cm="1">
        <f t="array" ref="M34">Common_InputFunctions.Utility_LookupValueInTable(F34,Table_FuelTypes_Units[Fuel type],Table_FuelTypes_Units[Unit])</f>
        <v>kL</v>
      </c>
      <c r="N34" s="229" cm="1">
        <f t="array" ref="N34">Fuel_Equations.VEERG_8_2_1_1__1_FuelCombustionStationary($L34,$G34,H34)</f>
        <v>0</v>
      </c>
      <c r="O34" s="229" cm="1">
        <f t="array" ref="O34">Fuel_Equations.VEERG_8_2_1_1__1_FuelCombustionStationary($L34,$G34,I34)</f>
        <v>0</v>
      </c>
      <c r="P34" s="229" cm="1">
        <f t="array" ref="P34">Fuel_Equations.VEERG_8_2_1_1__1_FuelCombustionStationary($L34,$G34,J34)</f>
        <v>0</v>
      </c>
      <c r="Q34" s="229" cm="1">
        <f t="array" ref="Q34">Fuel_Equations.VEERG_8_2_1_1__1_FuelCombustionStationary($L34,$G34,IF(ISNUMBER(K34), K34, 0))</f>
        <v>0</v>
      </c>
    </row>
    <row r="35" spans="1:17" ht="20.100000000000001" customHeight="1" x14ac:dyDescent="0.25">
      <c r="A35" s="5" t="str">
        <f>HYPERLINK("#'4.3.1.6-7 Leaching and runoff'!A1", "4.3.1.6-7 Leaching &amp; runoff")</f>
        <v>4.3.1.6-7 Leaching &amp; runoff</v>
      </c>
      <c r="D35" s="209" t="str">
        <f t="shared" si="1"/>
        <v>Power standalone machinery or heating</v>
      </c>
      <c r="E35" s="207" t="str">
        <f>'Constants - Fuel'!$D$73</f>
        <v>Biodiesel</v>
      </c>
      <c r="F35" s="207" t="str">
        <f>'Constants - Fuel'!E134</f>
        <v>Biodiesel</v>
      </c>
      <c r="G35" s="15">
        <f>IFERROR(_xlfn.XLOOKUP($E35, Table_Fuel_EFs_StationaryLiquid[Fuel combusted], Table_Fuel_EFs_StationaryLiquid[Energy Content Factor (GJ per unit of fuel)]),0)</f>
        <v>34.6</v>
      </c>
      <c r="H35" s="15">
        <f>IFERROR(_xlfn.XLOOKUP($E35, Table_Fuel_EFs_StationaryLiquid[Fuel combusted], Table_Fuel_EFs_StationaryLiquid[Scope 1 Emission Factor (kg CO2 - e / GJ) CO2]),0)</f>
        <v>0</v>
      </c>
      <c r="I35" s="15">
        <f>IFERROR(_xlfn.XLOOKUP($E35, Table_Fuel_EFs_StationaryLiquid[Fuel combusted], Table_Fuel_EFs_StationaryLiquid[Scope 1 Emission Factor (kg CO2 - e / GJ) CH4]),0)</f>
        <v>0.08</v>
      </c>
      <c r="J35" s="15">
        <f>IFERROR(_xlfn.XLOOKUP($E35, Table_Fuel_EFs_StationaryLiquid[Fuel combusted], Table_Fuel_EFs_StationaryLiquid[Scope 1 Emission Factor (kg CO2 - e / GJ) N2O]),0)</f>
        <v>0.2</v>
      </c>
      <c r="K35" s="15" t="str">
        <f>IFERROR(_xlfn.XLOOKUP($E35, Table_Fuel_EFs_StationaryLiquid[Fuel combusted], Table_Fuel_EFs_StationaryLiquid[Scope 3 Emission Factor (kg CO2 - e / GJ)]),0)</f>
        <v>NE</v>
      </c>
      <c r="L35" s="15" cm="1">
        <f t="array" ref="L35">Fuel_InputFunctions.Fuel_TotalConsumption(Table_Input_Fuel[Amount consumed], Table_Input_Fuel[Fuel use (select)], D35, Table_Input_Fuel[Fuel type (select)],F35)</f>
        <v>0</v>
      </c>
      <c r="M35" s="15" t="str" cm="1">
        <f t="array" ref="M35">Common_InputFunctions.Utility_LookupValueInTable(F35,Table_FuelTypes_Units[Fuel type],Table_FuelTypes_Units[Unit])</f>
        <v>kL</v>
      </c>
      <c r="N35" s="229" cm="1">
        <f t="array" ref="N35">Fuel_Equations.VEERG_8_2_1_1__1_FuelCombustionStationary($L35,$G35,H35)</f>
        <v>0</v>
      </c>
      <c r="O35" s="229" cm="1">
        <f t="array" ref="O35">Fuel_Equations.VEERG_8_2_1_1__1_FuelCombustionStationary($L35,$G35,I35)</f>
        <v>0</v>
      </c>
      <c r="P35" s="229" cm="1">
        <f t="array" ref="P35">Fuel_Equations.VEERG_8_2_1_1__1_FuelCombustionStationary($L35,$G35,J35)</f>
        <v>0</v>
      </c>
      <c r="Q35" s="229" cm="1">
        <f t="array" ref="Q35">Fuel_Equations.VEERG_8_2_1_1__1_FuelCombustionStationary($L35,$G35,IF(ISNUMBER(K35), K35, 0))</f>
        <v>0</v>
      </c>
    </row>
    <row r="36" spans="1:17" ht="20.100000000000001" customHeight="1" x14ac:dyDescent="0.25">
      <c r="A36" s="5" t="str">
        <f>HYPERLINK("#'4.3.1.8 Manure applied to soils'!A1", "4.3.1.8 Manure applied to soils")</f>
        <v>4.3.1.8 Manure applied to soils</v>
      </c>
      <c r="D36" s="209" t="str">
        <f t="shared" si="1"/>
        <v>Power standalone machinery or heating</v>
      </c>
      <c r="E36" s="207" t="str">
        <f>'Constants - Fuel'!$D$74</f>
        <v>Ethanol for use as a fuel in an internal combustion engine</v>
      </c>
      <c r="F36" s="207" t="str">
        <f>'Constants - Fuel'!E135</f>
        <v>Ethanol</v>
      </c>
      <c r="G36" s="15">
        <f>IFERROR(_xlfn.XLOOKUP($E36, Table_Fuel_EFs_StationaryLiquid[Fuel combusted], Table_Fuel_EFs_StationaryLiquid[Energy Content Factor (GJ per unit of fuel)]),0)</f>
        <v>23.4</v>
      </c>
      <c r="H36" s="15">
        <f>IFERROR(_xlfn.XLOOKUP($E36, Table_Fuel_EFs_StationaryLiquid[Fuel combusted], Table_Fuel_EFs_StationaryLiquid[Scope 1 Emission Factor (kg CO2 - e / GJ) CO2]),0)</f>
        <v>0</v>
      </c>
      <c r="I36" s="15">
        <f>IFERROR(_xlfn.XLOOKUP($E36, Table_Fuel_EFs_StationaryLiquid[Fuel combusted], Table_Fuel_EFs_StationaryLiquid[Scope 1 Emission Factor (kg CO2 - e / GJ) CH4]),0)</f>
        <v>0.08</v>
      </c>
      <c r="J36" s="15">
        <f>IFERROR(_xlfn.XLOOKUP($E36, Table_Fuel_EFs_StationaryLiquid[Fuel combusted], Table_Fuel_EFs_StationaryLiquid[Scope 1 Emission Factor (kg CO2 - e / GJ) N2O]),0)</f>
        <v>0.2</v>
      </c>
      <c r="K36" s="15" t="str">
        <f>IFERROR(_xlfn.XLOOKUP($E36, Table_Fuel_EFs_StationaryLiquid[Fuel combusted], Table_Fuel_EFs_StationaryLiquid[Scope 3 Emission Factor (kg CO2 - e / GJ)]),0)</f>
        <v>NE</v>
      </c>
      <c r="L36" s="15" cm="1">
        <f t="array" ref="L36">Fuel_InputFunctions.Fuel_TotalConsumption(Table_Input_Fuel[Amount consumed], Table_Input_Fuel[Fuel use (select)], D36, Table_Input_Fuel[Fuel type (select)],F36)</f>
        <v>0</v>
      </c>
      <c r="M36" s="15" t="str" cm="1">
        <f t="array" ref="M36">Common_InputFunctions.Utility_LookupValueInTable(F36,Table_FuelTypes_Units[Fuel type],Table_FuelTypes_Units[Unit])</f>
        <v>kL</v>
      </c>
      <c r="N36" s="229" cm="1">
        <f t="array" ref="N36">Fuel_Equations.VEERG_8_2_1_1__1_FuelCombustionStationary($L36,$G36,H36)</f>
        <v>0</v>
      </c>
      <c r="O36" s="229" cm="1">
        <f t="array" ref="O36">Fuel_Equations.VEERG_8_2_1_1__1_FuelCombustionStationary($L36,$G36,I36)</f>
        <v>0</v>
      </c>
      <c r="P36" s="229" cm="1">
        <f t="array" ref="P36">Fuel_Equations.VEERG_8_2_1_1__1_FuelCombustionStationary($L36,$G36,J36)</f>
        <v>0</v>
      </c>
      <c r="Q36" s="229" cm="1">
        <f t="array" ref="Q36">Fuel_Equations.VEERG_8_2_1_1__1_FuelCombustionStationary($L36,$G36,IF(ISNUMBER(K36), K36, 0))</f>
        <v>0</v>
      </c>
    </row>
    <row r="37" spans="1:17" ht="20.100000000000001" customHeight="1" x14ac:dyDescent="0.25">
      <c r="A37" s="5" t="str">
        <f>HYPERLINK("#'4.3.1.9 Soil direct N2O'!A1", "4.3.1.9 Soil direct N2O")</f>
        <v>4.3.1.9 Soil direct N2O</v>
      </c>
      <c r="D37" s="209" t="str">
        <f t="shared" si="1"/>
        <v>Power standalone machinery or heating</v>
      </c>
      <c r="E37" s="207" t="str">
        <f>'Constants - Fuel'!$D$75</f>
        <v>Biofuels other than those mentioned in the items above and below</v>
      </c>
      <c r="F37" s="207" t="str">
        <f>'Constants - Fuel'!E136</f>
        <v>Other biofuels</v>
      </c>
      <c r="G37" s="15">
        <f>IFERROR(_xlfn.XLOOKUP($E37, Table_Fuel_EFs_StationaryLiquid[Fuel combusted], Table_Fuel_EFs_StationaryLiquid[Energy Content Factor (GJ per unit of fuel)]),0)</f>
        <v>23.4</v>
      </c>
      <c r="H37" s="15">
        <f>IFERROR(_xlfn.XLOOKUP($E37, Table_Fuel_EFs_StationaryLiquid[Fuel combusted], Table_Fuel_EFs_StationaryLiquid[Scope 1 Emission Factor (kg CO2 - e / GJ) CO2]),0)</f>
        <v>0</v>
      </c>
      <c r="I37" s="15">
        <f>IFERROR(_xlfn.XLOOKUP($E37, Table_Fuel_EFs_StationaryLiquid[Fuel combusted], Table_Fuel_EFs_StationaryLiquid[Scope 1 Emission Factor (kg CO2 - e / GJ) CH4]),0)</f>
        <v>0.08</v>
      </c>
      <c r="J37" s="15">
        <f>IFERROR(_xlfn.XLOOKUP($E37, Table_Fuel_EFs_StationaryLiquid[Fuel combusted], Table_Fuel_EFs_StationaryLiquid[Scope 1 Emission Factor (kg CO2 - e / GJ) N2O]),0)</f>
        <v>0.2</v>
      </c>
      <c r="K37" s="15" t="str">
        <f>IFERROR(_xlfn.XLOOKUP($E37, Table_Fuel_EFs_StationaryLiquid[Fuel combusted], Table_Fuel_EFs_StationaryLiquid[Scope 3 Emission Factor (kg CO2 - e / GJ)]),0)</f>
        <v>NE</v>
      </c>
      <c r="L37" s="15" cm="1">
        <f t="array" ref="L37">Fuel_InputFunctions.Fuel_TotalConsumption(Table_Input_Fuel[Amount consumed], Table_Input_Fuel[Fuel use (select)], D37, Table_Input_Fuel[Fuel type (select)],F37)</f>
        <v>0</v>
      </c>
      <c r="M37" s="15" t="str" cm="1">
        <f t="array" ref="M37">Common_InputFunctions.Utility_LookupValueInTable(F37,Table_FuelTypes_Units[Fuel type],Table_FuelTypes_Units[Unit])</f>
        <v>kL</v>
      </c>
      <c r="N37" s="229" cm="1">
        <f t="array" ref="N37">Fuel_Equations.VEERG_8_2_1_1__1_FuelCombustionStationary($L37,$G37,H37)</f>
        <v>0</v>
      </c>
      <c r="O37" s="229" cm="1">
        <f t="array" ref="O37">Fuel_Equations.VEERG_8_2_1_1__1_FuelCombustionStationary($L37,$G37,I37)</f>
        <v>0</v>
      </c>
      <c r="P37" s="229" cm="1">
        <f t="array" ref="P37">Fuel_Equations.VEERG_8_2_1_1__1_FuelCombustionStationary($L37,$G37,J37)</f>
        <v>0</v>
      </c>
      <c r="Q37" s="229" cm="1">
        <f t="array" ref="Q37">Fuel_Equations.VEERG_8_2_1_1__1_FuelCombustionStationary($L37,$G37,IF(ISNUMBER(K37), K37, 0))</f>
        <v>0</v>
      </c>
    </row>
    <row r="38" spans="1:17" ht="20.100000000000001" customHeight="1" x14ac:dyDescent="0.25">
      <c r="A38" s="5" t="str">
        <f>HYPERLINK("#'4.3.1.10-11 Soil Atmos Dep'!A1", "4.3.1.10-11 Soil Atmos Deposition")</f>
        <v>4.3.1.10-11 Soil Atmos Deposition</v>
      </c>
      <c r="D38" s="209" t="str">
        <f t="shared" si="1"/>
        <v>Power standalone machinery or heating</v>
      </c>
      <c r="E38" s="207" t="str">
        <f>'Constants - Fuel'!$D$77</f>
        <v>Renewable diesel</v>
      </c>
      <c r="F38" s="207" t="str">
        <f>'Constants - Fuel'!E137</f>
        <v>Renewable diesel</v>
      </c>
      <c r="G38" s="15">
        <f>IFERROR(_xlfn.XLOOKUP($E38, Table_Fuel_EFs_StationaryLiquid[Fuel combusted], Table_Fuel_EFs_StationaryLiquid[Energy Content Factor (GJ per unit of fuel)]),0)</f>
        <v>38.6</v>
      </c>
      <c r="H38" s="15">
        <f>IFERROR(_xlfn.XLOOKUP($E38, Table_Fuel_EFs_StationaryLiquid[Fuel combusted], Table_Fuel_EFs_StationaryLiquid[Scope 1 Emission Factor (kg CO2 - e / GJ) CO2]),0)</f>
        <v>0</v>
      </c>
      <c r="I38" s="15">
        <f>IFERROR(_xlfn.XLOOKUP($E38, Table_Fuel_EFs_StationaryLiquid[Fuel combusted], Table_Fuel_EFs_StationaryLiquid[Scope 1 Emission Factor (kg CO2 - e / GJ) CH4]),0)</f>
        <v>0.1</v>
      </c>
      <c r="J38" s="15">
        <f>IFERROR(_xlfn.XLOOKUP($E38, Table_Fuel_EFs_StationaryLiquid[Fuel combusted], Table_Fuel_EFs_StationaryLiquid[Scope 1 Emission Factor (kg CO2 - e / GJ) N2O]),0)</f>
        <v>0.2</v>
      </c>
      <c r="K38" s="15" t="str">
        <f>IFERROR(_xlfn.XLOOKUP($E38, Table_Fuel_EFs_StationaryLiquid[Fuel combusted], Table_Fuel_EFs_StationaryLiquid[Scope 3 Emission Factor (kg CO2 - e / GJ)]),0)</f>
        <v>NE</v>
      </c>
      <c r="L38" s="15" cm="1">
        <f t="array" ref="L38">Fuel_InputFunctions.Fuel_TotalConsumption(Table_Input_Fuel[Amount consumed], Table_Input_Fuel[Fuel use (select)], D38, Table_Input_Fuel[Fuel type (select)],F38)</f>
        <v>0</v>
      </c>
      <c r="M38" s="15" t="str" cm="1">
        <f t="array" ref="M38">Common_InputFunctions.Utility_LookupValueInTable(F38,Table_FuelTypes_Units[Fuel type],Table_FuelTypes_Units[Unit])</f>
        <v>kL</v>
      </c>
      <c r="N38" s="229" cm="1">
        <f t="array" ref="N38">Fuel_Equations.VEERG_8_2_1_1__1_FuelCombustionStationary($L38,$G38,H38)</f>
        <v>0</v>
      </c>
      <c r="O38" s="229" cm="1">
        <f t="array" ref="O38">Fuel_Equations.VEERG_8_2_1_1__1_FuelCombustionStationary($L38,$G38,I38)</f>
        <v>0</v>
      </c>
      <c r="P38" s="229" cm="1">
        <f t="array" ref="P38">Fuel_Equations.VEERG_8_2_1_1__1_FuelCombustionStationary($L38,$G38,J38)</f>
        <v>0</v>
      </c>
      <c r="Q38" s="229" cm="1">
        <f t="array" ref="Q38">Fuel_Equations.VEERG_8_2_1_1__1_FuelCombustionStationary($L38,$G38,IF(ISNUMBER(K38), K38, 0))</f>
        <v>0</v>
      </c>
    </row>
    <row r="39" spans="1:17" ht="20.100000000000001" customHeight="1" x14ac:dyDescent="0.25">
      <c r="A39" s="5" t="str">
        <f>HYPERLINK("#'4.3.1.12-13 Soil leach runoff'!A1", "4.3.1.12-13 Soil leach &amp; runoff")</f>
        <v>4.3.1.12-13 Soil leach &amp; runoff</v>
      </c>
      <c r="D39" s="209" t="str">
        <f t="shared" si="1"/>
        <v>Power standalone machinery or heating</v>
      </c>
      <c r="E39" s="207" t="str">
        <f>'Constants - Fuel'!$D$103</f>
        <v>Natural gas distributed in a pipeline - Gigajoules</v>
      </c>
      <c r="F39" s="207" t="str">
        <f>'Constants - Fuel'!E138</f>
        <v>Natural gas (via pipeline) in GJ</v>
      </c>
      <c r="G39" s="15">
        <f>IFERROR(_xlfn.XLOOKUP($E39, Table_Fuel_EFs_StationaryGaseous[Fuel combusted], Table_Fuel_EFs_StationaryGaseous[Energy Content Factor (GJ per unit of fuel)]),0)</f>
        <v>1</v>
      </c>
      <c r="H39" s="15">
        <f>IFERROR(_xlfn.XLOOKUP($E39, Table_Fuel_EFs_StationaryGaseous[Fuel combusted], Table_Fuel_EFs_StationaryGaseous[Scope 1 Emission Factor (kg CO2 - e / GJ) CO2]),0)</f>
        <v>51.4</v>
      </c>
      <c r="I39" s="15">
        <f>IFERROR(_xlfn.XLOOKUP($E39, Table_Fuel_EFs_StationaryGaseous[Fuel combusted], Table_Fuel_EFs_StationaryGaseous[Scope 1 Emission Factor (kg CO2 - e / GJ) CH4]),0)</f>
        <v>0.1</v>
      </c>
      <c r="J39" s="15">
        <f>IFERROR(_xlfn.XLOOKUP($E39, Table_Fuel_EFs_StationaryGaseous[Fuel combusted], Table_Fuel_EFs_StationaryGaseous[Scope 1 Emission Factor (kg CO2 - e / GJ) N2O]),0)</f>
        <v>0.03</v>
      </c>
      <c r="K39" s="15" cm="1">
        <f t="array" ref="K39">IFERROR(Common_InputFunctions.Utility_LookupValueInTableOneColumnAndHeader($P$17,$P$18,Table_Fuel_EFs_StationaryGaseous34[State or territory],Table_Fuel_EFs_StationaryGaseous34[#Headers],Table_Fuel_EFs_StationaryGaseous34[#Data]),0)</f>
        <v>4.0999999999999996</v>
      </c>
      <c r="L39" s="187" cm="1">
        <f t="array" ref="L39">Fuel_InputFunctions.Fuel_TotalConsumption(Table_Input_Fuel[Amount consumed], Table_Input_Fuel[Fuel use (select)], D39, Table_Input_Fuel[Fuel type (select)],F39)</f>
        <v>0</v>
      </c>
      <c r="M39" s="187" t="str" cm="1">
        <f t="array" ref="M39">Common_InputFunctions.Utility_LookupValueInTable(F39,Table_FuelTypes_Units[Fuel type],Table_FuelTypes_Units[Unit])</f>
        <v>GJ</v>
      </c>
      <c r="N39" s="229" cm="1">
        <f t="array" ref="N39">Fuel_Equations.VEERG_8_2_1_1__1_FuelCombustionStationary($L39,$G39,H39)</f>
        <v>0</v>
      </c>
      <c r="O39" s="229" cm="1">
        <f t="array" ref="O39">Fuel_Equations.VEERG_8_2_1_1__1_FuelCombustionStationary($L39,$G39,I39)</f>
        <v>0</v>
      </c>
      <c r="P39" s="229" cm="1">
        <f t="array" ref="P39">Fuel_Equations.VEERG_8_2_1_1__1_FuelCombustionStationary($L39,$G39,J39)</f>
        <v>0</v>
      </c>
      <c r="Q39" s="229" cm="1">
        <f t="array" ref="Q39">Fuel_Equations.VEERG_8_2_1_1__1_FuelCombustionStationary($L39,$G39,IF(ISNUMBER(K39), K39, 0))</f>
        <v>0</v>
      </c>
    </row>
    <row r="40" spans="1:17" ht="20.100000000000001" customHeight="1" x14ac:dyDescent="0.25">
      <c r="A40" s="5" t="str">
        <f>HYPERLINK("#'5.1.1.1-2 Inorganic fert N2O'!A1", "5.1.1.1-2 Inorganic fert N2O")</f>
        <v>5.1.1.1-2 Inorganic fert N2O</v>
      </c>
      <c r="D40" s="209" t="str">
        <f t="shared" si="1"/>
        <v>Power standalone machinery or heating</v>
      </c>
      <c r="E40" s="207" t="str">
        <f>'Constants - Fuel'!$D$104</f>
        <v>Town gas - Gigajoules</v>
      </c>
      <c r="F40" s="207" t="str">
        <f>'Constants - Fuel'!E139</f>
        <v>Town gas in GJ</v>
      </c>
      <c r="G40" s="15">
        <f>IFERROR(_xlfn.XLOOKUP($E40, Table_Fuel_EFs_StationaryGaseous[Fuel combusted], Table_Fuel_EFs_StationaryGaseous[Energy Content Factor (GJ per unit of fuel)]),0)</f>
        <v>1</v>
      </c>
      <c r="H40" s="15">
        <f>IFERROR(_xlfn.XLOOKUP($E40, Table_Fuel_EFs_StationaryGaseous[Fuel combusted], Table_Fuel_EFs_StationaryGaseous[Scope 1 Emission Factor (kg CO2 - e / GJ) CO2]),0)</f>
        <v>60.2</v>
      </c>
      <c r="I40" s="15">
        <f>IFERROR(_xlfn.XLOOKUP($E40, Table_Fuel_EFs_StationaryGaseous[Fuel combusted], Table_Fuel_EFs_StationaryGaseous[Scope 1 Emission Factor (kg CO2 - e / GJ) CH4]),0)</f>
        <v>0.04</v>
      </c>
      <c r="J40" s="15">
        <f>IFERROR(_xlfn.XLOOKUP($E40, Table_Fuel_EFs_StationaryGaseous[Fuel combusted], Table_Fuel_EFs_StationaryGaseous[Scope 1 Emission Factor (kg CO2 - e / GJ) N2O]),0)</f>
        <v>0.03</v>
      </c>
      <c r="K40" s="15" cm="1">
        <f t="array" ref="K40">IFERROR(Common_InputFunctions.Utility_LookupValueInTableOneColumnAndHeader($P$17,$P$18,Table_Fuel_EFs_StationaryGaseous34[State or territory],Table_Fuel_EFs_StationaryGaseous34[#Headers],Table_Fuel_EFs_StationaryGaseous34[#Data]),0)</f>
        <v>4.0999999999999996</v>
      </c>
      <c r="L40" s="187" cm="1">
        <f t="array" ref="L40">Fuel_InputFunctions.Fuel_TotalConsumption(Table_Input_Fuel[Amount consumed], Table_Input_Fuel[Fuel use (select)], D40, Table_Input_Fuel[Fuel type (select)],F40)</f>
        <v>100</v>
      </c>
      <c r="M40" s="187" t="str" cm="1">
        <f t="array" ref="M40">Common_InputFunctions.Utility_LookupValueInTable(F40,Table_FuelTypes_Units[Fuel type],Table_FuelTypes_Units[Unit])</f>
        <v>GJ</v>
      </c>
      <c r="N40" s="229" cm="1">
        <f t="array" ref="N40">Fuel_Equations.VEERG_8_2_1_1__1_FuelCombustionStationary($L40,$G40,H40)</f>
        <v>6.0200000000000005</v>
      </c>
      <c r="O40" s="229" cm="1">
        <f t="array" ref="O40">Fuel_Equations.VEERG_8_2_1_1__1_FuelCombustionStationary($L40,$G40,I40)</f>
        <v>4.0000000000000001E-3</v>
      </c>
      <c r="P40" s="229" cm="1">
        <f t="array" ref="P40">Fuel_Equations.VEERG_8_2_1_1__1_FuelCombustionStationary($L40,$G40,J40)</f>
        <v>3.0000000000000001E-3</v>
      </c>
      <c r="Q40" s="229" cm="1">
        <f t="array" ref="Q40">Fuel_Equations.VEERG_8_2_1_1__1_FuelCombustionStationary($L40,$G40,IF(ISNUMBER(K40), K40, 0))</f>
        <v>0.41</v>
      </c>
    </row>
    <row r="41" spans="1:17" ht="20.100000000000001" customHeight="1" x14ac:dyDescent="0.25">
      <c r="A41" s="5" t="str">
        <f>HYPERLINK("#'5.1.1.3-4 Inorganic fert CO2'!A1", "5.1.1.3-4 Inorganic fert CO2")</f>
        <v>5.1.1.3-4 Inorganic fert CO2</v>
      </c>
    </row>
    <row r="42" spans="1:17" ht="20.100000000000001" customHeight="1" x14ac:dyDescent="0.25">
      <c r="A42" s="5" t="str">
        <f>HYPERLINK("#'5.2.1.1-2 Organic Fert N2O'!A1", "5.2.1.1-2 Organic fert N2O")</f>
        <v>5.2.1.1-2 Organic fert N2O</v>
      </c>
      <c r="D42" s="222" t="str">
        <f>"Total scope 1 - " &amp; D25</f>
        <v>Total scope 1 - Generators</v>
      </c>
      <c r="E42" s="223"/>
      <c r="F42" s="224"/>
    </row>
    <row r="43" spans="1:17" ht="20.100000000000001" customHeight="1" x14ac:dyDescent="0.25">
      <c r="A43" s="5" t="str">
        <f>HYPERLINK("#'5.3.1.1-2 Lime CO2'!A1", "5.3.1.1-2 Lime CO2")</f>
        <v>5.3.1.1-2 Lime CO2</v>
      </c>
      <c r="D43" s="24" t="s">
        <v>945</v>
      </c>
      <c r="E43" s="225">
        <f>SUM(N25:N31)+N("Partial sum")</f>
        <v>0</v>
      </c>
      <c r="F43" s="16" t="str">
        <f>$E$12</f>
        <v>t CO2-e</v>
      </c>
    </row>
    <row r="44" spans="1:17" ht="20.100000000000001" customHeight="1" x14ac:dyDescent="0.25">
      <c r="A44" s="5" t="str">
        <f>HYPERLINK("#'5.4.1.1-4 Atmos deposition'!A1", "5.4.1.1-4 Atmos. deposition")</f>
        <v>5.4.1.1-4 Atmos. deposition</v>
      </c>
      <c r="D44" s="24" t="s">
        <v>946</v>
      </c>
      <c r="E44" s="225">
        <f>SUM(O25:O31)+N("Partial sum")</f>
        <v>0</v>
      </c>
      <c r="F44" s="16" t="str">
        <f t="shared" ref="F44:F46" si="2">$E$12</f>
        <v>t CO2-e</v>
      </c>
    </row>
    <row r="45" spans="1:17" ht="20.100000000000001" customHeight="1" x14ac:dyDescent="0.25">
      <c r="A45" s="5" t="str">
        <f>HYPERLINK("#'5.5.1.1-2 Leaching and runoff'!A1", "5.5.1.1-2 Leaching &amp; runoff")</f>
        <v>5.5.1.1-2 Leaching &amp; runoff</v>
      </c>
      <c r="D45" s="24" t="s">
        <v>947</v>
      </c>
      <c r="E45" s="225">
        <f>SUM(P25:P31)+N("Partial sum")</f>
        <v>0</v>
      </c>
      <c r="F45" s="16" t="str">
        <f t="shared" si="2"/>
        <v>t CO2-e</v>
      </c>
    </row>
    <row r="46" spans="1:17" ht="20.100000000000001" customHeight="1" x14ac:dyDescent="0.25">
      <c r="A46" s="5" t="str">
        <f>HYPERLINK("#'6.2.1.1-2 Pasture residue N2O'!A1", "6.2.1.1-2 Pasture residue N2O")</f>
        <v>6.2.1.1-2 Pasture residue N2O</v>
      </c>
      <c r="D46" s="24" t="s">
        <v>244</v>
      </c>
      <c r="E46" s="225">
        <f>SUM(Q25:Q31)+N("Partial sum")</f>
        <v>0</v>
      </c>
      <c r="F46" s="16" t="str">
        <f t="shared" si="2"/>
        <v>t CO2-e</v>
      </c>
    </row>
    <row r="47" spans="1:17" ht="20.100000000000001" customHeight="1" x14ac:dyDescent="0.25">
      <c r="A47" s="5" t="str">
        <f>HYPERLINK("#'6.3.1.1-2 Leach runoff pasture'!A1", "6.3.1.1-2 Leach &amp; runoff (pasture)")</f>
        <v>6.3.1.1-2 Leach &amp; runoff (pasture)</v>
      </c>
      <c r="H47" s="184"/>
      <c r="I47" s="184"/>
      <c r="J47" s="184"/>
      <c r="L47" s="184"/>
      <c r="N47" s="184"/>
      <c r="O47" s="184"/>
      <c r="P47" s="184"/>
      <c r="Q47" s="184"/>
    </row>
    <row r="48" spans="1:17" ht="20.100000000000001" customHeight="1" x14ac:dyDescent="0.25">
      <c r="A48" s="5" t="str">
        <f>HYPERLINK("#'8.1.1.1-2 Transport fuel'!A1", "8.1.1.1-2 Transport fuel")</f>
        <v>8.1.1.1-2 Transport fuel</v>
      </c>
      <c r="D48" s="222" t="str">
        <f>"Total scope 1 - " &amp; D32</f>
        <v>Total scope 1 - Power standalone machinery or heating</v>
      </c>
      <c r="E48" s="226"/>
      <c r="F48" s="224"/>
      <c r="H48" s="184"/>
      <c r="I48" s="184"/>
      <c r="J48" s="184"/>
      <c r="L48" s="184"/>
      <c r="N48" s="184"/>
      <c r="O48" s="184"/>
      <c r="P48" s="184"/>
      <c r="Q48" s="184"/>
    </row>
    <row r="49" spans="1:17" ht="20.100000000000001" customHeight="1" x14ac:dyDescent="0.25">
      <c r="A49" s="118" t="str">
        <f>HYPERLINK("#'8.2.1.1-2 Stationary fuel'!A1", "8.2.1.1-2 Stationary fuel")</f>
        <v>8.2.1.1-2 Stationary fuel</v>
      </c>
      <c r="D49" s="24" t="s">
        <v>945</v>
      </c>
      <c r="E49" s="225">
        <f>SUM(N32:N40)+N("Partial sum")</f>
        <v>29.070800000000002</v>
      </c>
      <c r="F49" s="16" t="str">
        <f t="shared" ref="F49:F52" si="3">$E$12</f>
        <v>t CO2-e</v>
      </c>
      <c r="H49" s="184"/>
      <c r="I49" s="184"/>
      <c r="J49" s="184"/>
      <c r="L49" s="184"/>
      <c r="N49" s="184"/>
      <c r="O49" s="184"/>
      <c r="P49" s="184"/>
      <c r="Q49" s="184"/>
    </row>
    <row r="50" spans="1:17" ht="20.100000000000001" customHeight="1" x14ac:dyDescent="0.25">
      <c r="A50" s="5" t="str">
        <f>HYPERLINK("#'9.1.1.1-2 Refrigerant use'!A1", "9.1.1.1-2 Refrigerant use")</f>
        <v>9.1.1.1-2 Refrigerant use</v>
      </c>
      <c r="D50" s="24" t="s">
        <v>946</v>
      </c>
      <c r="E50" s="225">
        <f>SUM(O32:O40)+N("Partial sum")</f>
        <v>7.2400000000000006E-2</v>
      </c>
      <c r="F50" s="16" t="str">
        <f t="shared" si="3"/>
        <v>t CO2-e</v>
      </c>
      <c r="H50" s="184"/>
      <c r="I50" s="184"/>
      <c r="J50" s="184"/>
      <c r="L50" s="184"/>
      <c r="N50" s="184"/>
      <c r="O50" s="184"/>
      <c r="P50" s="184"/>
      <c r="Q50" s="184"/>
    </row>
    <row r="51" spans="1:17" ht="20.100000000000001" customHeight="1" x14ac:dyDescent="0.25">
      <c r="A51" s="5" t="str">
        <f>HYPERLINK("#'10.1.1-2 Solid waste treatment'!A1", "10.1.1.1-2 Solid waste")</f>
        <v>10.1.1.1-2 Solid waste</v>
      </c>
      <c r="D51" s="24" t="s">
        <v>947</v>
      </c>
      <c r="E51" s="225">
        <f>SUM(P32:P40)+N("Partial sum")</f>
        <v>7.1400000000000005E-2</v>
      </c>
      <c r="F51" s="16" t="str">
        <f t="shared" si="3"/>
        <v>t CO2-e</v>
      </c>
      <c r="H51" s="184"/>
      <c r="I51" s="184"/>
      <c r="J51" s="184"/>
      <c r="L51" s="184"/>
      <c r="N51" s="184"/>
      <c r="O51" s="184"/>
      <c r="P51" s="184"/>
      <c r="Q51" s="184"/>
    </row>
    <row r="52" spans="1:17" ht="20.100000000000001" customHeight="1" x14ac:dyDescent="0.25">
      <c r="A52" s="5" t="str">
        <f>HYPERLINK("#'14.1.1-2 Purchased electricity'!A1", "14.1.1-2 Purchased electricity")</f>
        <v>14.1.1-2 Purchased electricity</v>
      </c>
      <c r="D52" s="24" t="s">
        <v>244</v>
      </c>
      <c r="E52" s="225">
        <f>SUM(Q32:Q40)+N("Partial sum")</f>
        <v>6.2923999999999998</v>
      </c>
      <c r="F52" s="16" t="str">
        <f t="shared" si="3"/>
        <v>t CO2-e</v>
      </c>
      <c r="G52" s="184"/>
      <c r="H52" s="184"/>
      <c r="I52" s="184"/>
      <c r="J52" s="184"/>
      <c r="L52" s="184"/>
      <c r="N52" s="184"/>
      <c r="O52" s="184"/>
      <c r="P52" s="184"/>
      <c r="Q52" s="184"/>
    </row>
    <row r="53" spans="1:17" ht="20.100000000000001" customHeight="1" x14ac:dyDescent="0.25">
      <c r="A53" s="5" t="str">
        <f>HYPERLINK("#'15 Scope 3'!A1", "15 Scope 3")</f>
        <v>15 Scope 3</v>
      </c>
      <c r="G53" s="184"/>
      <c r="H53" s="184"/>
      <c r="I53" s="184"/>
      <c r="J53" s="184"/>
      <c r="L53" s="184"/>
      <c r="N53" s="184"/>
      <c r="O53" s="184"/>
      <c r="P53" s="184"/>
      <c r="Q53" s="184"/>
    </row>
    <row r="54" spans="1:17" ht="20.100000000000001" customHeight="1" x14ac:dyDescent="0.25">
      <c r="A54" s="5" t="str">
        <f>HYPERLINK("#'Calcs - Manure sent off-site'!A1", "Calcs - Manure sent off-site")</f>
        <v>Calcs - Manure sent off-site</v>
      </c>
      <c r="D54" s="222" t="s">
        <v>958</v>
      </c>
      <c r="E54" s="226"/>
      <c r="F54" s="224"/>
      <c r="G54" s="184"/>
      <c r="H54" s="184"/>
      <c r="I54" s="184"/>
      <c r="J54" s="184"/>
      <c r="L54" s="184"/>
      <c r="N54" s="184"/>
      <c r="O54" s="184"/>
      <c r="P54" s="184"/>
      <c r="Q54" s="184"/>
    </row>
    <row r="55" spans="1:17" ht="20.100000000000001" customHeight="1" x14ac:dyDescent="0.25">
      <c r="D55" s="24" t="s">
        <v>945</v>
      </c>
      <c r="E55" s="225">
        <f>E43+E49</f>
        <v>29.070800000000002</v>
      </c>
      <c r="F55" s="16" t="str">
        <f t="shared" ref="F55:F58" si="4">$E$12</f>
        <v>t CO2-e</v>
      </c>
      <c r="G55" s="184"/>
      <c r="H55" s="184"/>
      <c r="I55" s="184"/>
      <c r="J55" s="184"/>
      <c r="L55" s="184"/>
      <c r="N55" s="184"/>
      <c r="O55" s="184"/>
      <c r="P55" s="184"/>
      <c r="Q55" s="184"/>
    </row>
    <row r="56" spans="1:17" ht="20.100000000000001" customHeight="1" x14ac:dyDescent="0.25">
      <c r="D56" s="24" t="s">
        <v>946</v>
      </c>
      <c r="E56" s="225">
        <f>E44+E50</f>
        <v>7.2400000000000006E-2</v>
      </c>
      <c r="F56" s="16" t="str">
        <f t="shared" si="4"/>
        <v>t CO2-e</v>
      </c>
      <c r="H56" s="184"/>
    </row>
    <row r="57" spans="1:17" ht="20.100000000000001" customHeight="1" x14ac:dyDescent="0.25">
      <c r="A57" s="82" t="s">
        <v>1</v>
      </c>
      <c r="D57" s="24" t="s">
        <v>947</v>
      </c>
      <c r="E57" s="225">
        <f>E45+E51</f>
        <v>7.1400000000000005E-2</v>
      </c>
      <c r="F57" s="16" t="str">
        <f t="shared" si="4"/>
        <v>t CO2-e</v>
      </c>
      <c r="G57" s="184"/>
      <c r="H57" s="184"/>
      <c r="I57" s="184"/>
      <c r="J57" s="184"/>
      <c r="L57" s="184"/>
      <c r="N57" s="184"/>
      <c r="O57" s="184"/>
      <c r="P57" s="184"/>
      <c r="Q57" s="184"/>
    </row>
    <row r="58" spans="1:17" ht="20.100000000000001" customHeight="1" x14ac:dyDescent="0.25">
      <c r="A58" s="5" t="str">
        <f>HYPERLINK("#'Constants - Dairy'!A1", "Constants - Dairy")</f>
        <v>Constants - Dairy</v>
      </c>
      <c r="D58" s="24" t="s">
        <v>244</v>
      </c>
      <c r="E58" s="225">
        <f>E46+E52</f>
        <v>6.2923999999999998</v>
      </c>
      <c r="F58" s="16" t="str">
        <f t="shared" si="4"/>
        <v>t CO2-e</v>
      </c>
      <c r="G58" s="184"/>
      <c r="H58" s="184"/>
      <c r="I58" s="184"/>
      <c r="J58" s="184"/>
      <c r="L58" s="184"/>
      <c r="N58" s="184"/>
      <c r="O58" s="184"/>
      <c r="P58" s="184"/>
      <c r="Q58" s="184"/>
    </row>
    <row r="59" spans="1:17" ht="20.100000000000001" customHeight="1" x14ac:dyDescent="0.25">
      <c r="A59" s="5" t="str">
        <f>HYPERLINK("#'Constants - Ag Residue'!A1", "Constants - Ag residue")</f>
        <v>Constants - Ag residue</v>
      </c>
      <c r="G59" s="184"/>
      <c r="H59" s="184"/>
      <c r="I59" s="184"/>
      <c r="J59" s="184"/>
      <c r="L59" s="184"/>
      <c r="N59" s="184"/>
      <c r="O59" s="184"/>
      <c r="P59" s="184"/>
      <c r="Q59" s="184"/>
    </row>
    <row r="60" spans="1:17" ht="20.100000000000001" customHeight="1" x14ac:dyDescent="0.25">
      <c r="A60" s="5" t="str">
        <f>HYPERLINK("#'Constants - Common Livestock'!A1", "Constants - Common Livestock")</f>
        <v>Constants - Common Livestock</v>
      </c>
      <c r="G60" s="184"/>
      <c r="H60" s="184"/>
      <c r="I60" s="184"/>
      <c r="J60" s="184"/>
      <c r="L60" s="184"/>
      <c r="N60" s="184"/>
      <c r="O60" s="184"/>
      <c r="P60" s="184"/>
      <c r="Q60" s="184"/>
    </row>
    <row r="61" spans="1:17" ht="20.100000000000001" customHeight="1" x14ac:dyDescent="0.25">
      <c r="A61" s="5" t="str">
        <f>HYPERLINK("#'Constants - Electricity'!A1", "Constants - Electricity")</f>
        <v>Constants - Electricity</v>
      </c>
      <c r="G61" s="184"/>
      <c r="H61" s="184"/>
      <c r="I61" s="184"/>
      <c r="J61" s="184"/>
      <c r="L61" s="184"/>
      <c r="N61" s="184"/>
      <c r="O61" s="184"/>
      <c r="P61" s="184"/>
      <c r="Q61" s="184"/>
    </row>
    <row r="62" spans="1:17" ht="20.100000000000001" customHeight="1" x14ac:dyDescent="0.25">
      <c r="A62" s="5" t="str">
        <f>HYPERLINK("#'Constants - Fertiliser'!A1", "Constants - Fertiliser")</f>
        <v>Constants - Fertiliser</v>
      </c>
      <c r="G62" s="184"/>
      <c r="H62" s="184"/>
      <c r="I62" s="184"/>
      <c r="J62" s="184"/>
      <c r="L62" s="184"/>
      <c r="N62" s="184"/>
      <c r="O62" s="184"/>
      <c r="P62" s="184"/>
      <c r="Q62" s="184"/>
    </row>
    <row r="63" spans="1:17" ht="20.100000000000001" customHeight="1" x14ac:dyDescent="0.25">
      <c r="A63" s="5" t="str">
        <f>HYPERLINK("#'Constants - Fuel'!A1", "Constants - Fuel")</f>
        <v>Constants - Fuel</v>
      </c>
      <c r="G63" s="184"/>
      <c r="H63" s="184"/>
      <c r="I63" s="184"/>
      <c r="J63" s="184"/>
      <c r="L63" s="184"/>
      <c r="N63" s="184"/>
      <c r="O63" s="184"/>
      <c r="P63" s="184"/>
      <c r="Q63" s="184"/>
    </row>
    <row r="64" spans="1:17" ht="20.100000000000001" customHeight="1" x14ac:dyDescent="0.25">
      <c r="A64" s="5" t="str">
        <f>HYPERLINK("#'Constants - Scope 3'!A1", "Constants - Scope 3")</f>
        <v>Constants - Scope 3</v>
      </c>
      <c r="G64" s="184"/>
      <c r="H64" s="184"/>
      <c r="I64" s="184"/>
      <c r="J64" s="184"/>
      <c r="L64" s="184"/>
      <c r="N64" s="184"/>
      <c r="O64" s="184"/>
      <c r="P64" s="184"/>
      <c r="Q64" s="184"/>
    </row>
    <row r="65" spans="1:17" ht="20.100000000000001" customHeight="1" x14ac:dyDescent="0.25">
      <c r="A65" s="5" t="str">
        <f>HYPERLINK("#'Constants - Common'!A1", "Constants - Common")</f>
        <v>Constants - Common</v>
      </c>
      <c r="G65" s="184"/>
      <c r="H65" s="184"/>
      <c r="I65" s="184"/>
      <c r="J65" s="184"/>
      <c r="L65" s="184"/>
      <c r="N65" s="184"/>
      <c r="O65" s="184"/>
      <c r="P65" s="184"/>
      <c r="Q65" s="184"/>
    </row>
    <row r="66" spans="1:17" ht="20.100000000000001" customHeight="1" x14ac:dyDescent="0.25">
      <c r="A66" s="5" t="str">
        <f>HYPERLINK("#'Constants - Refrigerants'!A1", "Constants - Refrigerants")</f>
        <v>Constants - Refrigerants</v>
      </c>
      <c r="G66" s="184"/>
      <c r="H66" s="184"/>
      <c r="I66" s="184"/>
      <c r="J66" s="184"/>
      <c r="L66" s="184"/>
      <c r="N66" s="184"/>
      <c r="O66" s="184"/>
      <c r="P66" s="184"/>
      <c r="Q66" s="184"/>
    </row>
    <row r="67" spans="1:17" ht="20.100000000000001" customHeight="1" x14ac:dyDescent="0.25">
      <c r="A67" s="5" t="str">
        <f>HYPERLINK("#'Constants - Solid Waste'!A1", "Constants - Solid Waste")</f>
        <v>Constants - Solid Waste</v>
      </c>
      <c r="G67" s="184"/>
    </row>
    <row r="68" spans="1:17" ht="20.100000000000001" customHeight="1" x14ac:dyDescent="0.25">
      <c r="A68" s="5" t="str">
        <f>HYPERLINK("#'Acknowledgements'!A1", "Acknowledgements")</f>
        <v>Acknowledgements</v>
      </c>
      <c r="G68" s="184"/>
    </row>
    <row r="69" spans="1:17" ht="20.100000000000001" customHeight="1" x14ac:dyDescent="0.25">
      <c r="G69" s="184"/>
    </row>
    <row r="70" spans="1:17" ht="20.100000000000001" customHeight="1" x14ac:dyDescent="0.25">
      <c r="G70" s="184"/>
    </row>
    <row r="71" spans="1:17" ht="20.100000000000001" customHeight="1" x14ac:dyDescent="0.25">
      <c r="G71" s="184"/>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3E95C-02C5-418C-9D8C-D11FB127D1E9}">
  <sheetPr>
    <tabColor rgb="FF008000"/>
  </sheetPr>
  <dimension ref="A1:M342"/>
  <sheetViews>
    <sheetView showGridLines="0" zoomScaleNormal="100" workbookViewId="0">
      <pane xSplit="1" topLeftCell="B1" activePane="topRight" state="frozenSplit"/>
      <selection pane="topRight" activeCell="A26" sqref="A26"/>
    </sheetView>
  </sheetViews>
  <sheetFormatPr defaultRowHeight="15.75" x14ac:dyDescent="0.25"/>
  <cols>
    <col min="1" max="1" width="36.7109375" customWidth="1"/>
    <col min="2" max="2" width="4.7109375" customWidth="1"/>
    <col min="3" max="3" width="4.7109375" style="1" customWidth="1"/>
    <col min="4" max="4" width="46.28515625" style="1" customWidth="1"/>
    <col min="5" max="12" width="30.7109375" style="1" customWidth="1"/>
    <col min="13" max="13" width="4.7109375" style="1" customWidth="1"/>
  </cols>
  <sheetData>
    <row r="1" spans="1:13" s="20" customFormat="1" ht="30" customHeight="1" x14ac:dyDescent="0.35">
      <c r="A1" s="10" t="e" vm="1">
        <v>#VALUE!</v>
      </c>
      <c r="C1" s="20" t="s">
        <v>1022</v>
      </c>
    </row>
    <row r="2" spans="1:13" s="3" customFormat="1" ht="20.100000000000001" customHeight="1" x14ac:dyDescent="0.25">
      <c r="A2"/>
    </row>
    <row r="3" spans="1:13" ht="20.100000000000001" customHeight="1" x14ac:dyDescent="0.25">
      <c r="A3" s="5" t="str">
        <f>HYPERLINK("#'Home'!A1", "Home")</f>
        <v>Home</v>
      </c>
      <c r="C3" s="22"/>
      <c r="D3" s="22" t="s">
        <v>129</v>
      </c>
      <c r="E3" s="22"/>
      <c r="F3" s="22"/>
      <c r="G3" s="22"/>
      <c r="H3" s="22"/>
      <c r="I3" s="22"/>
      <c r="J3" s="22"/>
      <c r="K3" s="22"/>
      <c r="L3" s="22"/>
      <c r="M3" s="22"/>
    </row>
    <row r="4" spans="1:13" ht="20.100000000000001" customHeight="1" x14ac:dyDescent="0.25">
      <c r="A4" s="5" t="str">
        <f>HYPERLINK("#'Results - Activity period'!A1", "Results - Activity period")</f>
        <v>Results - Activity period</v>
      </c>
    </row>
    <row r="5" spans="1:13" ht="20.100000000000001" customHeight="1" x14ac:dyDescent="0.25">
      <c r="A5" s="5" t="str">
        <f>HYPERLINK("#'Results - Product EI'!A1", "Results - Product Emissions Intensity")</f>
        <v>Results - Product Emissions Intensity</v>
      </c>
      <c r="D5" s="2" t="str" cm="1">
        <f t="array" ref="D5">Refrigerants_Equations.VEERG_9_1_1__1_RefrigerantLeaking_Title()</f>
        <v>The total emissions of refrigerant leaking during operation (not during installation or disposal)</v>
      </c>
    </row>
    <row r="6" spans="1:13" ht="20.100000000000001" customHeight="1" x14ac:dyDescent="0.25">
      <c r="A6" s="5" t="str">
        <f>HYPERLINK("#'Results'!A1", "Results")</f>
        <v>Results</v>
      </c>
      <c r="D6" s="17" t="str" cm="1">
        <f t="array" ref="D6">Refrigerants_Equations.VEERG_9_1_1__1_RefrigerantLeaking_Source()</f>
        <v>VEERG 2026: 9.1.1, Equation (1)</v>
      </c>
      <c r="E6" s="246"/>
      <c r="F6" s="246"/>
      <c r="G6" s="246"/>
      <c r="H6" s="246"/>
      <c r="I6" s="246"/>
      <c r="J6" s="246"/>
      <c r="K6" s="246"/>
      <c r="L6" s="246"/>
    </row>
    <row r="7" spans="1:13" ht="20.100000000000001" customHeight="1" x14ac:dyDescent="0.25">
      <c r="D7" s="25" t="str" cm="1">
        <f t="array" ref="D7">Refrigerants_Equations.VEERG_9_1_1__1_RefrigerantLeaking_Variation()</f>
        <v>VARIATION ON SOURCE: Added equation to convert refrigerant R to CO2-e using the refrigerant's global warming potential (GWP).</v>
      </c>
      <c r="F7" s="246"/>
      <c r="G7" s="246"/>
      <c r="H7" s="246"/>
      <c r="I7" s="246"/>
      <c r="J7" s="246"/>
      <c r="K7" s="246"/>
      <c r="L7" s="246"/>
    </row>
    <row r="8" spans="1:13" ht="20.100000000000001" customHeight="1" x14ac:dyDescent="0.25">
      <c r="D8" s="117" t="s">
        <v>382</v>
      </c>
      <c r="E8" s="117" t="str" cm="1">
        <f t="array" aca="1" ref="E8" ca="1">Common_InputFunctions.Utility_DisplayFunctionName(K22)</f>
        <v>=Refrigerants_Equations.VEERG_9_1_1__1_RefrigerantLeaking</v>
      </c>
      <c r="F8" s="246"/>
      <c r="G8" s="246"/>
      <c r="H8" s="246"/>
      <c r="I8" s="246"/>
      <c r="J8" s="246"/>
      <c r="K8" s="246"/>
      <c r="L8" s="246"/>
    </row>
    <row r="9" spans="1:13" ht="20.100000000000001" customHeight="1" x14ac:dyDescent="0.25">
      <c r="A9" s="7" t="s">
        <v>0</v>
      </c>
      <c r="G9" s="246"/>
      <c r="H9" s="246"/>
      <c r="I9" s="246"/>
      <c r="J9" s="246"/>
      <c r="K9" s="246"/>
      <c r="L9" s="246"/>
    </row>
    <row r="10" spans="1:13" ht="20.100000000000001" customHeight="1" x14ac:dyDescent="0.25">
      <c r="A10" s="5" t="str">
        <f>HYPERLINK("#'Input - Enterprise'!A1", "Enterprise")</f>
        <v>Enterprise</v>
      </c>
      <c r="G10" s="246"/>
      <c r="H10" s="246"/>
      <c r="I10" s="246"/>
      <c r="J10" s="246"/>
      <c r="K10" s="246"/>
      <c r="L10" s="246"/>
    </row>
    <row r="11" spans="1:13" ht="20.100000000000001" customHeight="1" x14ac:dyDescent="0.25">
      <c r="A11" s="5" t="str">
        <f>HYPERLINK("#'Input - Site'!A1", "Site")</f>
        <v>Site</v>
      </c>
      <c r="D11" s="24" t="s">
        <v>383</v>
      </c>
      <c r="E11" s="1" t="str" cm="1">
        <f t="array" ref="E11">Refrigerants_Equations.VEERG_9_1_1__1_RefrigerantLeaking_Variable()</f>
        <v>E_R</v>
      </c>
      <c r="G11" s="246"/>
      <c r="H11" s="246"/>
      <c r="I11" s="246"/>
      <c r="J11" s="246"/>
      <c r="K11" s="246"/>
      <c r="L11" s="246"/>
    </row>
    <row r="12" spans="1:13" ht="20.100000000000001" customHeight="1" x14ac:dyDescent="0.25">
      <c r="A12" s="5" t="str">
        <f>HYPERLINK("#'Input - Dairy'!A1", "Dairy")</f>
        <v>Dairy</v>
      </c>
      <c r="D12" s="24" t="s">
        <v>118</v>
      </c>
      <c r="E12" s="9" t="str" cm="1">
        <f t="array" ref="E12">Refrigerants_Equations.VEERG_9_1_1__1_RefrigerantLeaking_Unit()</f>
        <v>t refrigerant gas</v>
      </c>
      <c r="F12" s="246"/>
      <c r="G12" s="246"/>
      <c r="H12" s="246"/>
      <c r="I12" s="246"/>
      <c r="J12" s="246"/>
      <c r="K12" s="246"/>
      <c r="L12" s="246"/>
    </row>
    <row r="13" spans="1:13" ht="20.100000000000001" customHeight="1" x14ac:dyDescent="0.25">
      <c r="A13" s="5" t="str">
        <f>HYPERLINK("#'Input - Livestock sales'!A1", "Livestock sales")</f>
        <v>Livestock sales</v>
      </c>
      <c r="D13" s="246"/>
      <c r="E13" s="246"/>
      <c r="F13" s="246"/>
      <c r="G13" s="246"/>
      <c r="H13" s="246"/>
      <c r="I13" s="246"/>
      <c r="J13" s="246"/>
      <c r="K13" s="246"/>
      <c r="L13" s="246"/>
    </row>
    <row r="14" spans="1:13" ht="20.100000000000001" customHeight="1" x14ac:dyDescent="0.25">
      <c r="A14" s="5" t="str">
        <f>HYPERLINK("#'Input - Dairy cattle purchases'!A1", "Dairy cattle purchases")</f>
        <v>Dairy cattle purchases</v>
      </c>
      <c r="D14" s="119" t="str" cm="1">
        <f t="array" ref="D14:E17">_xlfn.CHOOSECOLS(Refrigerants_Equations.VEERG_9_1_1__1_RefrigerantLeaking_Arguments(), 1, 2)</f>
        <v>charge_Ra</v>
      </c>
      <c r="E14" s="124" t="str">
        <v>Amount of refrigerant R contained in appliance a</v>
      </c>
      <c r="F14" s="125"/>
      <c r="G14" s="119" t="str" cm="1">
        <f t="array" ref="G14:H17">_xlfn.CHOOSECOLS(Refrigerants_Equations.VEERG_9_1_1__1_RefrigerantLeaking_Arguments(), 3,4)</f>
        <v>kg</v>
      </c>
      <c r="H14" s="120" t="str">
        <v>Input</v>
      </c>
      <c r="I14" s="246"/>
      <c r="J14" s="246"/>
      <c r="K14" s="246"/>
      <c r="L14" s="246"/>
    </row>
    <row r="15" spans="1:13" ht="20.100000000000001" customHeight="1" x14ac:dyDescent="0.25">
      <c r="A15" s="5" t="str">
        <f>HYPERLINK("#'Input - Pasture'!A1", "Pasture")</f>
        <v>Pasture</v>
      </c>
      <c r="D15" s="119" t="str">
        <v>leakagerate_a</v>
      </c>
      <c r="E15" s="124" t="str">
        <v>Prcentage of total charge leaked from appliance a each year</v>
      </c>
      <c r="F15" s="125"/>
      <c r="G15" s="119" t="str">
        <v>Percent</v>
      </c>
      <c r="H15" s="127" t="str">
        <v>Constant</v>
      </c>
      <c r="I15" s="246"/>
      <c r="J15" s="246"/>
      <c r="K15" s="246"/>
      <c r="L15" s="246"/>
    </row>
    <row r="16" spans="1:13" ht="20.100000000000001" customHeight="1" x14ac:dyDescent="0.25">
      <c r="A16" s="5" t="str">
        <f>HYPERLINK("#'Input - Fert Prod System'!A1", "Fert Prod System")</f>
        <v>Fert Prod System</v>
      </c>
      <c r="D16" s="119" t="str">
        <v>a</v>
      </c>
      <c r="E16" s="124" t="str">
        <v>Appliance type</v>
      </c>
      <c r="F16" s="125"/>
      <c r="G16" s="119" t="str">
        <v/>
      </c>
      <c r="H16" s="120" t="str">
        <v>Input</v>
      </c>
      <c r="I16" s="246"/>
      <c r="J16" s="246"/>
      <c r="K16" s="246"/>
      <c r="L16" s="246"/>
    </row>
    <row r="17" spans="1:12" ht="20.100000000000001" customHeight="1" x14ac:dyDescent="0.25">
      <c r="A17" s="5" t="str">
        <f>HYPERLINK("#'Input - Fertiliser'!A1", "Fertiliser")</f>
        <v>Fertiliser</v>
      </c>
      <c r="D17" s="119" t="str">
        <v>R</v>
      </c>
      <c r="E17" s="124" t="str">
        <v>Refrigerant</v>
      </c>
      <c r="F17" s="125"/>
      <c r="G17" s="119" t="str">
        <v/>
      </c>
      <c r="H17" s="120" t="str">
        <v>Input</v>
      </c>
      <c r="I17" s="246"/>
      <c r="J17" s="246"/>
      <c r="K17" s="246"/>
      <c r="L17" s="246"/>
    </row>
    <row r="18" spans="1:12" ht="20.100000000000001" customHeight="1" x14ac:dyDescent="0.25">
      <c r="A18" s="5" t="str">
        <f>HYPERLINK("#'Input - Fuel'!A1", "Fuel")</f>
        <v>Fuel</v>
      </c>
      <c r="G18" s="246"/>
      <c r="H18" s="246"/>
      <c r="I18" s="246"/>
      <c r="J18" s="246"/>
      <c r="K18" s="246"/>
      <c r="L18" s="246"/>
    </row>
    <row r="19" spans="1:12" ht="20.100000000000001" customHeight="1" x14ac:dyDescent="0.25">
      <c r="A19" s="5" t="str">
        <f>HYPERLINK("#'Input - Electricity'!A1", "Electricity")</f>
        <v>Electricity</v>
      </c>
      <c r="D19" s="246" t="s">
        <v>1023</v>
      </c>
      <c r="E19" s="246"/>
      <c r="F19" s="246"/>
      <c r="G19" s="246"/>
      <c r="H19" s="246"/>
      <c r="I19" s="246"/>
      <c r="J19" s="246"/>
      <c r="K19" s="246"/>
      <c r="L19" s="246"/>
    </row>
    <row r="20" spans="1:12" ht="20.100000000000001" customHeight="1" x14ac:dyDescent="0.25">
      <c r="A20" s="5" t="str">
        <f>HYPERLINK("#'Input - Common farm inputs'!A1", "Common farm inputs")</f>
        <v>Common farm inputs</v>
      </c>
      <c r="D20" s="122" t="s">
        <v>1024</v>
      </c>
    </row>
    <row r="21" spans="1:12" ht="20.100000000000001" customHeight="1" x14ac:dyDescent="0.25">
      <c r="A21" s="5" t="str">
        <f>HYPERLINK("#'Input - Crop pasture farm input'!A1", "Crop pasture farm input")</f>
        <v>Crop pasture farm input</v>
      </c>
      <c r="D21" s="123" t="s">
        <v>1004</v>
      </c>
      <c r="E21" s="81" t="s">
        <v>1025</v>
      </c>
      <c r="F21" s="81" t="s">
        <v>1026</v>
      </c>
      <c r="G21" s="81" t="s">
        <v>1007</v>
      </c>
      <c r="H21" s="81" t="s">
        <v>1008</v>
      </c>
      <c r="I21" s="123" t="s">
        <v>1027</v>
      </c>
      <c r="J21" s="123" t="s">
        <v>1028</v>
      </c>
      <c r="K21" s="123" t="s">
        <v>1029</v>
      </c>
      <c r="L21" s="123" t="s">
        <v>1030</v>
      </c>
    </row>
    <row r="22" spans="1:12" ht="20.100000000000001" customHeight="1" x14ac:dyDescent="0.25">
      <c r="A22" s="5" t="str">
        <f>HYPERLINK("#'Input - Livestock farm Inputs'!A1", "Livestock farm Inputs")</f>
        <v>Livestock farm Inputs</v>
      </c>
      <c r="D22" s="15" t="str" cm="1">
        <f t="array" ref="D22:D31">IFERROR(INDEX(Table_Input_Refrigerant[Refrigeration unit name], _xlfn.SEQUENCE(10)),"")</f>
        <v>Cool room</v>
      </c>
      <c r="E22" s="15" t="str" cm="1">
        <f t="array" ref="E22:E31">IFERROR(INDEX(Table_Input_Refrigerant[Appliance type (select)], _xlfn.SEQUENCE(10)),"")</f>
        <v>Domestic refrigerators</v>
      </c>
      <c r="F22" s="15" t="str" cm="1">
        <f t="array" ref="F22:F31">IFERROR(INDEX(Table_Input_Refrigerant[Refrigerant used (select)], _xlfn.SEQUENCE(10)),"")</f>
        <v>R-402A</v>
      </c>
      <c r="G22" s="15" cm="1">
        <f t="array" ref="G22:G31">IFERROR(INDEX(Table_Input_Refrigerant[Unit refrigerant gas capacity (kg)], _xlfn.SEQUENCE(10)),0)</f>
        <v>10</v>
      </c>
      <c r="H22" s="15" cm="1">
        <f t="array" ref="H22:H31">IFERROR(INDEX(Table_Input_Refrigerant[Number of units in use], _xlfn.SEQUENCE(10)),0)</f>
        <v>5</v>
      </c>
      <c r="I22" s="15">
        <f t="shared" ref="I22:I31" si="0">G22*H22</f>
        <v>50</v>
      </c>
      <c r="J22" s="15" cm="1">
        <f t="array" ref="J22">Common_InputFunctions.Utility_LookupValueInTableNumber(E22,Table_Refrigerants_LeakageRates[Product],Table_Refrigerants_LeakageRates[Annual leakage rate (%)])</f>
        <v>1.7</v>
      </c>
      <c r="K22" s="15" cm="1">
        <f t="array" ref="K22">Refrigerants_Equations.VEERG_9_1_1__1_RefrigerantLeaking(G22,J22)</f>
        <v>1.7000000000000001E-4</v>
      </c>
      <c r="L22" s="247">
        <f t="shared" ref="L22:L31" si="1">K22*H22</f>
        <v>8.5000000000000006E-4</v>
      </c>
    </row>
    <row r="23" spans="1:12" ht="20.100000000000001" customHeight="1" x14ac:dyDescent="0.25">
      <c r="A23" s="5" t="str">
        <f>HYPERLINK("#'Input - Freight'!A1", "Freight")</f>
        <v>Freight</v>
      </c>
      <c r="D23" s="15" t="str">
        <v>Office air con units</v>
      </c>
      <c r="E23" s="15" t="str">
        <v>Domestic A/C split</v>
      </c>
      <c r="F23" s="15" t="str">
        <v>R-422B</v>
      </c>
      <c r="G23" s="15">
        <v>10</v>
      </c>
      <c r="H23" s="15">
        <v>5</v>
      </c>
      <c r="I23" s="15">
        <f t="shared" si="0"/>
        <v>50</v>
      </c>
      <c r="J23" s="15" cm="1">
        <f t="array" ref="J23">Common_InputFunctions.Utility_LookupValueInTableNumber(E23,Table_Refrigerants_LeakageRates[Product],Table_Refrigerants_LeakageRates[Annual leakage rate (%)])</f>
        <v>3.5</v>
      </c>
      <c r="K23" s="15" cm="1">
        <f t="array" ref="K23">Refrigerants_Equations.VEERG_9_1_1__1_RefrigerantLeaking(G23,J23)</f>
        <v>3.5000000000000005E-4</v>
      </c>
      <c r="L23" s="247">
        <f t="shared" si="1"/>
        <v>1.7500000000000003E-3</v>
      </c>
    </row>
    <row r="24" spans="1:12" ht="20.100000000000001" customHeight="1" x14ac:dyDescent="0.25">
      <c r="A24" s="5" t="str">
        <f>HYPERLINK("#'Input - Solid waste'!A1", "Solid waste")</f>
        <v>Solid waste</v>
      </c>
      <c r="D24" s="15" t="str">
        <v>Car AC</v>
      </c>
      <c r="E24" s="15" t="str">
        <v>Light vehicle A/C</v>
      </c>
      <c r="F24" s="15" t="str">
        <v>R-400 60/40</v>
      </c>
      <c r="G24" s="15">
        <v>10</v>
      </c>
      <c r="H24" s="15">
        <v>13</v>
      </c>
      <c r="I24" s="15">
        <f t="shared" si="0"/>
        <v>130</v>
      </c>
      <c r="J24" s="15" cm="1">
        <f t="array" ref="J24">Common_InputFunctions.Utility_LookupValueInTableNumber(E24,Table_Refrigerants_LeakageRates[Product],Table_Refrigerants_LeakageRates[Annual leakage rate (%)])</f>
        <v>6.7</v>
      </c>
      <c r="K24" s="15" cm="1">
        <f t="array" ref="K24">Refrigerants_Equations.VEERG_9_1_1__1_RefrigerantLeaking(G24,J24)</f>
        <v>6.7000000000000002E-4</v>
      </c>
      <c r="L24" s="247">
        <f t="shared" si="1"/>
        <v>8.7100000000000007E-3</v>
      </c>
    </row>
    <row r="25" spans="1:12" ht="20.100000000000001" customHeight="1" x14ac:dyDescent="0.25">
      <c r="A25" s="5" t="str">
        <f>HYPERLINK("#'Input - Manure sent off-site'!A1", "Manure sent off-site")</f>
        <v>Manure sent off-site</v>
      </c>
      <c r="D25" s="15" t="str">
        <v>Storage AC</v>
      </c>
      <c r="E25" s="15" t="str">
        <v>Domestic A/C split</v>
      </c>
      <c r="F25" s="15" t="str">
        <v>R-400 60/40</v>
      </c>
      <c r="G25" s="15">
        <v>10</v>
      </c>
      <c r="H25" s="15">
        <v>10</v>
      </c>
      <c r="I25" s="15">
        <f t="shared" si="0"/>
        <v>100</v>
      </c>
      <c r="J25" s="15" cm="1">
        <f t="array" ref="J25">Common_InputFunctions.Utility_LookupValueInTableNumber(E25,Table_Refrigerants_LeakageRates[Product],Table_Refrigerants_LeakageRates[Annual leakage rate (%)])</f>
        <v>3.5</v>
      </c>
      <c r="K25" s="15" cm="1">
        <f t="array" ref="K25">Refrigerants_Equations.VEERG_9_1_1__1_RefrigerantLeaking(G25,J25)</f>
        <v>3.5000000000000005E-4</v>
      </c>
      <c r="L25" s="247">
        <f t="shared" si="1"/>
        <v>3.5000000000000005E-3</v>
      </c>
    </row>
    <row r="26" spans="1:12" ht="20.100000000000001" customHeight="1" x14ac:dyDescent="0.25">
      <c r="A26" s="5" t="str">
        <f>HYPERLINK("#'Input - Refrigerants'!A1", "Refrigerants")</f>
        <v>Refrigerants</v>
      </c>
      <c r="D26" s="15" t="str">
        <v>Refrigerated trucks</v>
      </c>
      <c r="E26" s="15" t="str">
        <v>Transport refrigeration</v>
      </c>
      <c r="F26" s="15" t="str">
        <v>R-504</v>
      </c>
      <c r="G26" s="15">
        <v>10</v>
      </c>
      <c r="H26" s="15">
        <v>10</v>
      </c>
      <c r="I26" s="15">
        <f t="shared" si="0"/>
        <v>100</v>
      </c>
      <c r="J26" s="15" cm="1">
        <f t="array" ref="J26">Common_InputFunctions.Utility_LookupValueInTableNumber(E26,Table_Refrigerants_LeakageRates[Product],Table_Refrigerants_LeakageRates[Annual leakage rate (%)])</f>
        <v>15.7</v>
      </c>
      <c r="K26" s="15" cm="1">
        <f t="array" ref="K26">Refrigerants_Equations.VEERG_9_1_1__1_RefrigerantLeaking(G26,J26)</f>
        <v>1.57E-3</v>
      </c>
      <c r="L26" s="247">
        <f t="shared" si="1"/>
        <v>1.5699999999999999E-2</v>
      </c>
    </row>
    <row r="27" spans="1:12" ht="20.100000000000001" customHeight="1" x14ac:dyDescent="0.25">
      <c r="A27" s="5" t="str">
        <f>HYPERLINK("#'Input - Data quality'!A1", "Data quality")</f>
        <v>Data quality</v>
      </c>
      <c r="D27" s="15">
        <v>0</v>
      </c>
      <c r="E27" s="15">
        <v>0</v>
      </c>
      <c r="F27" s="15">
        <v>0</v>
      </c>
      <c r="G27" s="15">
        <v>0</v>
      </c>
      <c r="H27" s="15">
        <v>0</v>
      </c>
      <c r="I27" s="15">
        <f t="shared" si="0"/>
        <v>0</v>
      </c>
      <c r="J27" s="15" cm="1">
        <f t="array" ref="J27">Common_InputFunctions.Utility_LookupValueInTableNumber(E27,Table_Refrigerants_LeakageRates[Product],Table_Refrigerants_LeakageRates[Annual leakage rate (%)])</f>
        <v>0</v>
      </c>
      <c r="K27" s="15" cm="1">
        <f t="array" ref="K27">Refrigerants_Equations.VEERG_9_1_1__1_RefrigerantLeaking(G27,J27)</f>
        <v>0</v>
      </c>
      <c r="L27" s="247">
        <f t="shared" si="1"/>
        <v>0</v>
      </c>
    </row>
    <row r="28" spans="1:12" ht="20.100000000000001" customHeight="1" x14ac:dyDescent="0.25">
      <c r="D28" s="15">
        <v>0</v>
      </c>
      <c r="E28" s="15">
        <v>0</v>
      </c>
      <c r="F28" s="15">
        <v>0</v>
      </c>
      <c r="G28" s="15">
        <v>0</v>
      </c>
      <c r="H28" s="15">
        <v>0</v>
      </c>
      <c r="I28" s="15">
        <f t="shared" si="0"/>
        <v>0</v>
      </c>
      <c r="J28" s="15" cm="1">
        <f t="array" ref="J28">Common_InputFunctions.Utility_LookupValueInTableNumber(E28,Table_Refrigerants_LeakageRates[Product],Table_Refrigerants_LeakageRates[Annual leakage rate (%)])</f>
        <v>0</v>
      </c>
      <c r="K28" s="15" cm="1">
        <f t="array" ref="K28">Refrigerants_Equations.VEERG_9_1_1__1_RefrigerantLeaking(G28,J28)</f>
        <v>0</v>
      </c>
      <c r="L28" s="247">
        <f t="shared" si="1"/>
        <v>0</v>
      </c>
    </row>
    <row r="29" spans="1:12" ht="20.100000000000001" customHeight="1" x14ac:dyDescent="0.25">
      <c r="D29" s="15">
        <v>0</v>
      </c>
      <c r="E29" s="15">
        <v>0</v>
      </c>
      <c r="F29" s="15">
        <v>0</v>
      </c>
      <c r="G29" s="15">
        <v>0</v>
      </c>
      <c r="H29" s="15">
        <v>0</v>
      </c>
      <c r="I29" s="15">
        <f t="shared" si="0"/>
        <v>0</v>
      </c>
      <c r="J29" s="15" cm="1">
        <f t="array" ref="J29">Common_InputFunctions.Utility_LookupValueInTableNumber(E29,Table_Refrigerants_LeakageRates[Product],Table_Refrigerants_LeakageRates[Annual leakage rate (%)])</f>
        <v>0</v>
      </c>
      <c r="K29" s="15" cm="1">
        <f t="array" ref="K29">Refrigerants_Equations.VEERG_9_1_1__1_RefrigerantLeaking(G29,J29)</f>
        <v>0</v>
      </c>
      <c r="L29" s="247">
        <f t="shared" si="1"/>
        <v>0</v>
      </c>
    </row>
    <row r="30" spans="1:12" ht="20.100000000000001" customHeight="1" x14ac:dyDescent="0.25">
      <c r="A30" s="6" t="s">
        <v>2</v>
      </c>
      <c r="D30" s="15">
        <v>0</v>
      </c>
      <c r="E30" s="15">
        <v>0</v>
      </c>
      <c r="F30" s="15">
        <v>0</v>
      </c>
      <c r="G30" s="15">
        <v>0</v>
      </c>
      <c r="H30" s="15">
        <v>0</v>
      </c>
      <c r="I30" s="15">
        <f t="shared" si="0"/>
        <v>0</v>
      </c>
      <c r="J30" s="15" cm="1">
        <f t="array" ref="J30">Common_InputFunctions.Utility_LookupValueInTableNumber(E30,Table_Refrigerants_LeakageRates[Product],Table_Refrigerants_LeakageRates[Annual leakage rate (%)])</f>
        <v>0</v>
      </c>
      <c r="K30" s="15" cm="1">
        <f t="array" ref="K30">Refrigerants_Equations.VEERG_9_1_1__1_RefrigerantLeaking(G30,J30)</f>
        <v>0</v>
      </c>
      <c r="L30" s="247">
        <f t="shared" si="1"/>
        <v>0</v>
      </c>
    </row>
    <row r="31" spans="1:12" ht="20.100000000000001" customHeight="1" x14ac:dyDescent="0.25">
      <c r="A31" s="5" t="str">
        <f>HYPERLINK("#'3.3.1.1-2 Enteric Methane'!A1", "3.3.1.1-2 Enteric methane")</f>
        <v>3.3.1.1-2 Enteric methane</v>
      </c>
      <c r="D31" s="15">
        <v>0</v>
      </c>
      <c r="E31" s="15">
        <v>0</v>
      </c>
      <c r="F31" s="15">
        <v>0</v>
      </c>
      <c r="G31" s="15">
        <v>0</v>
      </c>
      <c r="H31" s="15">
        <v>0</v>
      </c>
      <c r="I31" s="15">
        <f t="shared" si="0"/>
        <v>0</v>
      </c>
      <c r="J31" s="15" cm="1">
        <f t="array" ref="J31">Common_InputFunctions.Utility_LookupValueInTableNumber(E31,Table_Refrigerants_LeakageRates[Product],Table_Refrigerants_LeakageRates[Annual leakage rate (%)])</f>
        <v>0</v>
      </c>
      <c r="K31" s="15" cm="1">
        <f t="array" ref="K31">Refrigerants_Equations.VEERG_9_1_1__1_RefrigerantLeaking(G31,J31)</f>
        <v>0</v>
      </c>
      <c r="L31" s="247">
        <f t="shared" si="1"/>
        <v>0</v>
      </c>
    </row>
    <row r="32" spans="1:12" ht="20.100000000000001" customHeight="1" x14ac:dyDescent="0.25">
      <c r="A32" s="5" t="str">
        <f>HYPERLINK("#'4.3.1.1-2 Methane'!A1", "4.3.1.1-2 Manure methane")</f>
        <v>4.3.1.1-2 Manure methane</v>
      </c>
    </row>
    <row r="33" spans="1:13" ht="20.100000000000001" customHeight="1" x14ac:dyDescent="0.25">
      <c r="A33" s="5" t="str">
        <f>HYPERLINK("#'4.3.1.3-4 Direct N20'!A1", "4.3.1.3-4 Direct N20")</f>
        <v>4.3.1.3-4 Direct N20</v>
      </c>
      <c r="D33" s="121" t="s">
        <v>1031</v>
      </c>
    </row>
    <row r="34" spans="1:13" ht="20.100000000000001" customHeight="1" x14ac:dyDescent="0.25">
      <c r="A34" s="5" t="str">
        <f>HYPERLINK("#'4.3.1.5 Atmos deposition'!A1", "4.3.1.5 Atmos deposition")</f>
        <v>4.3.1.5 Atmos deposition</v>
      </c>
      <c r="D34" s="122" t="s">
        <v>1032</v>
      </c>
    </row>
    <row r="35" spans="1:13" ht="20.100000000000001" customHeight="1" x14ac:dyDescent="0.25">
      <c r="A35" s="5" t="str">
        <f>HYPERLINK("#'4.3.1.6-7 Leaching and runoff'!A1", "4.3.1.6-7 Leaching &amp; runoff")</f>
        <v>4.3.1.6-7 Leaching &amp; runoff</v>
      </c>
      <c r="D35" s="123" t="s">
        <v>1026</v>
      </c>
      <c r="E35" s="123" t="s">
        <v>1030</v>
      </c>
    </row>
    <row r="36" spans="1:13" ht="20.100000000000001" customHeight="1" x14ac:dyDescent="0.25">
      <c r="A36" s="5" t="str">
        <f>HYPERLINK("#'4.3.1.8 Manure applied to soils'!A1", "4.3.1.8 Manure applied to soils")</f>
        <v>4.3.1.8 Manure applied to soils</v>
      </c>
      <c r="D36" s="15" t="str" cm="1">
        <f t="array" ref="D36:D39">_xlfn.UNIQUE(_xlfn._xlws.FILTER(F22:F31, (F22:F31&lt;&gt;"") * (F22:F31&lt;&gt;0)))</f>
        <v>R-402A</v>
      </c>
      <c r="E36" s="15">
        <f>SUMIF($F$22:$F$31,VEERG_9_1_1__1_RefrigerantLeaking_Result_Blend1_Name_Method1,$L$22:$L$31)</f>
        <v>8.5000000000000006E-4</v>
      </c>
      <c r="H36" s="246"/>
      <c r="I36" s="246"/>
      <c r="K36" s="246"/>
      <c r="L36" s="246"/>
    </row>
    <row r="37" spans="1:13" ht="20.100000000000001" customHeight="1" x14ac:dyDescent="0.25">
      <c r="A37" s="5" t="str">
        <f>HYPERLINK("#'4.3.1.9 Soil direct N2O'!A1", "4.3.1.9 Soil direct N2O")</f>
        <v>4.3.1.9 Soil direct N2O</v>
      </c>
      <c r="D37" s="15" t="str">
        <v>R-422B</v>
      </c>
      <c r="E37" s="15">
        <f>SUMIF($F$22:$F$31,VEERG_9_1_1__1_RefrigerantLeaking_Result_Blend2_Name_Method1,$L$22:$L$31)</f>
        <v>1.7500000000000003E-3</v>
      </c>
      <c r="H37" s="246"/>
      <c r="I37" s="246"/>
      <c r="K37" s="246"/>
      <c r="L37" s="246"/>
    </row>
    <row r="38" spans="1:13" ht="20.100000000000001" customHeight="1" x14ac:dyDescent="0.25">
      <c r="A38" s="5" t="str">
        <f>HYPERLINK("#'4.3.1.10-11 Soil Atmos Dep'!A1", "4.3.1.10-11 Soil Atmos Deposition")</f>
        <v>4.3.1.10-11 Soil Atmos Deposition</v>
      </c>
      <c r="D38" s="15" t="str">
        <v>R-400 60/40</v>
      </c>
      <c r="E38" s="15">
        <f>SUMIF($F$22:$F$31,VEERG_9_1_1__1_RefrigerantLeaking_Result_Blend3_Name_Method1,$L$22:$L$31)</f>
        <v>1.2210000000000002E-2</v>
      </c>
      <c r="H38" s="246"/>
      <c r="I38" s="246"/>
      <c r="K38" s="246"/>
      <c r="L38" s="246"/>
    </row>
    <row r="39" spans="1:13" ht="20.100000000000001" customHeight="1" x14ac:dyDescent="0.25">
      <c r="A39" s="5" t="str">
        <f>HYPERLINK("#'4.3.1.12-13 Soil leach runoff'!A1", "4.3.1.12-13 Soil leach &amp; runoff")</f>
        <v>4.3.1.12-13 Soil leach &amp; runoff</v>
      </c>
      <c r="D39" s="15" t="str">
        <v>R-504</v>
      </c>
      <c r="E39" s="15">
        <f>SUMIF($F$22:$F$31,VEERG_9_1_1__1_RefrigerantLeaking_Result_Blend4_Name_Method1,$L$22:$L$31)</f>
        <v>1.5699999999999999E-2</v>
      </c>
      <c r="H39" s="246"/>
      <c r="I39" s="246"/>
    </row>
    <row r="40" spans="1:13" ht="20.100000000000001" customHeight="1" x14ac:dyDescent="0.25">
      <c r="A40" s="5" t="str">
        <f>HYPERLINK("#'5.1.1.1-2 Inorganic fert N2O'!A1", "5.1.1.1-2 Inorganic fert N2O")</f>
        <v>5.1.1.1-2 Inorganic fert N2O</v>
      </c>
      <c r="D40" s="15"/>
      <c r="E40" s="15">
        <f>SUMIF($F$22:$F$31,VEERG_9_1_1__1_RefrigerantLeaking_Result_Blend5_Name_Method1,$L$22:$L$31)</f>
        <v>0</v>
      </c>
      <c r="H40" s="246"/>
      <c r="I40" s="246"/>
    </row>
    <row r="41" spans="1:13" ht="20.100000000000001" customHeight="1" x14ac:dyDescent="0.25">
      <c r="A41" s="5" t="str">
        <f>HYPERLINK("#'5.1.1.3-4 Inorganic fert CO2'!A1", "5.1.1.3-4 Inorganic fert CO2")</f>
        <v>5.1.1.3-4 Inorganic fert CO2</v>
      </c>
      <c r="D41" s="15"/>
      <c r="E41" s="15">
        <f>SUMIF($F$22:$F$31,VEERG_9_1_1__1_RefrigerantLeaking_Result_Blend6_Name_Method1,$L$22:$L$31)</f>
        <v>0</v>
      </c>
      <c r="H41" s="246"/>
      <c r="I41" s="246"/>
    </row>
    <row r="42" spans="1:13" ht="20.100000000000001" customHeight="1" x14ac:dyDescent="0.25">
      <c r="A42" s="5" t="str">
        <f>HYPERLINK("#'5.2.1.1-2 Organic Fert N2O'!A1", "5.2.1.1-2 Organic fert N2O")</f>
        <v>5.2.1.1-2 Organic fert N2O</v>
      </c>
      <c r="D42" s="15"/>
      <c r="E42" s="15">
        <f>SUMIF($F$22:$F$31,VEERG_9_1_1__1_RefrigerantLeaking_Result_Blend7_Name_Method1,$L$22:$L$31)</f>
        <v>0</v>
      </c>
      <c r="H42" s="246"/>
      <c r="I42" s="246"/>
    </row>
    <row r="43" spans="1:13" ht="20.100000000000001" customHeight="1" x14ac:dyDescent="0.25">
      <c r="A43" s="5" t="str">
        <f>HYPERLINK("#'5.3.1.1-2 Lime CO2'!A1", "5.3.1.1-2 Lime CO2")</f>
        <v>5.3.1.1-2 Lime CO2</v>
      </c>
      <c r="D43" s="15"/>
      <c r="E43" s="15">
        <f>SUMIF($F$22:$F$31,VEERG_9_1_1__1_RefrigerantLeaking_Result_Blend8_Name_Method1,$L$22:$L$31)</f>
        <v>0</v>
      </c>
      <c r="H43" s="246"/>
      <c r="I43" s="246"/>
    </row>
    <row r="44" spans="1:13" ht="20.100000000000001" customHeight="1" x14ac:dyDescent="0.25">
      <c r="A44" s="5" t="str">
        <f>HYPERLINK("#'5.4.1.1-4 Atmos deposition'!A1", "5.4.1.1-4 Atmos. deposition")</f>
        <v>5.4.1.1-4 Atmos. deposition</v>
      </c>
      <c r="D44" s="15"/>
      <c r="E44" s="15">
        <f>SUMIF($F$22:$F$31,VEERG_9_1_1__1_RefrigerantLeaking_Result_Blend9_Name_Method1,$L$22:$L$31)</f>
        <v>0</v>
      </c>
      <c r="H44" s="246"/>
      <c r="I44" s="246"/>
    </row>
    <row r="45" spans="1:13" ht="20.100000000000001" customHeight="1" x14ac:dyDescent="0.25">
      <c r="A45" s="5" t="str">
        <f>HYPERLINK("#'5.5.1.1-2 Leaching and runoff'!A1", "5.5.1.1-2 Leaching &amp; runoff")</f>
        <v>5.5.1.1-2 Leaching &amp; runoff</v>
      </c>
      <c r="D45" s="15"/>
      <c r="E45" s="15">
        <f>SUMIF($F$22:$F$31,VEERG_9_1_1__1_RefrigerantLeaking_Result_Blend10_Name_Method1,$L$22:$L$31)</f>
        <v>0</v>
      </c>
      <c r="H45" s="246"/>
      <c r="I45" s="246"/>
    </row>
    <row r="46" spans="1:13" ht="20.100000000000001" customHeight="1" x14ac:dyDescent="0.25">
      <c r="A46" s="5" t="str">
        <f>HYPERLINK("#'6.2.1.1-2 Pasture residue N2O'!A1", "6.2.1.1-2 Pasture residue N2O")</f>
        <v>6.2.1.1-2 Pasture residue N2O</v>
      </c>
    </row>
    <row r="47" spans="1:13" ht="20.100000000000001" customHeight="1" x14ac:dyDescent="0.25">
      <c r="A47" s="5" t="str">
        <f>HYPERLINK("#'6.3.1.1-2 Leach runoff pasture'!A1", "6.3.1.1-2 Leach &amp; runoff (pasture)")</f>
        <v>6.3.1.1-2 Leach &amp; runoff (pasture)</v>
      </c>
    </row>
    <row r="48" spans="1:13" ht="20.100000000000001" customHeight="1" x14ac:dyDescent="0.25">
      <c r="A48" s="5" t="str">
        <f>HYPERLINK("#'8.1.1.1-2 Transport fuel'!A1", "8.1.1.1-2 Transport fuel")</f>
        <v>8.1.1.1-2 Transport fuel</v>
      </c>
      <c r="C48" s="88"/>
      <c r="D48" s="88"/>
      <c r="E48" s="88"/>
      <c r="F48" s="88"/>
      <c r="G48" s="88"/>
      <c r="H48" s="88"/>
      <c r="I48" s="88"/>
      <c r="J48" s="88"/>
      <c r="K48" s="88"/>
      <c r="L48" s="88"/>
      <c r="M48" s="88"/>
    </row>
    <row r="49" spans="1:9" ht="20.100000000000001" customHeight="1" x14ac:dyDescent="0.25">
      <c r="A49" s="5" t="str">
        <f>HYPERLINK("#'8.2.1.1-2 Stationary fuel'!A1", "8.2.1.1-2 Stationary fuel")</f>
        <v>8.2.1.1-2 Stationary fuel</v>
      </c>
      <c r="D49" s="2" t="str" cm="1">
        <f t="array" ref="D49">Refrigerants_Equations.VEERG_9_1_1__1_RefrigerantLeakingGWP_Title()</f>
        <v>Refrigerant leakage emissions converted to CO2-e</v>
      </c>
    </row>
    <row r="50" spans="1:9" ht="20.100000000000001" customHeight="1" x14ac:dyDescent="0.25">
      <c r="A50" s="118" t="str">
        <f>HYPERLINK("#'9.1.1.1-2 Refrigerant use'!A1", "9.1.1.1-2 Refrigerant use")</f>
        <v>9.1.1.1-2 Refrigerant use</v>
      </c>
      <c r="D50" s="117" t="s">
        <v>382</v>
      </c>
      <c r="E50" s="117" t="str" cm="1">
        <f t="array" aca="1" ref="E50" ca="1">Common_InputFunctions.Utility_DisplayFunctionName(G62)</f>
        <v>=Refrigerants_Equations.VEERG_9_1_1__1_RefrigerantLeakingGWP</v>
      </c>
    </row>
    <row r="51" spans="1:9" ht="20.100000000000001" customHeight="1" x14ac:dyDescent="0.25">
      <c r="A51" s="5" t="str">
        <f>HYPERLINK("#'10.1.1-2 Solid waste treatment'!A1", "10.1.1.1-2 Solid waste")</f>
        <v>10.1.1.1-2 Solid waste</v>
      </c>
    </row>
    <row r="52" spans="1:9" ht="20.100000000000001" customHeight="1" x14ac:dyDescent="0.25">
      <c r="A52" s="5" t="str">
        <f>HYPERLINK("#'14.1.1-2 Purchased electricity'!A1", "14.1.1-2 Purchased electricity")</f>
        <v>14.1.1-2 Purchased electricity</v>
      </c>
    </row>
    <row r="53" spans="1:9" ht="20.100000000000001" customHeight="1" x14ac:dyDescent="0.25">
      <c r="A53" s="5" t="str">
        <f>HYPERLINK("#'15 Scope 3'!A1", "15 Scope 3")</f>
        <v>15 Scope 3</v>
      </c>
      <c r="D53" s="24" t="s">
        <v>383</v>
      </c>
      <c r="E53" s="1" t="str" cm="1">
        <f t="array" ref="E53">Refrigerants_Equations.VEERG_9_1_1__1_RefrigerantLeakingGWP_Variable()</f>
        <v>E_CO2e</v>
      </c>
    </row>
    <row r="54" spans="1:9" ht="20.100000000000001" customHeight="1" x14ac:dyDescent="0.25">
      <c r="A54" s="5" t="str">
        <f>HYPERLINK("#'Calcs - Manure sent off-site'!A1", "Calcs - Manure sent off-site")</f>
        <v>Calcs - Manure sent off-site</v>
      </c>
      <c r="D54" s="24" t="s">
        <v>118</v>
      </c>
      <c r="E54" s="9" t="str" cm="1">
        <f t="array" ref="E54">Refrigerants_Equations.VEERG_9_1_1__1_RefrigerantLeakingGWP_Unit()</f>
        <v>t CO2-e</v>
      </c>
    </row>
    <row r="55" spans="1:9" ht="20.100000000000001" customHeight="1" x14ac:dyDescent="0.25"/>
    <row r="56" spans="1:9" ht="20.100000000000001" customHeight="1" x14ac:dyDescent="0.25">
      <c r="D56" s="119" t="str" cm="1">
        <f t="array" ref="D56:E57">_xlfn.CHOOSECOLS(Refrigerants_Equations.VEERG_9_1_1__1_RefrigerantLeakingGWP_Arguments(), 1,2)</f>
        <v>E_R</v>
      </c>
      <c r="E56" s="124" t="str">
        <v>Total emissions of refrigerant R</v>
      </c>
      <c r="F56" s="125"/>
      <c r="G56" s="119" t="str" cm="1">
        <f t="array" ref="G56:H57">_xlfn.CHOOSECOLS(Refrigerants_Equations.VEERG_9_1_1__1_RefrigerantLeakingGWP_Arguments(), 3,4)</f>
        <v>t refrigerant gas</v>
      </c>
      <c r="H56" s="127" t="str">
        <v>Calculated from 9.1.1 (1)</v>
      </c>
      <c r="I56" s="126" t="str" cm="1">
        <f t="array" aca="1" ref="I56" ca="1">HYPERLINK(Common_InputFunctions.Utility_SourceHyperlink($D$33), $D$33)</f>
        <v>Table_E_R</v>
      </c>
    </row>
    <row r="57" spans="1:9" ht="20.100000000000001" customHeight="1" x14ac:dyDescent="0.25">
      <c r="A57" s="82" t="s">
        <v>1</v>
      </c>
      <c r="D57" s="119" t="str">
        <v>GWP_R</v>
      </c>
      <c r="E57" s="124" t="str">
        <v>Global warming potential of refrigerant R</v>
      </c>
      <c r="F57" s="125"/>
      <c r="G57" s="119" t="str">
        <v>Dimensionless</v>
      </c>
      <c r="H57" s="127" t="str">
        <v>Constant</v>
      </c>
      <c r="I57" s="126" t="str" cm="1">
        <f t="array" aca="1" ref="I57" ca="1">HYPERLINK(Common_InputFunctions.Utility_SourceHyperlink($D$59), $D$59)</f>
        <v>Table_E_CO2e</v>
      </c>
    </row>
    <row r="58" spans="1:9" ht="20.100000000000001" customHeight="1" x14ac:dyDescent="0.25">
      <c r="A58" s="5" t="str">
        <f>HYPERLINK("#'Constants - Dairy'!A1", "Constants - Dairy")</f>
        <v>Constants - Dairy</v>
      </c>
    </row>
    <row r="59" spans="1:9" ht="20.100000000000001" customHeight="1" x14ac:dyDescent="0.25">
      <c r="A59" s="5" t="str">
        <f>HYPERLINK("#'Constants - Ag Residue'!A1", "Constants - Ag residue")</f>
        <v>Constants - Ag residue</v>
      </c>
      <c r="D59" s="121" t="s">
        <v>1033</v>
      </c>
    </row>
    <row r="60" spans="1:9" ht="20.100000000000001" customHeight="1" x14ac:dyDescent="0.25">
      <c r="A60" s="5" t="str">
        <f>HYPERLINK("#'Constants - Common Livestock'!A1", "Constants - Common Livestock")</f>
        <v>Constants - Common Livestock</v>
      </c>
      <c r="D60" s="122" t="s">
        <v>1034</v>
      </c>
    </row>
    <row r="61" spans="1:9" ht="20.100000000000001" customHeight="1" x14ac:dyDescent="0.25">
      <c r="A61" s="5" t="str">
        <f>HYPERLINK("#'Constants - Electricity'!A1", "Constants - Electricity")</f>
        <v>Constants - Electricity</v>
      </c>
      <c r="D61" s="123" t="s">
        <v>1026</v>
      </c>
      <c r="E61" s="123" t="s">
        <v>1030</v>
      </c>
      <c r="F61" s="123" t="s">
        <v>1035</v>
      </c>
      <c r="G61" s="123" t="s">
        <v>1036</v>
      </c>
    </row>
    <row r="62" spans="1:9" ht="20.100000000000001" customHeight="1" x14ac:dyDescent="0.25">
      <c r="A62" s="5" t="str">
        <f>HYPERLINK("#'Constants - Fertiliser'!A1", "Constants - Fertiliser")</f>
        <v>Constants - Fertiliser</v>
      </c>
      <c r="D62" s="15" t="str">
        <f>VEERG_9_1_1__1_RefrigerantLeaking_Result_Blend1_Name_Method1</f>
        <v>R-402A</v>
      </c>
      <c r="E62" s="15">
        <f>VEERG_9_1_1__1_RefrigerantLeaking_Result_Blend1_Value_Method1</f>
        <v>8.5000000000000006E-4</v>
      </c>
      <c r="F62" s="15" cm="1">
        <f t="array" ref="F62">Common_InputFunctions.Utility_LookupValueInTableNumber(D62,Table_RefrigerantBlends_Cleaned[Blend],Table_RefrigerantBlends_Cleaned[Blend GWP])</f>
        <v>1395.3440000000001</v>
      </c>
      <c r="G62" s="15" cm="1">
        <f t="array" ref="G62">Refrigerants_Equations.VEERG_9_1_1__1_RefrigerantLeakingGWP(E62,F62)</f>
        <v>1.1860424000000003</v>
      </c>
    </row>
    <row r="63" spans="1:9" ht="20.100000000000001" customHeight="1" x14ac:dyDescent="0.25">
      <c r="A63" s="5" t="str">
        <f>HYPERLINK("#'Constants - Fuel'!A1", "Constants - Fuel")</f>
        <v>Constants - Fuel</v>
      </c>
      <c r="D63" s="15" t="str">
        <f>VEERG_9_1_1__1_RefrigerantLeaking_Result_Blend2_Name_Method1</f>
        <v>R-422B</v>
      </c>
      <c r="E63" s="15">
        <f>VEERG_9_1_1__1_RefrigerantLeaking_Result_Blend2_Value_Method1</f>
        <v>1.7500000000000003E-3</v>
      </c>
      <c r="F63" s="15" cm="1">
        <f t="array" ref="F63">Common_InputFunctions.Utility_LookupValueInTableNumber(D63,Table_RefrigerantBlends_Cleaned[Blend],Table_RefrigerantBlends_Cleaned[Blend GWP])</f>
        <v>1188.2450000000001</v>
      </c>
      <c r="G63" s="15" cm="1">
        <f t="array" ref="G63">Refrigerants_Equations.VEERG_9_1_1__1_RefrigerantLeakingGWP(E63,F63)</f>
        <v>2.0794287500000004</v>
      </c>
    </row>
    <row r="64" spans="1:9" ht="20.100000000000001" customHeight="1" x14ac:dyDescent="0.25">
      <c r="A64" s="5" t="str">
        <f>HYPERLINK("#'Constants - Scope 3'!A1", "Constants - Scope 3")</f>
        <v>Constants - Scope 3</v>
      </c>
      <c r="D64" s="15" t="str">
        <f>VEERG_9_1_1__1_RefrigerantLeaking_Result_Blend3_Name_Method1</f>
        <v>R-400 60/40</v>
      </c>
      <c r="E64" s="15">
        <f>VEERG_9_1_1__1_RefrigerantLeaking_Result_Blend3_Value_Method1</f>
        <v>1.2210000000000002E-2</v>
      </c>
      <c r="F64" s="15" cm="1">
        <f t="array" ref="F64">Common_InputFunctions.Utility_LookupValueInTableNumber(D64,Table_RefrigerantBlends_Cleaned[Blend],Table_RefrigerantBlends_Cleaned[Blend GWP])</f>
        <v>5733.6</v>
      </c>
      <c r="G64" s="15" cm="1">
        <f t="array" ref="G64">Refrigerants_Equations.VEERG_9_1_1__1_RefrigerantLeakingGWP(E64,F64)</f>
        <v>70.007256000000027</v>
      </c>
    </row>
    <row r="65" spans="1:7" ht="20.100000000000001" customHeight="1" x14ac:dyDescent="0.25">
      <c r="A65" s="5" t="str">
        <f>HYPERLINK("#'Constants - Common'!A1", "Constants - Common")</f>
        <v>Constants - Common</v>
      </c>
      <c r="D65" s="15" t="str">
        <f>VEERG_9_1_1__1_RefrigerantLeaking_Result_Blend4_Name_Method1</f>
        <v>R-504</v>
      </c>
      <c r="E65" s="15">
        <f>VEERG_9_1_1__1_RefrigerantLeaking_Result_Blend4_Value_Method1</f>
        <v>1.5699999999999999E-2</v>
      </c>
      <c r="F65" s="15" cm="1">
        <f t="array" ref="F65">Common_InputFunctions.Utility_LookupValueInTableNumber(D65,Table_RefrigerantBlends_Cleaned[Blend],Table_RefrigerantBlends_Cleaned[Blend GWP])</f>
        <v>2215.3284279999998</v>
      </c>
      <c r="G65" s="15" cm="1">
        <f t="array" ref="G65">Refrigerants_Equations.VEERG_9_1_1__1_RefrigerantLeakingGWP(E65,F65)</f>
        <v>34.780656319599998</v>
      </c>
    </row>
    <row r="66" spans="1:7" ht="20.100000000000001" customHeight="1" x14ac:dyDescent="0.25">
      <c r="A66" s="5" t="str">
        <f>HYPERLINK("#'Constants - Refrigerants'!A1", "Constants - Refrigerants")</f>
        <v>Constants - Refrigerants</v>
      </c>
      <c r="D66" s="15">
        <f>VEERG_9_1_1__1_RefrigerantLeaking_Result_Blend5_Name_Method1</f>
        <v>0</v>
      </c>
      <c r="E66" s="15">
        <f>VEERG_9_1_1__1_RefrigerantLeaking_Result_Blend5_Value_Method1</f>
        <v>0</v>
      </c>
      <c r="F66" s="15" cm="1">
        <f t="array" ref="F66">Common_InputFunctions.Utility_LookupValueInTableNumber(D66,Table_RefrigerantBlends_Cleaned[Blend],Table_RefrigerantBlends_Cleaned[Blend GWP])</f>
        <v>0</v>
      </c>
      <c r="G66" s="15" cm="1">
        <f t="array" ref="G66">Refrigerants_Equations.VEERG_9_1_1__1_RefrigerantLeakingGWP(E66,F66)</f>
        <v>0</v>
      </c>
    </row>
    <row r="67" spans="1:7" ht="20.100000000000001" customHeight="1" x14ac:dyDescent="0.25">
      <c r="A67" s="5" t="str">
        <f>HYPERLINK("#'Constants - Solid Waste'!A1", "Constants - Solid Waste")</f>
        <v>Constants - Solid Waste</v>
      </c>
      <c r="D67" s="15">
        <f>VEERG_9_1_1__1_RefrigerantLeaking_Result_Blend6_Name_Method1</f>
        <v>0</v>
      </c>
      <c r="E67" s="15">
        <f>VEERG_9_1_1__1_RefrigerantLeaking_Result_Blend6_Value_Method1</f>
        <v>0</v>
      </c>
      <c r="F67" s="15" cm="1">
        <f t="array" ref="F67">Common_InputFunctions.Utility_LookupValueInTableNumber(D67,Table_RefrigerantBlends_Cleaned[Blend],Table_RefrigerantBlends_Cleaned[Blend GWP])</f>
        <v>0</v>
      </c>
      <c r="G67" s="15" cm="1">
        <f t="array" ref="G67">Refrigerants_Equations.VEERG_9_1_1__1_RefrigerantLeakingGWP(E67,F67)</f>
        <v>0</v>
      </c>
    </row>
    <row r="68" spans="1:7" ht="20.100000000000001" customHeight="1" x14ac:dyDescent="0.25">
      <c r="A68" s="5" t="str">
        <f>HYPERLINK("#'Acknowledgements'!A1", "Acknowledgements")</f>
        <v>Acknowledgements</v>
      </c>
      <c r="D68" s="15">
        <f>VEERG_9_1_1__1_RefrigerantLeaking_Result_Blend7_Name_Method1</f>
        <v>0</v>
      </c>
      <c r="E68" s="15">
        <f>VEERG_9_1_1__1_RefrigerantLeaking_Result_Blend7_Value_Method1</f>
        <v>0</v>
      </c>
      <c r="F68" s="15" cm="1">
        <f t="array" ref="F68">Common_InputFunctions.Utility_LookupValueInTableNumber(D68,Table_RefrigerantBlends_Cleaned[Blend],Table_RefrigerantBlends_Cleaned[Blend GWP])</f>
        <v>0</v>
      </c>
      <c r="G68" s="15" cm="1">
        <f t="array" ref="G68">Refrigerants_Equations.VEERG_9_1_1__1_RefrigerantLeakingGWP(E68,F68)</f>
        <v>0</v>
      </c>
    </row>
    <row r="69" spans="1:7" ht="20.100000000000001" customHeight="1" x14ac:dyDescent="0.25">
      <c r="D69" s="15">
        <f>VEERG_9_1_1__1_RefrigerantLeaking_Result_Blend8_Name_Method1</f>
        <v>0</v>
      </c>
      <c r="E69" s="15">
        <f>VEERG_9_1_1__1_RefrigerantLeaking_Result_Blend8_Value_Method1</f>
        <v>0</v>
      </c>
      <c r="F69" s="15" cm="1">
        <f t="array" ref="F69">Common_InputFunctions.Utility_LookupValueInTableNumber(D69,Table_RefrigerantBlends_Cleaned[Blend],Table_RefrigerantBlends_Cleaned[Blend GWP])</f>
        <v>0</v>
      </c>
      <c r="G69" s="15" cm="1">
        <f t="array" ref="G69">Refrigerants_Equations.VEERG_9_1_1__1_RefrigerantLeakingGWP(E69,F69)</f>
        <v>0</v>
      </c>
    </row>
    <row r="70" spans="1:7" ht="20.100000000000001" customHeight="1" x14ac:dyDescent="0.25">
      <c r="D70" s="15">
        <f>VEERG_9_1_1__1_RefrigerantLeaking_Result_Blend9_Name_Method1</f>
        <v>0</v>
      </c>
      <c r="E70" s="15">
        <f>VEERG_9_1_1__1_RefrigerantLeaking_Result_Blend9_Value_Method1</f>
        <v>0</v>
      </c>
      <c r="F70" s="15" cm="1">
        <f t="array" ref="F70">Common_InputFunctions.Utility_LookupValueInTableNumber(D70,Table_RefrigerantBlends_Cleaned[Blend],Table_RefrigerantBlends_Cleaned[Blend GWP])</f>
        <v>0</v>
      </c>
      <c r="G70" s="15" cm="1">
        <f t="array" ref="G70">Refrigerants_Equations.VEERG_9_1_1__1_RefrigerantLeakingGWP(E70,F70)</f>
        <v>0</v>
      </c>
    </row>
    <row r="71" spans="1:7" ht="20.100000000000001" customHeight="1" x14ac:dyDescent="0.25">
      <c r="D71" s="15">
        <f>VEERG_9_1_1__1_RefrigerantLeaking_Result_Blend10_Name_Method1</f>
        <v>0</v>
      </c>
      <c r="E71" s="15">
        <f>VEERG_9_1_1__1_RefrigerantLeaking_Result_Blend10_Value_Method1</f>
        <v>0</v>
      </c>
      <c r="F71" s="15" cm="1">
        <f t="array" ref="F71">Common_InputFunctions.Utility_LookupValueInTableNumber(D71,Table_RefrigerantBlends_Cleaned[Blend],Table_RefrigerantBlends_Cleaned[Blend GWP])</f>
        <v>0</v>
      </c>
      <c r="G71" s="15" cm="1">
        <f t="array" ref="G71">Refrigerants_Equations.VEERG_9_1_1__1_RefrigerantLeakingGWP(E71,F71)</f>
        <v>0</v>
      </c>
    </row>
    <row r="72" spans="1:7" ht="20.100000000000001" customHeight="1" x14ac:dyDescent="0.25"/>
    <row r="73" spans="1:7" ht="20.100000000000001" customHeight="1" x14ac:dyDescent="0.25">
      <c r="D73" s="87" t="s">
        <v>1037</v>
      </c>
      <c r="E73" s="90">
        <f>SUM(G62:G71)</f>
        <v>108.05338346960002</v>
      </c>
      <c r="F73" s="89" t="str">
        <f>E54</f>
        <v>t CO2-e</v>
      </c>
    </row>
    <row r="74" spans="1:7" ht="20.100000000000001" customHeight="1" x14ac:dyDescent="0.25"/>
    <row r="75" spans="1:7" ht="20.100000000000001" customHeight="1" x14ac:dyDescent="0.25"/>
    <row r="76" spans="1:7" ht="20.100000000000001" customHeight="1" x14ac:dyDescent="0.25"/>
    <row r="77" spans="1:7" ht="20.100000000000001" customHeight="1" x14ac:dyDescent="0.25"/>
    <row r="78" spans="1:7" ht="20.100000000000001" customHeight="1" x14ac:dyDescent="0.25"/>
    <row r="79" spans="1:7" ht="20.100000000000001" customHeight="1" x14ac:dyDescent="0.25"/>
    <row r="80" spans="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G132 I129:I133 F134:I134 F129:F132 H128:H132 G129 F148:I148 I149 F150:I150" xr:uid="{0F534F20-6CCD-423A-B584-29702F670544}"/>
  </dataValidations>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DC0C3-4517-45A1-980B-2AEECF9895C5}">
  <sheetPr>
    <tabColor rgb="FF008000"/>
  </sheetPr>
  <dimension ref="A1:L342"/>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20" customFormat="1" ht="30" customHeight="1" x14ac:dyDescent="0.35">
      <c r="A1" s="10" t="e" vm="1">
        <v>#VALUE!</v>
      </c>
      <c r="C1" s="20" t="s">
        <v>319</v>
      </c>
    </row>
    <row r="2" spans="1:12" s="3" customFormat="1" ht="20.100000000000001" customHeight="1" x14ac:dyDescent="0.25">
      <c r="A2"/>
    </row>
    <row r="3" spans="1:12" ht="20.100000000000001" customHeight="1" x14ac:dyDescent="0.25">
      <c r="A3" s="5" t="str">
        <f>HYPERLINK("#'Home'!A1", "Home")</f>
        <v>Home</v>
      </c>
      <c r="C3" s="22"/>
      <c r="D3" s="22" t="s">
        <v>129</v>
      </c>
      <c r="E3" s="22"/>
      <c r="F3" s="22"/>
      <c r="G3" s="22"/>
      <c r="H3" s="22"/>
      <c r="I3" s="22"/>
      <c r="J3" s="22"/>
      <c r="K3" s="22"/>
      <c r="L3" s="22"/>
    </row>
    <row r="4" spans="1:12" ht="20.100000000000001" customHeight="1" x14ac:dyDescent="0.25">
      <c r="A4" s="5" t="str">
        <f>HYPERLINK("#'Results - Activity period'!A1", "Results - Activity period")</f>
        <v>Results - Activity period</v>
      </c>
    </row>
    <row r="5" spans="1:12" ht="20.100000000000001" customHeight="1" x14ac:dyDescent="0.25">
      <c r="A5" s="5" t="str">
        <f>HYPERLINK("#'Results - Product EI'!A1", "Results - Product Emissions Intensity")</f>
        <v>Results - Product Emissions Intensity</v>
      </c>
      <c r="D5" s="2" t="str" cm="1">
        <f t="array" ref="D5">WasteSolid_Equations.VEERG_10_1_1_1__2_MassOfWasteFromVolume_Title()</f>
        <v>Mass of waste from waste volume</v>
      </c>
    </row>
    <row r="6" spans="1:12" ht="20.100000000000001" customHeight="1" x14ac:dyDescent="0.25">
      <c r="A6" s="5" t="str">
        <f>HYPERLINK("#'Results'!A1", "Results")</f>
        <v>Results</v>
      </c>
      <c r="D6" s="17" t="str" cm="1">
        <f t="array" ref="D6">WasteSolid_Equations.VEERG_10_1_1_1__2_MassOfWasteFromVolume_Source()</f>
        <v>VEERG 2026: 10.1.1.1, Equation (2)</v>
      </c>
    </row>
    <row r="7" spans="1:12" ht="20.100000000000001" customHeight="1" x14ac:dyDescent="0.25">
      <c r="D7" s="117" t="s">
        <v>382</v>
      </c>
      <c r="E7" s="117" t="str" cm="1">
        <f t="array" aca="1" ref="E7" ca="1">Common_InputFunctions.Utility_DisplayFunctionName(I21)</f>
        <v>=WasteSolid_Equations.VEERG_10_1_1_1__2_MassOfWasteFromVolume</v>
      </c>
    </row>
    <row r="8" spans="1:12" ht="20.100000000000001" customHeight="1" x14ac:dyDescent="0.25"/>
    <row r="9" spans="1:12" ht="20.100000000000001" customHeight="1" x14ac:dyDescent="0.25">
      <c r="A9" s="7" t="s">
        <v>0</v>
      </c>
    </row>
    <row r="10" spans="1:12" ht="20.100000000000001" customHeight="1" x14ac:dyDescent="0.25">
      <c r="A10" s="5" t="str">
        <f>HYPERLINK("#'Input - Enterprise'!A1", "Enterprise")</f>
        <v>Enterprise</v>
      </c>
      <c r="D10" s="76" t="s">
        <v>383</v>
      </c>
      <c r="E10" s="1" t="str" cm="1">
        <f t="array" ref="E10">WasteSolid_Equations.VEERG_10_1_1_1__2_MassOfWasteFromVolume_Variable()</f>
        <v>Q_wt</v>
      </c>
    </row>
    <row r="11" spans="1:12" ht="20.100000000000001" customHeight="1" x14ac:dyDescent="0.25">
      <c r="A11" s="5" t="str">
        <f>HYPERLINK("#'Input - Site'!A1", "Site")</f>
        <v>Site</v>
      </c>
      <c r="D11" s="76" t="s">
        <v>118</v>
      </c>
      <c r="E11" s="9" t="str" cm="1">
        <f t="array" ref="E11">WasteSolid_Equations.VEERG_10_1_1_1__2_MassOfWasteFromVolume_Unit()</f>
        <v>t</v>
      </c>
    </row>
    <row r="12" spans="1:12" ht="20.100000000000001" customHeight="1" x14ac:dyDescent="0.25">
      <c r="A12" s="5" t="str">
        <f>HYPERLINK("#'Input - Dairy'!A1", "Dairy")</f>
        <v>Dairy</v>
      </c>
    </row>
    <row r="13" spans="1:12" ht="20.100000000000001" customHeight="1" x14ac:dyDescent="0.25">
      <c r="A13" s="5" t="str">
        <f>HYPERLINK("#'Input - Livestock sales'!A1", "Livestock sales")</f>
        <v>Livestock sales</v>
      </c>
      <c r="D13" s="119" t="str" cm="1">
        <f t="array" ref="D13:E16">_xlfn.CHOOSECOLS(WasteSolid_Equations.VEERG_10_1_1_1__2_MassOfWasteFromVolume_Arguments(),1,2)</f>
        <v>V_wt</v>
      </c>
      <c r="E13" s="124" t="str">
        <v>volume of solid waste type w being sent to treatment facility t</v>
      </c>
      <c r="F13" s="125"/>
      <c r="G13" s="119" t="str" cm="1">
        <f t="array" ref="G13:H16">_xlfn.CHOOSECOLS(WasteSolid_Equations.VEERG_10_1_1_1__2_MassOfWasteFromVolume_Arguments(),3,4)</f>
        <v>m3</v>
      </c>
      <c r="H13" s="120" t="str">
        <v>Input</v>
      </c>
      <c r="I13" s="126" t="str" cm="1">
        <f t="array" aca="1" ref="I13" ca="1">HYPERLINK(Common_InputFunctions.Utility_SourceHyperlink($D$18),$D$18)</f>
        <v>Table_V_w_t_onsite</v>
      </c>
      <c r="J13" s="126" t="str" cm="1">
        <f t="array" aca="1" ref="J13" ca="1">HYPERLINK(Common_InputFunctions.Utility_SourceHyperlink($D$56),$D$56)</f>
        <v>Table_V_w_t_offsite</v>
      </c>
    </row>
    <row r="14" spans="1:12" ht="20.100000000000001" customHeight="1" x14ac:dyDescent="0.25">
      <c r="A14" s="5" t="str">
        <f>HYPERLINK("#'Input - Dairy cattle purchases'!A1", "Dairy cattle purchases")</f>
        <v>Dairy cattle purchases</v>
      </c>
      <c r="D14" s="119" t="str">
        <v>VTM_w</v>
      </c>
      <c r="E14" s="124" t="str">
        <v>conversion factor of volume to mass for waste type w</v>
      </c>
      <c r="F14" s="125"/>
      <c r="G14" s="119" t="str">
        <v>t/m3</v>
      </c>
      <c r="H14" s="127" t="str">
        <v>Constant</v>
      </c>
      <c r="I14" s="126" t="str" cm="1">
        <f t="array" aca="1" ref="I14" ca="1">HYPERLINK(Common_InputFunctions.Utility_SourceHyperlink($D$18),$D$18)</f>
        <v>Table_V_w_t_onsite</v>
      </c>
      <c r="J14" s="126" t="str" cm="1">
        <f t="array" aca="1" ref="J14" ca="1">HYPERLINK(Common_InputFunctions.Utility_SourceHyperlink($D$56),$D$56)</f>
        <v>Table_V_w_t_offsite</v>
      </c>
    </row>
    <row r="15" spans="1:12" ht="20.100000000000001" customHeight="1" x14ac:dyDescent="0.25">
      <c r="A15" s="5" t="str">
        <f>HYPERLINK("#'Input - Pasture'!A1", "Pasture")</f>
        <v>Pasture</v>
      </c>
      <c r="D15" s="119" t="str">
        <v>w</v>
      </c>
      <c r="E15" s="124" t="str">
        <v>waste type</v>
      </c>
      <c r="F15" s="125"/>
      <c r="G15" s="119" t="str">
        <v/>
      </c>
      <c r="H15" s="120" t="str">
        <v>Input</v>
      </c>
      <c r="I15" s="126" t="str" cm="1">
        <f t="array" aca="1" ref="I15" ca="1">HYPERLINK(Common_InputFunctions.Utility_SourceHyperlink($D$18),$D$18)</f>
        <v>Table_V_w_t_onsite</v>
      </c>
      <c r="J15" s="126" t="str" cm="1">
        <f t="array" aca="1" ref="J15" ca="1">HYPERLINK(Common_InputFunctions.Utility_SourceHyperlink($D$56),$D$56)</f>
        <v>Table_V_w_t_offsite</v>
      </c>
    </row>
    <row r="16" spans="1:12" ht="20.100000000000001" customHeight="1" x14ac:dyDescent="0.25">
      <c r="A16" s="5" t="str">
        <f>HYPERLINK("#'Input - Fert Prod System'!A1", "Fert Prod System")</f>
        <v>Fert Prod System</v>
      </c>
      <c r="D16" s="119" t="str">
        <v>t</v>
      </c>
      <c r="E16" s="124" t="str">
        <v>treatment facility</v>
      </c>
      <c r="F16" s="125"/>
      <c r="G16" s="119" t="str">
        <v/>
      </c>
      <c r="H16" s="120" t="str">
        <v>Input</v>
      </c>
      <c r="I16" s="126" t="str" cm="1">
        <f t="array" aca="1" ref="I16" ca="1">HYPERLINK(Common_InputFunctions.Utility_SourceHyperlink($D$18),$D$18)</f>
        <v>Table_V_w_t_onsite</v>
      </c>
      <c r="J16" s="126" t="str" cm="1">
        <f t="array" aca="1" ref="J16" ca="1">HYPERLINK(Common_InputFunctions.Utility_SourceHyperlink($D$56),$D$56)</f>
        <v>Table_V_w_t_offsite</v>
      </c>
    </row>
    <row r="17" spans="1:9" ht="20.100000000000001" customHeight="1" x14ac:dyDescent="0.25">
      <c r="A17" s="5" t="str">
        <f>HYPERLINK("#'Input - Fertiliser'!A1", "Fertiliser")</f>
        <v>Fertiliser</v>
      </c>
    </row>
    <row r="18" spans="1:9" ht="20.100000000000001" customHeight="1" x14ac:dyDescent="0.25">
      <c r="A18" s="5" t="str">
        <f>HYPERLINK("#'Input - Fuel'!A1", "Fuel")</f>
        <v>Fuel</v>
      </c>
      <c r="D18" s="121" t="s">
        <v>1099</v>
      </c>
    </row>
    <row r="19" spans="1:9" ht="20.100000000000001" customHeight="1" x14ac:dyDescent="0.25">
      <c r="A19" s="5" t="str">
        <f>HYPERLINK("#'Input - Electricity'!A1", "Electricity")</f>
        <v>Electricity</v>
      </c>
      <c r="D19" s="122" t="s">
        <v>1100</v>
      </c>
    </row>
    <row r="20" spans="1:9" ht="20.100000000000001" customHeight="1" x14ac:dyDescent="0.25">
      <c r="A20" s="5" t="str">
        <f>HYPERLINK("#'Input - Common farm inputs'!A1", "Common farm inputs")</f>
        <v>Common farm inputs</v>
      </c>
      <c r="D20" s="81" t="s">
        <v>1101</v>
      </c>
      <c r="E20" s="81" t="s">
        <v>1102</v>
      </c>
      <c r="F20" s="81"/>
      <c r="G20" s="81" t="s">
        <v>1103</v>
      </c>
      <c r="H20" s="123" t="s">
        <v>1104</v>
      </c>
      <c r="I20" s="123" t="s">
        <v>1105</v>
      </c>
    </row>
    <row r="21" spans="1:9" ht="20.100000000000001" customHeight="1" x14ac:dyDescent="0.25">
      <c r="A21" s="5" t="str">
        <f>HYPERLINK("#'Input - Crop pasture farm input'!A1", "Crop pasture farm input")</f>
        <v>Crop pasture farm input</v>
      </c>
      <c r="D21" s="119" t="str" cm="1">
        <f t="array" ref="D21:D54">Table_SourceData_WasteSolid_WasteTreatmentEFs[Treatment type t]</f>
        <v>Landfill</v>
      </c>
      <c r="E21" s="124" t="str" cm="1">
        <f t="array" ref="E21:E54">Table_SourceData_WasteSolid_WasteTreatmentEFs[Waste type w]</f>
        <v>Food waste (including animal carcasses, spoiled animal feed or crop)</v>
      </c>
      <c r="F21" s="179"/>
      <c r="G21" s="1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15" cm="1">
        <f t="array" ref="H21">Common_InputFunctions.Utility_LookupValueInTableNumber(E21,Table_SourceData_WasteSolid_VolumeToMassConversion[Waste type w],Table_SourceData_WasteSolid_VolumeToMassConversion[VTMw])</f>
        <v>0.5</v>
      </c>
      <c r="I21" s="15" cm="1">
        <f t="array" ref="I21">WasteSolid_Equations.VEERG_10_1_1_1__2_MassOfWasteFromVolume(G21,H21)</f>
        <v>25</v>
      </c>
    </row>
    <row r="22" spans="1:9" ht="20.100000000000001" customHeight="1" x14ac:dyDescent="0.25">
      <c r="A22" s="5" t="str">
        <f>HYPERLINK("#'Input - Livestock farm Inputs'!A1", "Livestock farm Inputs")</f>
        <v>Livestock farm Inputs</v>
      </c>
      <c r="D22" s="119" t="str">
        <v>Landfill</v>
      </c>
      <c r="E22" s="124" t="str">
        <v>Paper and cardboard</v>
      </c>
      <c r="F22" s="179"/>
      <c r="G22" s="1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15" cm="1">
        <f t="array" ref="H22">Common_InputFunctions.Utility_LookupValueInTableNumber(E22,Table_SourceData_WasteSolid_VolumeToMassConversion[Waste type w],Table_SourceData_WasteSolid_VolumeToMassConversion[VTMw])</f>
        <v>0.09</v>
      </c>
      <c r="I22" s="15" cm="1">
        <f t="array" ref="I22">WasteSolid_Equations.VEERG_10_1_1_1__2_MassOfWasteFromVolume(G22,H22)</f>
        <v>4.5</v>
      </c>
    </row>
    <row r="23" spans="1:9" ht="20.100000000000001" customHeight="1" x14ac:dyDescent="0.25">
      <c r="A23" s="5" t="str">
        <f>HYPERLINK("#'Input - Freight'!A1", "Freight")</f>
        <v>Freight</v>
      </c>
      <c r="D23" s="119" t="str">
        <v>Landfill</v>
      </c>
      <c r="E23" s="124" t="str">
        <v>Green waste (including crop residues or prunings)</v>
      </c>
      <c r="F23" s="179"/>
      <c r="G23" s="1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15" cm="1">
        <f t="array" ref="H23">Common_InputFunctions.Utility_LookupValueInTableNumber(E23,Table_SourceData_WasteSolid_VolumeToMassConversion[Waste type w],Table_SourceData_WasteSolid_VolumeToMassConversion[VTMw])</f>
        <v>0.24</v>
      </c>
      <c r="I23" s="15" cm="1">
        <f t="array" ref="I23">WasteSolid_Equations.VEERG_10_1_1_1__2_MassOfWasteFromVolume(G23,H23)</f>
        <v>12</v>
      </c>
    </row>
    <row r="24" spans="1:9" ht="20.100000000000001" customHeight="1" x14ac:dyDescent="0.25">
      <c r="A24" s="5" t="str">
        <f>HYPERLINK("#'Input - Solid waste'!A1", "Solid waste")</f>
        <v>Solid waste</v>
      </c>
      <c r="D24" s="119" t="str">
        <v>Landfill</v>
      </c>
      <c r="E24" s="124" t="str">
        <v>Wood</v>
      </c>
      <c r="F24" s="179"/>
      <c r="G24" s="1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15" cm="1">
        <f t="array" ref="H24">Common_InputFunctions.Utility_LookupValueInTableNumber(E24,Table_SourceData_WasteSolid_VolumeToMassConversion[Waste type w],Table_SourceData_WasteSolid_VolumeToMassConversion[VTMw])</f>
        <v>0.15</v>
      </c>
      <c r="I24" s="15" cm="1">
        <f t="array" ref="I24">WasteSolid_Equations.VEERG_10_1_1_1__2_MassOfWasteFromVolume(G24,H24)</f>
        <v>0</v>
      </c>
    </row>
    <row r="25" spans="1:9" ht="20.100000000000001" customHeight="1" x14ac:dyDescent="0.25">
      <c r="A25" s="5" t="str">
        <f>HYPERLINK("#'Input - Manure sent off-site'!A1", "Manure sent off-site")</f>
        <v>Manure sent off-site</v>
      </c>
      <c r="D25" s="119" t="str">
        <v>Landfill</v>
      </c>
      <c r="E25" s="124" t="str">
        <v>Textiles</v>
      </c>
      <c r="F25" s="179"/>
      <c r="G25" s="1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15" cm="1">
        <f t="array" ref="H25">Common_InputFunctions.Utility_LookupValueInTableNumber(E25,Table_SourceData_WasteSolid_VolumeToMassConversion[Waste type w],Table_SourceData_WasteSolid_VolumeToMassConversion[VTMw])</f>
        <v>0.14000000000000001</v>
      </c>
      <c r="I25" s="15" cm="1">
        <f t="array" ref="I25">WasteSolid_Equations.VEERG_10_1_1_1__2_MassOfWasteFromVolume(G25,H25)</f>
        <v>0</v>
      </c>
    </row>
    <row r="26" spans="1:9" ht="20.100000000000001" customHeight="1" x14ac:dyDescent="0.25">
      <c r="A26" s="5" t="str">
        <f>HYPERLINK("#'Input - Refrigerants'!A1", "Refrigerants")</f>
        <v>Refrigerants</v>
      </c>
      <c r="D26" s="119" t="str">
        <v>Landfill</v>
      </c>
      <c r="E26" s="124" t="str">
        <v>Sludge</v>
      </c>
      <c r="F26" s="179"/>
      <c r="G26" s="1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15" cm="1">
        <f t="array" ref="H26">Common_InputFunctions.Utility_LookupValueInTableNumber(E26,Table_SourceData_WasteSolid_VolumeToMassConversion[Waste type w],Table_SourceData_WasteSolid_VolumeToMassConversion[VTMw])</f>
        <v>0.72</v>
      </c>
      <c r="I26" s="15" cm="1">
        <f t="array" ref="I26">WasteSolid_Equations.VEERG_10_1_1_1__2_MassOfWasteFromVolume(G26,H26)</f>
        <v>0</v>
      </c>
    </row>
    <row r="27" spans="1:9" ht="20.100000000000001" customHeight="1" x14ac:dyDescent="0.25">
      <c r="A27" s="5" t="str">
        <f>HYPERLINK("#'Input - Data quality'!A1", "Data quality")</f>
        <v>Data quality</v>
      </c>
      <c r="D27" s="119" t="str">
        <v>Landfill</v>
      </c>
      <c r="E27" s="124" t="str">
        <v>Rubber and leather</v>
      </c>
      <c r="F27" s="179"/>
      <c r="G27" s="1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15" cm="1">
        <f t="array" ref="H27">Common_InputFunctions.Utility_LookupValueInTableNumber(E27,Table_SourceData_WasteSolid_VolumeToMassConversion[Waste type w],Table_SourceData_WasteSolid_VolumeToMassConversion[VTMw])</f>
        <v>0.14000000000000001</v>
      </c>
      <c r="I27" s="15" cm="1">
        <f t="array" ref="I27">WasteSolid_Equations.VEERG_10_1_1_1__2_MassOfWasteFromVolume(G27,H27)</f>
        <v>0</v>
      </c>
    </row>
    <row r="28" spans="1:9" ht="20.100000000000001" customHeight="1" x14ac:dyDescent="0.25">
      <c r="D28" s="119" t="str">
        <v>Landfill</v>
      </c>
      <c r="E28" s="124" t="str">
        <v>Inert waste (including concrete, metal, plastic or glass)</v>
      </c>
      <c r="F28" s="179"/>
      <c r="G28" s="1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15" cm="1">
        <f t="array" ref="H28">Common_InputFunctions.Utility_LookupValueInTableNumber(E28,Table_SourceData_WasteSolid_VolumeToMassConversion[Waste type w],Table_SourceData_WasteSolid_VolumeToMassConversion[VTMw])</f>
        <v>0.42</v>
      </c>
      <c r="I28" s="15" cm="1">
        <f t="array" ref="I28">WasteSolid_Equations.VEERG_10_1_1_1__2_MassOfWasteFromVolume(G28,H28)</f>
        <v>0</v>
      </c>
    </row>
    <row r="29" spans="1:9" ht="20.100000000000001" customHeight="1" x14ac:dyDescent="0.25">
      <c r="D29" s="119" t="str">
        <v>Landfill</v>
      </c>
      <c r="E29" s="124" t="str">
        <v>Municipal solid waste</v>
      </c>
      <c r="F29" s="179"/>
      <c r="G29" s="1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15" cm="1">
        <f t="array" ref="H29">Common_InputFunctions.Utility_LookupValueInTableNumber(E29,Table_SourceData_WasteSolid_VolumeToMassConversion[Waste type w],Table_SourceData_WasteSolid_VolumeToMassConversion[VTMw])</f>
        <v>0.36</v>
      </c>
      <c r="I29" s="15" cm="1">
        <f t="array" ref="I29">WasteSolid_Equations.VEERG_10_1_1_1__2_MassOfWasteFromVolume(G29,H29)</f>
        <v>0</v>
      </c>
    </row>
    <row r="30" spans="1:9" ht="20.100000000000001" customHeight="1" x14ac:dyDescent="0.25">
      <c r="A30" s="6" t="s">
        <v>2</v>
      </c>
      <c r="D30" s="119" t="str">
        <v>Landfill</v>
      </c>
      <c r="E30" s="124" t="str">
        <v>Commercial and industrial waste</v>
      </c>
      <c r="F30" s="179"/>
      <c r="G30" s="1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15" cm="1">
        <f t="array" ref="H30">Common_InputFunctions.Utility_LookupValueInTableNumber(E30,Table_SourceData_WasteSolid_VolumeToMassConversion[Waste type w],Table_SourceData_WasteSolid_VolumeToMassConversion[VTMw])</f>
        <v>0.33</v>
      </c>
      <c r="I30" s="15" cm="1">
        <f t="array" ref="I30">WasteSolid_Equations.VEERG_10_1_1_1__2_MassOfWasteFromVolume(G30,H30)</f>
        <v>0</v>
      </c>
    </row>
    <row r="31" spans="1:9" ht="20.100000000000001" customHeight="1" x14ac:dyDescent="0.25">
      <c r="A31" s="5" t="str">
        <f>HYPERLINK("#'3.3.1.1-2 Enteric Methane'!A1", "3.3.1.1-2 Enteric methane")</f>
        <v>3.3.1.1-2 Enteric methane</v>
      </c>
      <c r="D31" s="119" t="str">
        <v>Landfill</v>
      </c>
      <c r="E31" s="124" t="str">
        <v>Construction and demolition waste</v>
      </c>
      <c r="F31" s="179"/>
      <c r="G31" s="1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15" cm="1">
        <f t="array" ref="H31">Common_InputFunctions.Utility_LookupValueInTableNumber(E31,Table_SourceData_WasteSolid_VolumeToMassConversion[Waste type w],Table_SourceData_WasteSolid_VolumeToMassConversion[VTMw])</f>
        <v>0.39</v>
      </c>
      <c r="I31" s="15" cm="1">
        <f t="array" ref="I31">WasteSolid_Equations.VEERG_10_1_1_1__2_MassOfWasteFromVolume(G31,H31)</f>
        <v>0</v>
      </c>
    </row>
    <row r="32" spans="1:9" ht="20.100000000000001" customHeight="1" x14ac:dyDescent="0.25">
      <c r="A32" s="5" t="str">
        <f>HYPERLINK("#'4.3.1.1-2 Methane'!A1", "4.3.1.1-2 Manure methane")</f>
        <v>4.3.1.1-2 Manure methane</v>
      </c>
      <c r="D32" s="119" t="str">
        <v>Incineration</v>
      </c>
      <c r="E32" s="124" t="str">
        <v>Food waste, green waste, wood, sludge</v>
      </c>
      <c r="F32" s="179"/>
      <c r="G32" s="15" t="s">
        <v>767</v>
      </c>
      <c r="H32" s="15" t="s">
        <v>767</v>
      </c>
      <c r="I32" s="15" t="s">
        <v>767</v>
      </c>
    </row>
    <row r="33" spans="1:9" ht="20.100000000000001" customHeight="1" x14ac:dyDescent="0.25">
      <c r="A33" s="5" t="str">
        <f>HYPERLINK("#'4.3.1.3-4 Direct N20'!A1", "4.3.1.3-4 Direct N20")</f>
        <v>4.3.1.3-4 Direct N20</v>
      </c>
      <c r="D33" s="119" t="str">
        <v>Incineration</v>
      </c>
      <c r="E33" s="124" t="str">
        <v>Food waste (including animal carcasses, spoiled animal feed or crop)</v>
      </c>
      <c r="F33" s="179"/>
      <c r="G33" s="1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15" cm="1">
        <f t="array" ref="H33">Common_InputFunctions.Utility_LookupValueInTableNumber(E33,Table_SourceData_WasteSolid_VolumeToMassConversion[Waste type w],Table_SourceData_WasteSolid_VolumeToMassConversion[VTMw])</f>
        <v>0.5</v>
      </c>
      <c r="I33" s="15" cm="1">
        <f t="array" ref="I33">WasteSolid_Equations.VEERG_10_1_1_1__2_MassOfWasteFromVolume(G33,H33)</f>
        <v>0</v>
      </c>
    </row>
    <row r="34" spans="1:9" ht="20.100000000000001" customHeight="1" x14ac:dyDescent="0.25">
      <c r="A34" s="5" t="str">
        <f>HYPERLINK("#'4.3.1.5 Atmos deposition'!A1", "4.3.1.5 Atmos deposition")</f>
        <v>4.3.1.5 Atmos deposition</v>
      </c>
      <c r="D34" s="119" t="str">
        <v>Incineration</v>
      </c>
      <c r="E34" s="124" t="str">
        <v>Green waste (including crop residues or prunings)</v>
      </c>
      <c r="F34" s="179"/>
      <c r="G34" s="1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15" cm="1">
        <f t="array" ref="H34">Common_InputFunctions.Utility_LookupValueInTableNumber(E34,Table_SourceData_WasteSolid_VolumeToMassConversion[Waste type w],Table_SourceData_WasteSolid_VolumeToMassConversion[VTMw])</f>
        <v>0.24</v>
      </c>
      <c r="I34" s="15" cm="1">
        <f t="array" ref="I34">WasteSolid_Equations.VEERG_10_1_1_1__2_MassOfWasteFromVolume(G34,H34)</f>
        <v>24</v>
      </c>
    </row>
    <row r="35" spans="1:9" ht="20.100000000000001" customHeight="1" x14ac:dyDescent="0.25">
      <c r="A35" s="5" t="str">
        <f>HYPERLINK("#'4.3.1.6-7 Leaching and runoff'!A1", "4.3.1.6-7 Leaching &amp; runoff")</f>
        <v>4.3.1.6-7 Leaching &amp; runoff</v>
      </c>
      <c r="D35" s="119" t="str">
        <v>Incineration</v>
      </c>
      <c r="E35" s="124" t="str">
        <v>Wood</v>
      </c>
      <c r="F35" s="179"/>
      <c r="G35" s="1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15" cm="1">
        <f t="array" ref="H35">Common_InputFunctions.Utility_LookupValueInTableNumber(E35,Table_SourceData_WasteSolid_VolumeToMassConversion[Waste type w],Table_SourceData_WasteSolid_VolumeToMassConversion[VTMw])</f>
        <v>0.15</v>
      </c>
      <c r="I35" s="15" cm="1">
        <f t="array" ref="I35">WasteSolid_Equations.VEERG_10_1_1_1__2_MassOfWasteFromVolume(G35,H35)</f>
        <v>0</v>
      </c>
    </row>
    <row r="36" spans="1:9" ht="20.100000000000001" customHeight="1" x14ac:dyDescent="0.25">
      <c r="A36" s="5" t="str">
        <f>HYPERLINK("#'4.3.1.8 Manure applied to soils'!A1", "4.3.1.8 Manure applied to soils")</f>
        <v>4.3.1.8 Manure applied to soils</v>
      </c>
      <c r="D36" s="119" t="str">
        <v>Incineration</v>
      </c>
      <c r="E36" s="124" t="str">
        <v>Sludge</v>
      </c>
      <c r="F36" s="179"/>
      <c r="G36" s="1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15" cm="1">
        <f t="array" ref="H36">Common_InputFunctions.Utility_LookupValueInTableNumber(E36,Table_SourceData_WasteSolid_VolumeToMassConversion[Waste type w],Table_SourceData_WasteSolid_VolumeToMassConversion[VTMw])</f>
        <v>0.72</v>
      </c>
      <c r="I36" s="15" cm="1">
        <f t="array" ref="I36">WasteSolid_Equations.VEERG_10_1_1_1__2_MassOfWasteFromVolume(G36,H36)</f>
        <v>0</v>
      </c>
    </row>
    <row r="37" spans="1:9" ht="20.100000000000001" customHeight="1" x14ac:dyDescent="0.25">
      <c r="A37" s="5" t="str">
        <f>HYPERLINK("#'4.3.1.9 Soil direct N2O'!A1", "4.3.1.9 Soil direct N2O")</f>
        <v>4.3.1.9 Soil direct N2O</v>
      </c>
      <c r="D37" s="119" t="str">
        <v>Incineration</v>
      </c>
      <c r="E37" s="124" t="str">
        <v>Paper and cardboard</v>
      </c>
      <c r="F37" s="179"/>
      <c r="G37" s="1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15" cm="1">
        <f t="array" ref="H37">Common_InputFunctions.Utility_LookupValueInTableNumber(E37,Table_SourceData_WasteSolid_VolumeToMassConversion[Waste type w],Table_SourceData_WasteSolid_VolumeToMassConversion[VTMw])</f>
        <v>0.09</v>
      </c>
      <c r="I37" s="15" cm="1">
        <f t="array" ref="I37">WasteSolid_Equations.VEERG_10_1_1_1__2_MassOfWasteFromVolume(G37,H37)</f>
        <v>4.5</v>
      </c>
    </row>
    <row r="38" spans="1:9" ht="20.100000000000001" customHeight="1" x14ac:dyDescent="0.25">
      <c r="A38" s="5" t="str">
        <f>HYPERLINK("#'4.3.1.10-11 Soil Atmos Dep'!A1", "4.3.1.10-11 Soil Atmos Deposition")</f>
        <v>4.3.1.10-11 Soil Atmos Deposition</v>
      </c>
      <c r="D38" s="119" t="str">
        <v>Incineration</v>
      </c>
      <c r="E38" s="124" t="str">
        <v>Textiles</v>
      </c>
      <c r="F38" s="179"/>
      <c r="G38" s="1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15" cm="1">
        <f t="array" ref="H38">Common_InputFunctions.Utility_LookupValueInTableNumber(E38,Table_SourceData_WasteSolid_VolumeToMassConversion[Waste type w],Table_SourceData_WasteSolid_VolumeToMassConversion[VTMw])</f>
        <v>0.14000000000000001</v>
      </c>
      <c r="I38" s="15" cm="1">
        <f t="array" ref="I38">WasteSolid_Equations.VEERG_10_1_1_1__2_MassOfWasteFromVolume(G38,H38)</f>
        <v>0</v>
      </c>
    </row>
    <row r="39" spans="1:9" ht="20.100000000000001" customHeight="1" x14ac:dyDescent="0.25">
      <c r="A39" s="5" t="str">
        <f>HYPERLINK("#'4.3.1.12-13 Soil leach runoff'!A1", "4.3.1.12-13 Soil leach &amp; runoff")</f>
        <v>4.3.1.12-13 Soil leach &amp; runoff</v>
      </c>
      <c r="D39" s="119" t="str">
        <v>Incineration</v>
      </c>
      <c r="E39" s="124" t="str">
        <v>Rubber and leather</v>
      </c>
      <c r="F39" s="179"/>
      <c r="G39" s="1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15" cm="1">
        <f t="array" ref="H39">Common_InputFunctions.Utility_LookupValueInTableNumber(E39,Table_SourceData_WasteSolid_VolumeToMassConversion[Waste type w],Table_SourceData_WasteSolid_VolumeToMassConversion[VTMw])</f>
        <v>0.14000000000000001</v>
      </c>
      <c r="I39" s="15" cm="1">
        <f t="array" ref="I39">WasteSolid_Equations.VEERG_10_1_1_1__2_MassOfWasteFromVolume(G39,H39)</f>
        <v>0</v>
      </c>
    </row>
    <row r="40" spans="1:9" ht="20.100000000000001" customHeight="1" x14ac:dyDescent="0.25">
      <c r="A40" s="5" t="str">
        <f>HYPERLINK("#'5.1.1.1-2 Inorganic fert N2O'!A1", "5.1.1.1-2 Inorganic fert N2O")</f>
        <v>5.1.1.1-2 Inorganic fert N2O</v>
      </c>
      <c r="D40" s="119" t="str">
        <v>Incineration</v>
      </c>
      <c r="E40" s="119" t="str">
        <v>Inert waste (including concrete, metal, plastic or glass)</v>
      </c>
      <c r="F40" s="119"/>
      <c r="G40" s="1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15" cm="1">
        <f t="array" ref="H40">Common_InputFunctions.Utility_LookupValueInTableNumber(E40,Table_SourceData_WasteSolid_VolumeToMassConversion[Waste type w],Table_SourceData_WasteSolid_VolumeToMassConversion[VTMw])</f>
        <v>0.42</v>
      </c>
      <c r="I40" s="15" cm="1">
        <f t="array" ref="I40">WasteSolid_Equations.VEERG_10_1_1_1__2_MassOfWasteFromVolume(G40,H40)</f>
        <v>0</v>
      </c>
    </row>
    <row r="41" spans="1:9" ht="20.100000000000001" customHeight="1" x14ac:dyDescent="0.25">
      <c r="A41" s="5" t="str">
        <f>HYPERLINK("#'5.1.1.3-4 Inorganic fert CO2'!A1", "5.1.1.3-4 Inorganic fert CO2")</f>
        <v>5.1.1.3-4 Inorganic fert CO2</v>
      </c>
      <c r="D41" s="119" t="str">
        <v>Incineration</v>
      </c>
      <c r="E41" s="124" t="str">
        <v>Municipal solid waste</v>
      </c>
      <c r="F41" s="125"/>
      <c r="G41" s="1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15" cm="1">
        <f t="array" ref="H41">Common_InputFunctions.Utility_LookupValueInTableNumber(E41,Table_SourceData_WasteSolid_VolumeToMassConversion[Waste type w],Table_SourceData_WasteSolid_VolumeToMassConversion[VTMw])</f>
        <v>0.36</v>
      </c>
      <c r="I41" s="15" cm="1">
        <f t="array" ref="I41">WasteSolid_Equations.VEERG_10_1_1_1__2_MassOfWasteFromVolume(G41,H41)</f>
        <v>0</v>
      </c>
    </row>
    <row r="42" spans="1:9" ht="20.100000000000001" customHeight="1" x14ac:dyDescent="0.25">
      <c r="A42" s="5" t="str">
        <f>HYPERLINK("#'5.2.1.1-2 Organic Fert N2O'!A1", "5.2.1.1-2 Organic fert N2O")</f>
        <v>5.2.1.1-2 Organic fert N2O</v>
      </c>
      <c r="D42" s="119" t="str">
        <v>Incineration</v>
      </c>
      <c r="E42" s="124" t="str">
        <v>Commercial and industrial waste</v>
      </c>
      <c r="F42" s="125"/>
      <c r="G42" s="1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15" cm="1">
        <f t="array" ref="H42">Common_InputFunctions.Utility_LookupValueInTableNumber(E42,Table_SourceData_WasteSolid_VolumeToMassConversion[Waste type w],Table_SourceData_WasteSolid_VolumeToMassConversion[VTMw])</f>
        <v>0.33</v>
      </c>
      <c r="I42" s="15" cm="1">
        <f t="array" ref="I42">WasteSolid_Equations.VEERG_10_1_1_1__2_MassOfWasteFromVolume(G42,H42)</f>
        <v>0</v>
      </c>
    </row>
    <row r="43" spans="1:9" ht="20.100000000000001" customHeight="1" x14ac:dyDescent="0.25">
      <c r="A43" s="5" t="str">
        <f>HYPERLINK("#'5.3.1.1-2 Lime CO2'!A1", "5.3.1.1-2 Lime CO2")</f>
        <v>5.3.1.1-2 Lime CO2</v>
      </c>
      <c r="D43" s="119" t="str">
        <v>Composting</v>
      </c>
      <c r="E43" s="124" t="str">
        <v>All organic waste</v>
      </c>
      <c r="F43" s="125"/>
      <c r="G43" s="15" t="s">
        <v>767</v>
      </c>
      <c r="H43" s="15" t="s">
        <v>767</v>
      </c>
      <c r="I43" s="15" t="s">
        <v>767</v>
      </c>
    </row>
    <row r="44" spans="1:9" ht="20.100000000000001" customHeight="1" x14ac:dyDescent="0.25">
      <c r="A44" s="5" t="str">
        <f>HYPERLINK("#'5.4.1.1-4 Atmos deposition'!A1", "5.4.1.1-4 Atmos. deposition")</f>
        <v>5.4.1.1-4 Atmos. deposition</v>
      </c>
      <c r="D44" s="119" t="str">
        <v>Composting</v>
      </c>
      <c r="E44" s="124" t="str">
        <v>Food waste (including animal carcasses, spoiled animal feed or crop)</v>
      </c>
      <c r="F44" s="125"/>
      <c r="G44" s="1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15" cm="1">
        <f t="array" ref="H44">Common_InputFunctions.Utility_LookupValueInTableNumber(E44,Table_SourceData_WasteSolid_VolumeToMassConversion[Waste type w],Table_SourceData_WasteSolid_VolumeToMassConversion[VTMw])</f>
        <v>0.5</v>
      </c>
      <c r="I44" s="15" cm="1">
        <f t="array" ref="I44">WasteSolid_Equations.VEERG_10_1_1_1__2_MassOfWasteFromVolume(G44,H44)</f>
        <v>25</v>
      </c>
    </row>
    <row r="45" spans="1:9" ht="20.100000000000001" customHeight="1" x14ac:dyDescent="0.25">
      <c r="A45" s="5" t="str">
        <f>HYPERLINK("#'5.5.1.1-2 Leaching and runoff'!A1", "5.5.1.1-2 Leaching &amp; runoff")</f>
        <v>5.5.1.1-2 Leaching &amp; runoff</v>
      </c>
      <c r="D45" s="119" t="str">
        <v>Composting</v>
      </c>
      <c r="E45" s="124" t="str">
        <v>Green waste (including crop residues or prunings)</v>
      </c>
      <c r="F45" s="125"/>
      <c r="G45" s="1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15" cm="1">
        <f t="array" ref="H45">Common_InputFunctions.Utility_LookupValueInTableNumber(E45,Table_SourceData_WasteSolid_VolumeToMassConversion[Waste type w],Table_SourceData_WasteSolid_VolumeToMassConversion[VTMw])</f>
        <v>0.24</v>
      </c>
      <c r="I45" s="15" cm="1">
        <f t="array" ref="I45">WasteSolid_Equations.VEERG_10_1_1_1__2_MassOfWasteFromVolume(G45,H45)</f>
        <v>0</v>
      </c>
    </row>
    <row r="46" spans="1:9" ht="20.100000000000001" customHeight="1" x14ac:dyDescent="0.25">
      <c r="A46" s="5" t="str">
        <f>HYPERLINK("#'6.2.1.1-2 Pasture residue N2O'!A1", "6.2.1.1-2 Pasture residue N2O")</f>
        <v>6.2.1.1-2 Pasture residue N2O</v>
      </c>
      <c r="D46" s="119" t="str">
        <v>Composting</v>
      </c>
      <c r="E46" s="124" t="str">
        <v>Wood</v>
      </c>
      <c r="F46" s="125"/>
      <c r="G46" s="1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15" cm="1">
        <f t="array" ref="H46">Common_InputFunctions.Utility_LookupValueInTableNumber(E46,Table_SourceData_WasteSolid_VolumeToMassConversion[Waste type w],Table_SourceData_WasteSolid_VolumeToMassConversion[VTMw])</f>
        <v>0.15</v>
      </c>
      <c r="I46" s="15" cm="1">
        <f t="array" ref="I46">WasteSolid_Equations.VEERG_10_1_1_1__2_MassOfWasteFromVolume(G46,H46)</f>
        <v>0</v>
      </c>
    </row>
    <row r="47" spans="1:9" ht="20.100000000000001" customHeight="1" x14ac:dyDescent="0.25">
      <c r="A47" s="5" t="str">
        <f>HYPERLINK("#'6.3.1.1-2 Leach runoff pasture'!A1", "6.3.1.1-2 Leach &amp; runoff (pasture)")</f>
        <v>6.3.1.1-2 Leach &amp; runoff (pasture)</v>
      </c>
      <c r="D47" s="119" t="str">
        <v>Composting</v>
      </c>
      <c r="E47" s="124" t="str">
        <v>Sludge</v>
      </c>
      <c r="F47" s="125"/>
      <c r="G47" s="1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15" cm="1">
        <f t="array" ref="H47">Common_InputFunctions.Utility_LookupValueInTableNumber(E47,Table_SourceData_WasteSolid_VolumeToMassConversion[Waste type w],Table_SourceData_WasteSolid_VolumeToMassConversion[VTMw])</f>
        <v>0.72</v>
      </c>
      <c r="I47" s="15" cm="1">
        <f t="array" ref="I47">WasteSolid_Equations.VEERG_10_1_1_1__2_MassOfWasteFromVolume(G47,H47)</f>
        <v>0</v>
      </c>
    </row>
    <row r="48" spans="1:9" ht="20.100000000000001" customHeight="1" x14ac:dyDescent="0.25">
      <c r="A48" s="5" t="str">
        <f>HYPERLINK("#'8.1.1.1-2 Transport fuel'!A1", "8.1.1.1-2 Transport fuel")</f>
        <v>8.1.1.1-2 Transport fuel</v>
      </c>
      <c r="D48" s="119" t="str">
        <v>Composting</v>
      </c>
      <c r="E48" s="124" t="str">
        <v>Paper and cardboard</v>
      </c>
      <c r="F48" s="125"/>
      <c r="G48" s="1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15" cm="1">
        <f t="array" ref="H48">Common_InputFunctions.Utility_LookupValueInTableNumber(E48,Table_SourceData_WasteSolid_VolumeToMassConversion[Waste type w],Table_SourceData_WasteSolid_VolumeToMassConversion[VTMw])</f>
        <v>0.09</v>
      </c>
      <c r="I48" s="15" cm="1">
        <f t="array" ref="I48">WasteSolid_Equations.VEERG_10_1_1_1__2_MassOfWasteFromVolume(G48,H48)</f>
        <v>4.5</v>
      </c>
    </row>
    <row r="49" spans="1:9" ht="20.100000000000001" customHeight="1" x14ac:dyDescent="0.25">
      <c r="A49" s="5" t="str">
        <f>HYPERLINK("#'8.2.1.1-2 Stationary fuel'!A1", "8.2.1.1-2 Stationary fuel")</f>
        <v>8.2.1.1-2 Stationary fuel</v>
      </c>
      <c r="D49" s="119" t="str">
        <v>Anaerobic digestion</v>
      </c>
      <c r="E49" s="124" t="str">
        <v>All organic waste</v>
      </c>
      <c r="F49" s="125"/>
      <c r="G49" s="15" t="s">
        <v>767</v>
      </c>
      <c r="H49" s="15" t="s">
        <v>767</v>
      </c>
      <c r="I49" s="15" t="s">
        <v>767</v>
      </c>
    </row>
    <row r="50" spans="1:9" ht="20.100000000000001" customHeight="1" x14ac:dyDescent="0.25">
      <c r="A50" s="5" t="str">
        <f>HYPERLINK("#'9.1.1.1-2 Refrigerant use'!A1", "9.1.1.1-2 Refrigerant use")</f>
        <v>9.1.1.1-2 Refrigerant use</v>
      </c>
      <c r="D50" s="119" t="str">
        <v>Anaerobic digestion</v>
      </c>
      <c r="E50" s="124" t="str">
        <v>Food waste (including animal carcasses, spoiled animal feed or crop)</v>
      </c>
      <c r="F50" s="125"/>
      <c r="G50" s="1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15" cm="1">
        <f t="array" ref="H50">Common_InputFunctions.Utility_LookupValueInTableNumber(E50,Table_SourceData_WasteSolid_VolumeToMassConversion[Waste type w],Table_SourceData_WasteSolid_VolumeToMassConversion[VTMw])</f>
        <v>0.5</v>
      </c>
      <c r="I50" s="15" cm="1">
        <f t="array" ref="I50">WasteSolid_Equations.VEERG_10_1_1_1__2_MassOfWasteFromVolume(G50,H50)</f>
        <v>0</v>
      </c>
    </row>
    <row r="51" spans="1:9" ht="20.100000000000001" customHeight="1" x14ac:dyDescent="0.25">
      <c r="A51" s="118" t="str">
        <f>HYPERLINK("#'10.1.1-2 Solid waste treatment'!A1", "10.1.1.1-2 Solid waste")</f>
        <v>10.1.1.1-2 Solid waste</v>
      </c>
      <c r="D51" s="119" t="str">
        <v>Anaerobic digestion</v>
      </c>
      <c r="E51" s="124" t="str">
        <v>Green waste (including crop residues or prunings)</v>
      </c>
      <c r="F51" s="125"/>
      <c r="G51" s="1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15" cm="1">
        <f t="array" ref="H51">Common_InputFunctions.Utility_LookupValueInTableNumber(E51,Table_SourceData_WasteSolid_VolumeToMassConversion[Waste type w],Table_SourceData_WasteSolid_VolumeToMassConversion[VTMw])</f>
        <v>0.24</v>
      </c>
      <c r="I51" s="15" cm="1">
        <f t="array" ref="I51">WasteSolid_Equations.VEERG_10_1_1_1__2_MassOfWasteFromVolume(G51,H51)</f>
        <v>0</v>
      </c>
    </row>
    <row r="52" spans="1:9" ht="20.100000000000001" customHeight="1" x14ac:dyDescent="0.25">
      <c r="A52" s="5" t="str">
        <f>HYPERLINK("#'14.1.1-2 Purchased electricity'!A1", "14.1.1-2 Purchased electricity")</f>
        <v>14.1.1-2 Purchased electricity</v>
      </c>
      <c r="D52" s="119" t="str">
        <v>Anaerobic digestion</v>
      </c>
      <c r="E52" s="124" t="str">
        <v>Wood</v>
      </c>
      <c r="F52" s="125"/>
      <c r="G52" s="1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15" cm="1">
        <f t="array" ref="H52">Common_InputFunctions.Utility_LookupValueInTableNumber(E52,Table_SourceData_WasteSolid_VolumeToMassConversion[Waste type w],Table_SourceData_WasteSolid_VolumeToMassConversion[VTMw])</f>
        <v>0.15</v>
      </c>
      <c r="I52" s="15" cm="1">
        <f t="array" ref="I52">WasteSolid_Equations.VEERG_10_1_1_1__2_MassOfWasteFromVolume(G52,H52)</f>
        <v>0</v>
      </c>
    </row>
    <row r="53" spans="1:9" ht="20.100000000000001" customHeight="1" x14ac:dyDescent="0.25">
      <c r="A53" s="5" t="str">
        <f>HYPERLINK("#'15 Scope 3'!A1", "15 Scope 3")</f>
        <v>15 Scope 3</v>
      </c>
      <c r="D53" s="119" t="str">
        <v>Anaerobic digestion</v>
      </c>
      <c r="E53" s="124" t="str">
        <v>Sludge</v>
      </c>
      <c r="F53" s="125"/>
      <c r="G53" s="1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15" cm="1">
        <f t="array" ref="H53">Common_InputFunctions.Utility_LookupValueInTableNumber(E53,Table_SourceData_WasteSolid_VolumeToMassConversion[Waste type w],Table_SourceData_WasteSolid_VolumeToMassConversion[VTMw])</f>
        <v>0.72</v>
      </c>
      <c r="I53" s="15" cm="1">
        <f t="array" ref="I53">WasteSolid_Equations.VEERG_10_1_1_1__2_MassOfWasteFromVolume(G53,H53)</f>
        <v>0</v>
      </c>
    </row>
    <row r="54" spans="1:9" ht="20.100000000000001" customHeight="1" x14ac:dyDescent="0.25">
      <c r="A54" s="5" t="str">
        <f>HYPERLINK("#'Calcs - Manure sent off-site'!A1", "Calcs - Manure sent off-site")</f>
        <v>Calcs - Manure sent off-site</v>
      </c>
      <c r="D54" s="119" t="str">
        <v>Anaerobic digestion</v>
      </c>
      <c r="E54" s="124" t="str">
        <v>Paper and cardboard</v>
      </c>
      <c r="F54" s="125"/>
      <c r="G54" s="1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15" cm="1">
        <f t="array" ref="H54">Common_InputFunctions.Utility_LookupValueInTableNumber(E54,Table_SourceData_WasteSolid_VolumeToMassConversion[Waste type w],Table_SourceData_WasteSolid_VolumeToMassConversion[VTMw])</f>
        <v>0.09</v>
      </c>
      <c r="I54" s="15" cm="1">
        <f t="array" ref="I54">WasteSolid_Equations.VEERG_10_1_1_1__2_MassOfWasteFromVolume(G54,H54)</f>
        <v>0</v>
      </c>
    </row>
    <row r="55" spans="1:9" ht="20.100000000000001" customHeight="1" x14ac:dyDescent="0.25"/>
    <row r="56" spans="1:9" ht="20.100000000000001" customHeight="1" x14ac:dyDescent="0.25">
      <c r="D56" s="121" t="s">
        <v>1106</v>
      </c>
    </row>
    <row r="57" spans="1:9" ht="20.100000000000001" customHeight="1" x14ac:dyDescent="0.25">
      <c r="A57" s="82" t="s">
        <v>1</v>
      </c>
      <c r="D57" s="122" t="s">
        <v>1107</v>
      </c>
    </row>
    <row r="58" spans="1:9" ht="20.100000000000001" customHeight="1" x14ac:dyDescent="0.25">
      <c r="A58" s="5" t="str">
        <f>HYPERLINK("#'Constants - Dairy'!A1", "Constants - Dairy")</f>
        <v>Constants - Dairy</v>
      </c>
      <c r="D58" s="81" t="s">
        <v>1101</v>
      </c>
      <c r="E58" s="81" t="s">
        <v>1102</v>
      </c>
      <c r="F58" s="81"/>
      <c r="G58" s="81" t="s">
        <v>1103</v>
      </c>
      <c r="H58" s="123" t="s">
        <v>1104</v>
      </c>
      <c r="I58" s="123" t="s">
        <v>1105</v>
      </c>
    </row>
    <row r="59" spans="1:9" ht="20.100000000000001" customHeight="1" x14ac:dyDescent="0.25">
      <c r="A59" s="5" t="str">
        <f>HYPERLINK("#'Constants - Ag Residue'!A1", "Constants - Ag residue")</f>
        <v>Constants - Ag residue</v>
      </c>
      <c r="D59" s="119" t="str" cm="1">
        <f t="array" ref="D59:D92">Table_SourceData_WasteSolid_WasteTreatmentEFs[Treatment type t]</f>
        <v>Landfill</v>
      </c>
      <c r="E59" s="124" t="str" cm="1">
        <f t="array" ref="E59:E92">Table_SourceData_WasteSolid_WasteTreatmentEFs[Waste type w]</f>
        <v>Food waste (including animal carcasses, spoiled animal feed or crop)</v>
      </c>
      <c r="F59" s="179"/>
      <c r="G59" s="1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15" cm="1">
        <f t="array" ref="H59">Common_InputFunctions.Utility_LookupValueInTableNumber(E59,Table_SourceData_WasteSolid_VolumeToMassConversion[Waste type w],Table_SourceData_WasteSolid_VolumeToMassConversion[VTMw])</f>
        <v>0.5</v>
      </c>
      <c r="I59" s="15" cm="1">
        <f t="array" ref="I59">WasteSolid_Equations.VEERG_10_1_1_1__2_MassOfWasteFromVolume(G59,H59)</f>
        <v>25</v>
      </c>
    </row>
    <row r="60" spans="1:9" ht="20.100000000000001" customHeight="1" x14ac:dyDescent="0.25">
      <c r="A60" s="5" t="str">
        <f>HYPERLINK("#'Constants - Common Livestock'!A1", "Constants - Common Livestock")</f>
        <v>Constants - Common Livestock</v>
      </c>
      <c r="D60" s="119" t="str">
        <v>Landfill</v>
      </c>
      <c r="E60" s="124" t="str">
        <v>Paper and cardboard</v>
      </c>
      <c r="F60" s="179"/>
      <c r="G60" s="1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15" cm="1">
        <f t="array" ref="H60">Common_InputFunctions.Utility_LookupValueInTableNumber(E60,Table_SourceData_WasteSolid_VolumeToMassConversion[Waste type w],Table_SourceData_WasteSolid_VolumeToMassConversion[VTMw])</f>
        <v>0.09</v>
      </c>
      <c r="I60" s="15" cm="1">
        <f t="array" ref="I60">WasteSolid_Equations.VEERG_10_1_1_1__2_MassOfWasteFromVolume(G60,H60)</f>
        <v>4.5</v>
      </c>
    </row>
    <row r="61" spans="1:9" ht="20.100000000000001" customHeight="1" x14ac:dyDescent="0.25">
      <c r="A61" s="5" t="str">
        <f>HYPERLINK("#'Constants - Electricity'!A1", "Constants - Electricity")</f>
        <v>Constants - Electricity</v>
      </c>
      <c r="D61" s="119" t="str">
        <v>Landfill</v>
      </c>
      <c r="E61" s="124" t="str">
        <v>Green waste (including crop residues or prunings)</v>
      </c>
      <c r="F61" s="179"/>
      <c r="G61" s="1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15" cm="1">
        <f t="array" ref="H61">Common_InputFunctions.Utility_LookupValueInTableNumber(E61,Table_SourceData_WasteSolid_VolumeToMassConversion[Waste type w],Table_SourceData_WasteSolid_VolumeToMassConversion[VTMw])</f>
        <v>0.24</v>
      </c>
      <c r="I61" s="15" cm="1">
        <f t="array" ref="I61">WasteSolid_Equations.VEERG_10_1_1_1__2_MassOfWasteFromVolume(G61,H61)</f>
        <v>12</v>
      </c>
    </row>
    <row r="62" spans="1:9" ht="20.100000000000001" customHeight="1" x14ac:dyDescent="0.25">
      <c r="A62" s="5" t="str">
        <f>HYPERLINK("#'Constants - Fertiliser'!A1", "Constants - Fertiliser")</f>
        <v>Constants - Fertiliser</v>
      </c>
      <c r="D62" s="119" t="str">
        <v>Landfill</v>
      </c>
      <c r="E62" s="124" t="str">
        <v>Wood</v>
      </c>
      <c r="F62" s="179"/>
      <c r="G62" s="1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15" cm="1">
        <f t="array" ref="H62">Common_InputFunctions.Utility_LookupValueInTableNumber(E62,Table_SourceData_WasteSolid_VolumeToMassConversion[Waste type w],Table_SourceData_WasteSolid_VolumeToMassConversion[VTMw])</f>
        <v>0.15</v>
      </c>
      <c r="I62" s="15" cm="1">
        <f t="array" ref="I62">WasteSolid_Equations.VEERG_10_1_1_1__2_MassOfWasteFromVolume(G62,H62)</f>
        <v>0</v>
      </c>
    </row>
    <row r="63" spans="1:9" ht="20.100000000000001" customHeight="1" x14ac:dyDescent="0.25">
      <c r="A63" s="5" t="str">
        <f>HYPERLINK("#'Constants - Fuel'!A1", "Constants - Fuel")</f>
        <v>Constants - Fuel</v>
      </c>
      <c r="D63" s="119" t="str">
        <v>Landfill</v>
      </c>
      <c r="E63" s="124" t="str">
        <v>Textiles</v>
      </c>
      <c r="F63" s="179"/>
      <c r="G63" s="1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15" cm="1">
        <f t="array" ref="H63">Common_InputFunctions.Utility_LookupValueInTableNumber(E63,Table_SourceData_WasteSolid_VolumeToMassConversion[Waste type w],Table_SourceData_WasteSolid_VolumeToMassConversion[VTMw])</f>
        <v>0.14000000000000001</v>
      </c>
      <c r="I63" s="15" cm="1">
        <f t="array" ref="I63">WasteSolid_Equations.VEERG_10_1_1_1__2_MassOfWasteFromVolume(G63,H63)</f>
        <v>0</v>
      </c>
    </row>
    <row r="64" spans="1:9" ht="20.100000000000001" customHeight="1" x14ac:dyDescent="0.25">
      <c r="A64" s="5" t="str">
        <f>HYPERLINK("#'Constants - Scope 3'!A1", "Constants - Scope 3")</f>
        <v>Constants - Scope 3</v>
      </c>
      <c r="D64" s="119" t="str">
        <v>Landfill</v>
      </c>
      <c r="E64" s="124" t="str">
        <v>Sludge</v>
      </c>
      <c r="F64" s="179"/>
      <c r="G64" s="1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15" cm="1">
        <f t="array" ref="H64">Common_InputFunctions.Utility_LookupValueInTableNumber(E64,Table_SourceData_WasteSolid_VolumeToMassConversion[Waste type w],Table_SourceData_WasteSolid_VolumeToMassConversion[VTMw])</f>
        <v>0.72</v>
      </c>
      <c r="I64" s="15" cm="1">
        <f t="array" ref="I64">WasteSolid_Equations.VEERG_10_1_1_1__2_MassOfWasteFromVolume(G64,H64)</f>
        <v>0</v>
      </c>
    </row>
    <row r="65" spans="1:9" ht="20.100000000000001" customHeight="1" x14ac:dyDescent="0.25">
      <c r="A65" s="5" t="str">
        <f>HYPERLINK("#'Constants - Common'!A1", "Constants - Common")</f>
        <v>Constants - Common</v>
      </c>
      <c r="D65" s="119" t="str">
        <v>Landfill</v>
      </c>
      <c r="E65" s="124" t="str">
        <v>Rubber and leather</v>
      </c>
      <c r="F65" s="179"/>
      <c r="G65" s="1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15" cm="1">
        <f t="array" ref="H65">Common_InputFunctions.Utility_LookupValueInTableNumber(E65,Table_SourceData_WasteSolid_VolumeToMassConversion[Waste type w],Table_SourceData_WasteSolid_VolumeToMassConversion[VTMw])</f>
        <v>0.14000000000000001</v>
      </c>
      <c r="I65" s="15" cm="1">
        <f t="array" ref="I65">WasteSolid_Equations.VEERG_10_1_1_1__2_MassOfWasteFromVolume(G65,H65)</f>
        <v>0</v>
      </c>
    </row>
    <row r="66" spans="1:9" ht="20.100000000000001" customHeight="1" x14ac:dyDescent="0.25">
      <c r="A66" s="5" t="str">
        <f>HYPERLINK("#'Constants - Refrigerants'!A1", "Constants - Refrigerants")</f>
        <v>Constants - Refrigerants</v>
      </c>
      <c r="D66" s="119" t="str">
        <v>Landfill</v>
      </c>
      <c r="E66" s="124" t="str">
        <v>Inert waste (including concrete, metal, plastic or glass)</v>
      </c>
      <c r="F66" s="179"/>
      <c r="G66" s="1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15" cm="1">
        <f t="array" ref="H66">Common_InputFunctions.Utility_LookupValueInTableNumber(E66,Table_SourceData_WasteSolid_VolumeToMassConversion[Waste type w],Table_SourceData_WasteSolid_VolumeToMassConversion[VTMw])</f>
        <v>0.42</v>
      </c>
      <c r="I66" s="15" cm="1">
        <f t="array" ref="I66">WasteSolid_Equations.VEERG_10_1_1_1__2_MassOfWasteFromVolume(G66,H66)</f>
        <v>0</v>
      </c>
    </row>
    <row r="67" spans="1:9" ht="20.100000000000001" customHeight="1" x14ac:dyDescent="0.25">
      <c r="A67" s="5" t="str">
        <f>HYPERLINK("#'Constants - Solid Waste'!A1", "Constants - Solid Waste")</f>
        <v>Constants - Solid Waste</v>
      </c>
      <c r="D67" s="119" t="str">
        <v>Landfill</v>
      </c>
      <c r="E67" s="124" t="str">
        <v>Municipal solid waste</v>
      </c>
      <c r="F67" s="179"/>
      <c r="G67" s="1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15" cm="1">
        <f t="array" ref="H67">Common_InputFunctions.Utility_LookupValueInTableNumber(E67,Table_SourceData_WasteSolid_VolumeToMassConversion[Waste type w],Table_SourceData_WasteSolid_VolumeToMassConversion[VTMw])</f>
        <v>0.36</v>
      </c>
      <c r="I67" s="15" cm="1">
        <f t="array" ref="I67">WasteSolid_Equations.VEERG_10_1_1_1__2_MassOfWasteFromVolume(G67,H67)</f>
        <v>0</v>
      </c>
    </row>
    <row r="68" spans="1:9" ht="20.100000000000001" customHeight="1" x14ac:dyDescent="0.25">
      <c r="A68" s="5" t="str">
        <f>HYPERLINK("#'Acknowledgements'!A1", "Acknowledgements")</f>
        <v>Acknowledgements</v>
      </c>
      <c r="D68" s="119" t="str">
        <v>Landfill</v>
      </c>
      <c r="E68" s="124" t="str">
        <v>Commercial and industrial waste</v>
      </c>
      <c r="F68" s="179"/>
      <c r="G68" s="1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15" cm="1">
        <f t="array" ref="H68">Common_InputFunctions.Utility_LookupValueInTableNumber(E68,Table_SourceData_WasteSolid_VolumeToMassConversion[Waste type w],Table_SourceData_WasteSolid_VolumeToMassConversion[VTMw])</f>
        <v>0.33</v>
      </c>
      <c r="I68" s="15" cm="1">
        <f t="array" ref="I68">WasteSolid_Equations.VEERG_10_1_1_1__2_MassOfWasteFromVolume(G68,H68)</f>
        <v>0</v>
      </c>
    </row>
    <row r="69" spans="1:9" ht="20.100000000000001" customHeight="1" x14ac:dyDescent="0.25">
      <c r="D69" s="119" t="str">
        <v>Landfill</v>
      </c>
      <c r="E69" s="124" t="str">
        <v>Construction and demolition waste</v>
      </c>
      <c r="F69" s="179"/>
      <c r="G69" s="1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15" cm="1">
        <f t="array" ref="H69">Common_InputFunctions.Utility_LookupValueInTableNumber(E69,Table_SourceData_WasteSolid_VolumeToMassConversion[Waste type w],Table_SourceData_WasteSolid_VolumeToMassConversion[VTMw])</f>
        <v>0.39</v>
      </c>
      <c r="I69" s="15" cm="1">
        <f t="array" ref="I69">WasteSolid_Equations.VEERG_10_1_1_1__2_MassOfWasteFromVolume(G69,H69)</f>
        <v>0</v>
      </c>
    </row>
    <row r="70" spans="1:9" ht="20.100000000000001" customHeight="1" x14ac:dyDescent="0.25">
      <c r="D70" s="119" t="str">
        <v>Incineration</v>
      </c>
      <c r="E70" s="124" t="str">
        <v>Food waste, green waste, wood, sludge</v>
      </c>
      <c r="F70" s="179"/>
      <c r="G70" s="15" t="s">
        <v>767</v>
      </c>
      <c r="H70" s="15" t="s">
        <v>767</v>
      </c>
      <c r="I70" s="15" t="s">
        <v>767</v>
      </c>
    </row>
    <row r="71" spans="1:9" ht="20.100000000000001" customHeight="1" x14ac:dyDescent="0.25">
      <c r="D71" s="119" t="str">
        <v>Incineration</v>
      </c>
      <c r="E71" s="124" t="str">
        <v>Food waste (including animal carcasses, spoiled animal feed or crop)</v>
      </c>
      <c r="F71" s="179"/>
      <c r="G71" s="1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15" cm="1">
        <f t="array" ref="H71">Common_InputFunctions.Utility_LookupValueInTableNumber(E71,Table_SourceData_WasteSolid_VolumeToMassConversion[Waste type w],Table_SourceData_WasteSolid_VolumeToMassConversion[VTMw])</f>
        <v>0.5</v>
      </c>
      <c r="I71" s="15" cm="1">
        <f t="array" ref="I71">WasteSolid_Equations.VEERG_10_1_1_1__2_MassOfWasteFromVolume(G71,H71)</f>
        <v>0</v>
      </c>
    </row>
    <row r="72" spans="1:9" ht="20.100000000000001" customHeight="1" x14ac:dyDescent="0.25">
      <c r="D72" s="119" t="str">
        <v>Incineration</v>
      </c>
      <c r="E72" s="124" t="str">
        <v>Green waste (including crop residues or prunings)</v>
      </c>
      <c r="F72" s="179"/>
      <c r="G72" s="1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15" cm="1">
        <f t="array" ref="H72">Common_InputFunctions.Utility_LookupValueInTableNumber(E72,Table_SourceData_WasteSolid_VolumeToMassConversion[Waste type w],Table_SourceData_WasteSolid_VolumeToMassConversion[VTMw])</f>
        <v>0.24</v>
      </c>
      <c r="I72" s="15" cm="1">
        <f t="array" ref="I72">WasteSolid_Equations.VEERG_10_1_1_1__2_MassOfWasteFromVolume(G72,H72)</f>
        <v>12</v>
      </c>
    </row>
    <row r="73" spans="1:9" ht="20.100000000000001" customHeight="1" x14ac:dyDescent="0.25">
      <c r="D73" s="119" t="str">
        <v>Incineration</v>
      </c>
      <c r="E73" s="124" t="str">
        <v>Wood</v>
      </c>
      <c r="F73" s="179"/>
      <c r="G73" s="1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15" cm="1">
        <f t="array" ref="H73">Common_InputFunctions.Utility_LookupValueInTableNumber(E73,Table_SourceData_WasteSolid_VolumeToMassConversion[Waste type w],Table_SourceData_WasteSolid_VolumeToMassConversion[VTMw])</f>
        <v>0.15</v>
      </c>
      <c r="I73" s="15" cm="1">
        <f t="array" ref="I73">WasteSolid_Equations.VEERG_10_1_1_1__2_MassOfWasteFromVolume(G73,H73)</f>
        <v>0</v>
      </c>
    </row>
    <row r="74" spans="1:9" ht="20.100000000000001" customHeight="1" x14ac:dyDescent="0.25">
      <c r="D74" s="119" t="str">
        <v>Incineration</v>
      </c>
      <c r="E74" s="124" t="str">
        <v>Sludge</v>
      </c>
      <c r="F74" s="179"/>
      <c r="G74" s="1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15" cm="1">
        <f t="array" ref="H74">Common_InputFunctions.Utility_LookupValueInTableNumber(E74,Table_SourceData_WasteSolid_VolumeToMassConversion[Waste type w],Table_SourceData_WasteSolid_VolumeToMassConversion[VTMw])</f>
        <v>0.72</v>
      </c>
      <c r="I74" s="15" cm="1">
        <f t="array" ref="I74">WasteSolid_Equations.VEERG_10_1_1_1__2_MassOfWasteFromVolume(G74,H74)</f>
        <v>0</v>
      </c>
    </row>
    <row r="75" spans="1:9" ht="20.100000000000001" customHeight="1" x14ac:dyDescent="0.25">
      <c r="D75" s="119" t="str">
        <v>Incineration</v>
      </c>
      <c r="E75" s="124" t="str">
        <v>Paper and cardboard</v>
      </c>
      <c r="F75" s="179"/>
      <c r="G75" s="1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15" cm="1">
        <f t="array" ref="H75">Common_InputFunctions.Utility_LookupValueInTableNumber(E75,Table_SourceData_WasteSolid_VolumeToMassConversion[Waste type w],Table_SourceData_WasteSolid_VolumeToMassConversion[VTMw])</f>
        <v>0.09</v>
      </c>
      <c r="I75" s="15" cm="1">
        <f t="array" ref="I75">WasteSolid_Equations.VEERG_10_1_1_1__2_MassOfWasteFromVolume(G75,H75)</f>
        <v>0</v>
      </c>
    </row>
    <row r="76" spans="1:9" ht="20.100000000000001" customHeight="1" x14ac:dyDescent="0.25">
      <c r="D76" s="119" t="str">
        <v>Incineration</v>
      </c>
      <c r="E76" s="124" t="str">
        <v>Textiles</v>
      </c>
      <c r="F76" s="179"/>
      <c r="G76" s="1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15" cm="1">
        <f t="array" ref="H76">Common_InputFunctions.Utility_LookupValueInTableNumber(E76,Table_SourceData_WasteSolid_VolumeToMassConversion[Waste type w],Table_SourceData_WasteSolid_VolumeToMassConversion[VTMw])</f>
        <v>0.14000000000000001</v>
      </c>
      <c r="I76" s="15" cm="1">
        <f t="array" ref="I76">WasteSolid_Equations.VEERG_10_1_1_1__2_MassOfWasteFromVolume(G76,H76)</f>
        <v>0</v>
      </c>
    </row>
    <row r="77" spans="1:9" ht="20.100000000000001" customHeight="1" x14ac:dyDescent="0.25">
      <c r="D77" s="119" t="str">
        <v>Incineration</v>
      </c>
      <c r="E77" s="124" t="str">
        <v>Rubber and leather</v>
      </c>
      <c r="F77" s="179"/>
      <c r="G77" s="1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15" cm="1">
        <f t="array" ref="H77">Common_InputFunctions.Utility_LookupValueInTableNumber(E77,Table_SourceData_WasteSolid_VolumeToMassConversion[Waste type w],Table_SourceData_WasteSolid_VolumeToMassConversion[VTMw])</f>
        <v>0.14000000000000001</v>
      </c>
      <c r="I77" s="15" cm="1">
        <f t="array" ref="I77">WasteSolid_Equations.VEERG_10_1_1_1__2_MassOfWasteFromVolume(G77,H77)</f>
        <v>0</v>
      </c>
    </row>
    <row r="78" spans="1:9" ht="20.100000000000001" customHeight="1" x14ac:dyDescent="0.25">
      <c r="D78" s="119" t="str">
        <v>Incineration</v>
      </c>
      <c r="E78" s="124" t="str">
        <v>Inert waste (including concrete, metal, plastic or glass)</v>
      </c>
      <c r="F78" s="179"/>
      <c r="G78" s="1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15" cm="1">
        <f t="array" ref="H78">Common_InputFunctions.Utility_LookupValueInTableNumber(E78,Table_SourceData_WasteSolid_VolumeToMassConversion[Waste type w],Table_SourceData_WasteSolid_VolumeToMassConversion[VTMw])</f>
        <v>0.42</v>
      </c>
      <c r="I78" s="15" cm="1">
        <f t="array" ref="I78">WasteSolid_Equations.VEERG_10_1_1_1__2_MassOfWasteFromVolume(G78,H78)</f>
        <v>0</v>
      </c>
    </row>
    <row r="79" spans="1:9" ht="20.100000000000001" customHeight="1" x14ac:dyDescent="0.25">
      <c r="D79" s="119" t="str">
        <v>Incineration</v>
      </c>
      <c r="E79" s="124" t="str">
        <v>Municipal solid waste</v>
      </c>
      <c r="F79" s="125"/>
      <c r="G79" s="1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15" cm="1">
        <f t="array" ref="H79">Common_InputFunctions.Utility_LookupValueInTableNumber(E79,Table_SourceData_WasteSolid_VolumeToMassConversion[Waste type w],Table_SourceData_WasteSolid_VolumeToMassConversion[VTMw])</f>
        <v>0.36</v>
      </c>
      <c r="I79" s="15" cm="1">
        <f t="array" ref="I79">WasteSolid_Equations.VEERG_10_1_1_1__2_MassOfWasteFromVolume(G79,H79)</f>
        <v>0</v>
      </c>
    </row>
    <row r="80" spans="1:9" ht="20.100000000000001" customHeight="1" x14ac:dyDescent="0.25">
      <c r="D80" s="119" t="str">
        <v>Incineration</v>
      </c>
      <c r="E80" s="124" t="str">
        <v>Commercial and industrial waste</v>
      </c>
      <c r="F80" s="125"/>
      <c r="G80" s="1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15" cm="1">
        <f t="array" ref="H80">Common_InputFunctions.Utility_LookupValueInTableNumber(E80,Table_SourceData_WasteSolid_VolumeToMassConversion[Waste type w],Table_SourceData_WasteSolid_VolumeToMassConversion[VTMw])</f>
        <v>0.33</v>
      </c>
      <c r="I80" s="15" cm="1">
        <f t="array" ref="I80">WasteSolid_Equations.VEERG_10_1_1_1__2_MassOfWasteFromVolume(G80,H80)</f>
        <v>0</v>
      </c>
    </row>
    <row r="81" spans="3:12" ht="20.100000000000001" customHeight="1" x14ac:dyDescent="0.25">
      <c r="D81" s="119" t="str">
        <v>Composting</v>
      </c>
      <c r="E81" s="124" t="str">
        <v>All organic waste</v>
      </c>
      <c r="F81" s="125"/>
      <c r="G81" s="15" t="s">
        <v>767</v>
      </c>
      <c r="H81" s="15" t="s">
        <v>767</v>
      </c>
      <c r="I81" s="15" t="s">
        <v>767</v>
      </c>
    </row>
    <row r="82" spans="3:12" ht="20.100000000000001" customHeight="1" x14ac:dyDescent="0.25">
      <c r="D82" s="119" t="str">
        <v>Composting</v>
      </c>
      <c r="E82" s="124" t="str">
        <v>Food waste (including animal carcasses, spoiled animal feed or crop)</v>
      </c>
      <c r="F82" s="125"/>
      <c r="G82" s="1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15" cm="1">
        <f t="array" ref="H82">Common_InputFunctions.Utility_LookupValueInTableNumber(E82,Table_SourceData_WasteSolid_VolumeToMassConversion[Waste type w],Table_SourceData_WasteSolid_VolumeToMassConversion[VTMw])</f>
        <v>0.5</v>
      </c>
      <c r="I82" s="15" cm="1">
        <f t="array" ref="I82">WasteSolid_Equations.VEERG_10_1_1_1__2_MassOfWasteFromVolume(G82,H82)</f>
        <v>0</v>
      </c>
    </row>
    <row r="83" spans="3:12" ht="20.100000000000001" customHeight="1" x14ac:dyDescent="0.25">
      <c r="D83" s="119" t="str">
        <v>Composting</v>
      </c>
      <c r="E83" s="124" t="str">
        <v>Green waste (including crop residues or prunings)</v>
      </c>
      <c r="F83" s="125"/>
      <c r="G83" s="1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15" cm="1">
        <f t="array" ref="H83">Common_InputFunctions.Utility_LookupValueInTableNumber(E83,Table_SourceData_WasteSolid_VolumeToMassConversion[Waste type w],Table_SourceData_WasteSolid_VolumeToMassConversion[VTMw])</f>
        <v>0.24</v>
      </c>
      <c r="I83" s="15" cm="1">
        <f t="array" ref="I83">WasteSolid_Equations.VEERG_10_1_1_1__2_MassOfWasteFromVolume(G83,H83)</f>
        <v>0</v>
      </c>
    </row>
    <row r="84" spans="3:12" ht="20.100000000000001" customHeight="1" x14ac:dyDescent="0.25">
      <c r="D84" s="119" t="str">
        <v>Composting</v>
      </c>
      <c r="E84" s="124" t="str">
        <v>Wood</v>
      </c>
      <c r="F84" s="125"/>
      <c r="G84" s="1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15" cm="1">
        <f t="array" ref="H84">Common_InputFunctions.Utility_LookupValueInTableNumber(E84,Table_SourceData_WasteSolid_VolumeToMassConversion[Waste type w],Table_SourceData_WasteSolid_VolumeToMassConversion[VTMw])</f>
        <v>0.15</v>
      </c>
      <c r="I84" s="15" cm="1">
        <f t="array" ref="I84">WasteSolid_Equations.VEERG_10_1_1_1__2_MassOfWasteFromVolume(G84,H84)</f>
        <v>0</v>
      </c>
    </row>
    <row r="85" spans="3:12" ht="20.100000000000001" customHeight="1" x14ac:dyDescent="0.25">
      <c r="D85" s="119" t="str">
        <v>Composting</v>
      </c>
      <c r="E85" s="124" t="str">
        <v>Sludge</v>
      </c>
      <c r="F85" s="125"/>
      <c r="G85" s="1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15" cm="1">
        <f t="array" ref="H85">Common_InputFunctions.Utility_LookupValueInTableNumber(E85,Table_SourceData_WasteSolid_VolumeToMassConversion[Waste type w],Table_SourceData_WasteSolid_VolumeToMassConversion[VTMw])</f>
        <v>0.72</v>
      </c>
      <c r="I85" s="15" cm="1">
        <f t="array" ref="I85">WasteSolid_Equations.VEERG_10_1_1_1__2_MassOfWasteFromVolume(G85,H85)</f>
        <v>0</v>
      </c>
    </row>
    <row r="86" spans="3:12" ht="20.100000000000001" customHeight="1" x14ac:dyDescent="0.25">
      <c r="D86" s="119" t="str">
        <v>Composting</v>
      </c>
      <c r="E86" s="124" t="str">
        <v>Paper and cardboard</v>
      </c>
      <c r="F86" s="125"/>
      <c r="G86" s="1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15" cm="1">
        <f t="array" ref="H86">Common_InputFunctions.Utility_LookupValueInTableNumber(E86,Table_SourceData_WasteSolid_VolumeToMassConversion[Waste type w],Table_SourceData_WasteSolid_VolumeToMassConversion[VTMw])</f>
        <v>0.09</v>
      </c>
      <c r="I86" s="15" cm="1">
        <f t="array" ref="I86">WasteSolid_Equations.VEERG_10_1_1_1__2_MassOfWasteFromVolume(G86,H86)</f>
        <v>0</v>
      </c>
    </row>
    <row r="87" spans="3:12" ht="20.100000000000001" customHeight="1" x14ac:dyDescent="0.25">
      <c r="D87" s="119" t="str">
        <v>Anaerobic digestion</v>
      </c>
      <c r="E87" s="124" t="str">
        <v>All organic waste</v>
      </c>
      <c r="F87" s="125"/>
      <c r="G87" s="15" t="s">
        <v>767</v>
      </c>
      <c r="H87" s="15" t="s">
        <v>767</v>
      </c>
      <c r="I87" s="15" t="s">
        <v>767</v>
      </c>
    </row>
    <row r="88" spans="3:12" ht="20.100000000000001" customHeight="1" x14ac:dyDescent="0.25">
      <c r="D88" s="119" t="str">
        <v>Anaerobic digestion</v>
      </c>
      <c r="E88" s="124" t="str">
        <v>Food waste (including animal carcasses, spoiled animal feed or crop)</v>
      </c>
      <c r="F88" s="125"/>
      <c r="G88" s="1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15" cm="1">
        <f t="array" ref="H88">Common_InputFunctions.Utility_LookupValueInTableNumber(E88,Table_SourceData_WasteSolid_VolumeToMassConversion[Waste type w],Table_SourceData_WasteSolid_VolumeToMassConversion[VTMw])</f>
        <v>0.5</v>
      </c>
      <c r="I88" s="15" cm="1">
        <f t="array" ref="I88">WasteSolid_Equations.VEERG_10_1_1_1__2_MassOfWasteFromVolume(G88,H88)</f>
        <v>0</v>
      </c>
    </row>
    <row r="89" spans="3:12" ht="20.100000000000001" customHeight="1" x14ac:dyDescent="0.25">
      <c r="D89" s="119" t="str">
        <v>Anaerobic digestion</v>
      </c>
      <c r="E89" s="124" t="str">
        <v>Green waste (including crop residues or prunings)</v>
      </c>
      <c r="F89" s="125"/>
      <c r="G89" s="1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15" cm="1">
        <f t="array" ref="H89">Common_InputFunctions.Utility_LookupValueInTableNumber(E89,Table_SourceData_WasteSolid_VolumeToMassConversion[Waste type w],Table_SourceData_WasteSolid_VolumeToMassConversion[VTMw])</f>
        <v>0.24</v>
      </c>
      <c r="I89" s="15" cm="1">
        <f t="array" ref="I89">WasteSolid_Equations.VEERG_10_1_1_1__2_MassOfWasteFromVolume(G89,H89)</f>
        <v>0</v>
      </c>
    </row>
    <row r="90" spans="3:12" ht="20.100000000000001" customHeight="1" x14ac:dyDescent="0.25">
      <c r="D90" s="119" t="str">
        <v>Anaerobic digestion</v>
      </c>
      <c r="E90" s="124" t="str">
        <v>Wood</v>
      </c>
      <c r="F90" s="125"/>
      <c r="G90" s="1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15" cm="1">
        <f t="array" ref="H90">Common_InputFunctions.Utility_LookupValueInTableNumber(E90,Table_SourceData_WasteSolid_VolumeToMassConversion[Waste type w],Table_SourceData_WasteSolid_VolumeToMassConversion[VTMw])</f>
        <v>0.15</v>
      </c>
      <c r="I90" s="15" cm="1">
        <f t="array" ref="I90">WasteSolid_Equations.VEERG_10_1_1_1__2_MassOfWasteFromVolume(G90,H90)</f>
        <v>0</v>
      </c>
    </row>
    <row r="91" spans="3:12" ht="20.100000000000001" customHeight="1" x14ac:dyDescent="0.25">
      <c r="D91" s="119" t="str">
        <v>Anaerobic digestion</v>
      </c>
      <c r="E91" s="124" t="str">
        <v>Sludge</v>
      </c>
      <c r="F91" s="125"/>
      <c r="G91" s="1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15" cm="1">
        <f t="array" ref="H91">Common_InputFunctions.Utility_LookupValueInTableNumber(E91,Table_SourceData_WasteSolid_VolumeToMassConversion[Waste type w],Table_SourceData_WasteSolid_VolumeToMassConversion[VTMw])</f>
        <v>0.72</v>
      </c>
      <c r="I91" s="15" cm="1">
        <f t="array" ref="I91">WasteSolid_Equations.VEERG_10_1_1_1__2_MassOfWasteFromVolume(G91,H91)</f>
        <v>0</v>
      </c>
    </row>
    <row r="92" spans="3:12" ht="20.100000000000001" customHeight="1" x14ac:dyDescent="0.25">
      <c r="D92" s="119" t="str">
        <v>Anaerobic digestion</v>
      </c>
      <c r="E92" s="124" t="str">
        <v>Paper and cardboard</v>
      </c>
      <c r="F92" s="125"/>
      <c r="G92" s="1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15" cm="1">
        <f t="array" ref="H92">Common_InputFunctions.Utility_LookupValueInTableNumber(E92,Table_SourceData_WasteSolid_VolumeToMassConversion[Waste type w],Table_SourceData_WasteSolid_VolumeToMassConversion[VTMw])</f>
        <v>0.09</v>
      </c>
      <c r="I92" s="15"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88"/>
      <c r="D95" s="88"/>
      <c r="E95" s="88"/>
      <c r="F95" s="88"/>
      <c r="G95" s="88"/>
      <c r="H95" s="88"/>
      <c r="I95" s="88"/>
      <c r="J95" s="88"/>
      <c r="K95" s="88"/>
      <c r="L95" s="88"/>
    </row>
    <row r="96" spans="3:12" ht="20.100000000000001" customHeight="1" x14ac:dyDescent="0.25">
      <c r="D96" s="2" t="str" cm="1">
        <f t="array" ref="D96">WasteSolid_Equations.VEERG_10_1_1_1__1_EmissionsFromWasteManagement_Title()</f>
        <v>Emissions from waste management by greenhouse gas</v>
      </c>
    </row>
    <row r="97" spans="4:9" ht="20.100000000000001" customHeight="1" x14ac:dyDescent="0.25">
      <c r="D97" s="17" t="str" cm="1">
        <f t="array" ref="D97">WasteSolid_Equations.VEERG_10_1_1_1__1_EmissionsFromWasteManagement_Source()</f>
        <v>VEERG 2026: 10.1.1.1, Equation (1)</v>
      </c>
    </row>
    <row r="98" spans="4:9" ht="20.100000000000001" customHeight="1" x14ac:dyDescent="0.25">
      <c r="D98" s="25" t="str" cm="1">
        <f t="array" ref="D98">WasteSolid_Equations.VEERG_10_1_1_1__1_EmissionsFromWasteManagement_Variation()</f>
        <v>VARIATION ON SOURCE: Added Q_volwt and Q_masswt variables to clearly track input or calculated Q values</v>
      </c>
    </row>
    <row r="99" spans="4:9" ht="20.100000000000001" customHeight="1" x14ac:dyDescent="0.25">
      <c r="D99" s="117" t="s">
        <v>382</v>
      </c>
      <c r="E99" s="117" t="str" cm="1">
        <f t="array" aca="1" ref="E99" ca="1">Common_InputFunctions.Utility_DisplayFunctionName(K116)</f>
        <v>=WasteSolid_Equations.VEERG_10_1_1_1__1_EmissionsFromWasteManagement</v>
      </c>
    </row>
    <row r="100" spans="4:9" ht="20.100000000000001" customHeight="1" x14ac:dyDescent="0.25"/>
    <row r="101" spans="4:9" ht="20.100000000000001" customHeight="1" x14ac:dyDescent="0.25"/>
    <row r="102" spans="4:9" ht="20.100000000000001" customHeight="1" x14ac:dyDescent="0.25">
      <c r="D102" s="76" t="s">
        <v>383</v>
      </c>
      <c r="E102" s="1" t="str" cm="1">
        <f t="array" ref="E102">WasteSolid_Equations.VEERG_10_1_1_1__1_EmissionsFromWasteManagement_Variable()</f>
        <v>E_g</v>
      </c>
    </row>
    <row r="103" spans="4:9" ht="20.100000000000001" customHeight="1" x14ac:dyDescent="0.25">
      <c r="D103" s="76" t="s">
        <v>118</v>
      </c>
      <c r="E103" s="9" t="str" cm="1">
        <f t="array" ref="E103">WasteSolid_Equations.VEERG_10_1_1_1__1_EmissionsFromWasteManagement_Unit()</f>
        <v>t CO2e</v>
      </c>
    </row>
    <row r="104" spans="4:9" ht="20.100000000000001" customHeight="1" x14ac:dyDescent="0.25"/>
    <row r="105" spans="4:9" ht="20.100000000000001" customHeight="1" x14ac:dyDescent="0.25">
      <c r="D105" s="119" t="str" cm="1">
        <f t="array" ref="D105:E111">_xlfn.CHOOSECOLS(WasteSolid_Equations.VEERG_10_1_1_1__1_EmissionsFromWasteManagement_Arguments(),1,2)</f>
        <v>Q_wt</v>
      </c>
      <c r="E105" s="124" t="str">
        <v>quantity of solid waste of type w being sent to treatment facility t, on a wet weight basis</v>
      </c>
      <c r="F105" s="132"/>
      <c r="G105" s="125"/>
      <c r="H105" s="119" t="str" cm="1">
        <f t="array" ref="H105:I111">_xlfn.CHOOSECOLS(WasteSolid_Equations.VEERG_10_1_1_1__1_EmissionsFromWasteManagement_Arguments(),3,4)</f>
        <v>t</v>
      </c>
      <c r="I105" s="127" t="str">
        <v>Sum of Q_volwt and Q_masswt</v>
      </c>
    </row>
    <row r="106" spans="4:9" ht="20.100000000000001" customHeight="1" x14ac:dyDescent="0.25">
      <c r="D106" s="119" t="str">
        <v>EF_wtg</v>
      </c>
      <c r="E106" s="124" t="str">
        <v>emission factor for greenhouse gas g for the management of waste at treatment facility t</v>
      </c>
      <c r="F106" s="132"/>
      <c r="G106" s="125"/>
      <c r="H106" s="119" t="str">
        <v>t CO2e/t</v>
      </c>
      <c r="I106" s="127" t="str">
        <v>Constant</v>
      </c>
    </row>
    <row r="107" spans="4:9" ht="20.100000000000001" customHeight="1" x14ac:dyDescent="0.25">
      <c r="D107" s="119" t="str">
        <v>w</v>
      </c>
      <c r="E107" s="124" t="str">
        <v>waste type</v>
      </c>
      <c r="F107" s="132"/>
      <c r="G107" s="125"/>
      <c r="H107" s="119" t="str">
        <v/>
      </c>
      <c r="I107" s="120" t="str">
        <v>Input</v>
      </c>
    </row>
    <row r="108" spans="4:9" ht="20.100000000000001" customHeight="1" x14ac:dyDescent="0.25">
      <c r="D108" s="119" t="str">
        <v>t</v>
      </c>
      <c r="E108" s="124" t="str">
        <v>treatment facility</v>
      </c>
      <c r="F108" s="132"/>
      <c r="G108" s="125"/>
      <c r="H108" s="119" t="str">
        <v/>
      </c>
      <c r="I108" s="120" t="str">
        <v>Input</v>
      </c>
    </row>
    <row r="109" spans="4:9" ht="20.100000000000001" customHeight="1" x14ac:dyDescent="0.25">
      <c r="D109" s="119" t="str">
        <v>g</v>
      </c>
      <c r="E109" s="124" t="str">
        <v>greenhouse gas</v>
      </c>
      <c r="F109" s="132"/>
      <c r="G109" s="125"/>
      <c r="H109" s="119" t="str">
        <v/>
      </c>
      <c r="I109" s="120" t="str">
        <v>Input</v>
      </c>
    </row>
    <row r="110" spans="4:9" ht="20.100000000000001" customHeight="1" x14ac:dyDescent="0.25">
      <c r="D110" s="119" t="str">
        <v>Q_volwt</v>
      </c>
      <c r="E110" s="124" t="str">
        <v>quantity of sold waste input as volume and converted to tonnes</v>
      </c>
      <c r="F110" s="132"/>
      <c r="G110" s="125"/>
      <c r="H110" s="119" t="str">
        <v>tonnes</v>
      </c>
      <c r="I110" s="127" t="str">
        <v>Calculated from 10.1.1.1 (2)</v>
      </c>
    </row>
    <row r="111" spans="4:9" ht="20.100000000000001" customHeight="1" x14ac:dyDescent="0.25">
      <c r="D111" s="119" t="str">
        <v>Q_masswt</v>
      </c>
      <c r="E111" s="124" t="str">
        <v>quantity of solid waste input as mass</v>
      </c>
      <c r="F111" s="132"/>
      <c r="G111" s="125"/>
      <c r="H111" s="119" t="str">
        <v>tonnes</v>
      </c>
      <c r="I111" s="120" t="str">
        <v>Input</v>
      </c>
    </row>
    <row r="112" spans="4:9" ht="20.100000000000001" customHeight="1" x14ac:dyDescent="0.25"/>
    <row r="113" spans="4:11" ht="20.100000000000001" customHeight="1" x14ac:dyDescent="0.25">
      <c r="D113" s="121" t="s">
        <v>1108</v>
      </c>
    </row>
    <row r="114" spans="4:11" ht="20.100000000000001" customHeight="1" x14ac:dyDescent="0.25">
      <c r="D114" s="122" t="s">
        <v>1109</v>
      </c>
    </row>
    <row r="115" spans="4:11" ht="20.100000000000001" customHeight="1" x14ac:dyDescent="0.25">
      <c r="D115" s="81" t="s">
        <v>1101</v>
      </c>
      <c r="E115" s="81" t="s">
        <v>1102</v>
      </c>
      <c r="F115" s="81"/>
      <c r="G115" s="81" t="s">
        <v>1110</v>
      </c>
      <c r="H115" s="123" t="s">
        <v>1111</v>
      </c>
      <c r="I115" s="123" t="s">
        <v>1105</v>
      </c>
      <c r="J115" s="123" t="s">
        <v>1112</v>
      </c>
      <c r="K115" s="123" t="s">
        <v>1113</v>
      </c>
    </row>
    <row r="116" spans="4:11" ht="20.100000000000001" customHeight="1" x14ac:dyDescent="0.25">
      <c r="D116" s="119" t="str" cm="1">
        <f t="array" ref="D116:D149">Table_SourceData_WasteSolid_WasteTreatmentEFs[Treatment type t]</f>
        <v>Landfill</v>
      </c>
      <c r="E116" s="124" t="str" cm="1">
        <f t="array" ref="E116:E149">Table_SourceData_WasteSolid_WasteTreatmentEFs[Waste type w]</f>
        <v>Food waste (including animal carcasses, spoiled animal feed or crop)</v>
      </c>
      <c r="F116" s="179"/>
      <c r="G116" s="1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15">
        <f t="shared" ref="H116:H149" si="0">I21</f>
        <v>25</v>
      </c>
      <c r="I116" s="15">
        <f>G116+H116</f>
        <v>75</v>
      </c>
      <c r="J116" s="15" cm="1">
        <f t="array" ref="J116">Common_InputFunctions.Utility_LookupValueInTableTwoColumns(D116,E116,Table_SourceData_WasteSolid_WasteTreatmentEFs[Treatment type t],Table_SourceData_WasteSolid_WasteTreatmentEFs[Waste type w],Table_SourceData_WasteSolid_WasteTreatmentEFs[EFwt])</f>
        <v>2.1</v>
      </c>
      <c r="K116" s="15" cm="1">
        <f t="array" ref="K116">WasteSolid_Equations.VEERG_10_1_1_1__1_EmissionsFromWasteManagement(I116, J116)</f>
        <v>157.5</v>
      </c>
    </row>
    <row r="117" spans="4:11" ht="20.100000000000001" customHeight="1" x14ac:dyDescent="0.25">
      <c r="D117" s="119" t="str">
        <v>Landfill</v>
      </c>
      <c r="E117" s="124" t="str">
        <v>Paper and cardboard</v>
      </c>
      <c r="F117" s="179"/>
      <c r="G117" s="1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15">
        <f t="shared" si="0"/>
        <v>4.5</v>
      </c>
      <c r="I117" s="15">
        <f t="shared" ref="I117:I126" si="1">G117+H117</f>
        <v>54.5</v>
      </c>
      <c r="J117" s="15" cm="1">
        <f t="array" ref="J117">Common_InputFunctions.Utility_LookupValueInTableTwoColumns(D117,E117,Table_SourceData_WasteSolid_WasteTreatmentEFs[Treatment type t],Table_SourceData_WasteSolid_WasteTreatmentEFs[Waste type w],Table_SourceData_WasteSolid_WasteTreatmentEFs[EFwt])</f>
        <v>3.3</v>
      </c>
      <c r="K117" s="15" cm="1">
        <f t="array" ref="K117">WasteSolid_Equations.VEERG_10_1_1_1__1_EmissionsFromWasteManagement(I117, J117)</f>
        <v>179.85</v>
      </c>
    </row>
    <row r="118" spans="4:11" ht="20.100000000000001" customHeight="1" x14ac:dyDescent="0.25">
      <c r="D118" s="119" t="str">
        <v>Landfill</v>
      </c>
      <c r="E118" s="124" t="str">
        <v>Green waste (including crop residues or prunings)</v>
      </c>
      <c r="F118" s="179"/>
      <c r="G118" s="1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15">
        <f t="shared" si="0"/>
        <v>12</v>
      </c>
      <c r="I118" s="15">
        <f t="shared" si="1"/>
        <v>62</v>
      </c>
      <c r="J118" s="15" cm="1">
        <f t="array" ref="J118">Common_InputFunctions.Utility_LookupValueInTableTwoColumns(D118,E118,Table_SourceData_WasteSolid_WasteTreatmentEFs[Treatment type t],Table_SourceData_WasteSolid_WasteTreatmentEFs[Waste type w],Table_SourceData_WasteSolid_WasteTreatmentEFs[EFwt])</f>
        <v>1.6</v>
      </c>
      <c r="K118" s="15" cm="1">
        <f t="array" ref="K118">WasteSolid_Equations.VEERG_10_1_1_1__1_EmissionsFromWasteManagement(I118, J118)</f>
        <v>99.2</v>
      </c>
    </row>
    <row r="119" spans="4:11" ht="20.100000000000001" customHeight="1" x14ac:dyDescent="0.25">
      <c r="D119" s="119" t="str">
        <v>Landfill</v>
      </c>
      <c r="E119" s="124" t="str">
        <v>Wood</v>
      </c>
      <c r="F119" s="179"/>
      <c r="G119" s="1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15">
        <f t="shared" si="0"/>
        <v>0</v>
      </c>
      <c r="I119" s="15">
        <f t="shared" si="1"/>
        <v>0</v>
      </c>
      <c r="J119" s="15" cm="1">
        <f t="array" ref="J119">Common_InputFunctions.Utility_LookupValueInTableTwoColumns(D119,E119,Table_SourceData_WasteSolid_WasteTreatmentEFs[Treatment type t],Table_SourceData_WasteSolid_WasteTreatmentEFs[Waste type w],Table_SourceData_WasteSolid_WasteTreatmentEFs[EFwt])</f>
        <v>0.7</v>
      </c>
      <c r="K119" s="15" cm="1">
        <f t="array" ref="K119">WasteSolid_Equations.VEERG_10_1_1_1__1_EmissionsFromWasteManagement(I119, J119)</f>
        <v>0</v>
      </c>
    </row>
    <row r="120" spans="4:11" ht="20.100000000000001" customHeight="1" x14ac:dyDescent="0.25">
      <c r="D120" s="119" t="str">
        <v>Landfill</v>
      </c>
      <c r="E120" s="124" t="str">
        <v>Textiles</v>
      </c>
      <c r="F120" s="179"/>
      <c r="G120" s="1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15">
        <f t="shared" si="0"/>
        <v>0</v>
      </c>
      <c r="I120" s="15">
        <f t="shared" si="1"/>
        <v>0</v>
      </c>
      <c r="J120" s="15" cm="1">
        <f t="array" ref="J120">Common_InputFunctions.Utility_LookupValueInTableTwoColumns(D120,E120,Table_SourceData_WasteSolid_WasteTreatmentEFs[Treatment type t],Table_SourceData_WasteSolid_WasteTreatmentEFs[Waste type w],Table_SourceData_WasteSolid_WasteTreatmentEFs[EFwt])</f>
        <v>2</v>
      </c>
      <c r="K120" s="15" cm="1">
        <f t="array" ref="K120">WasteSolid_Equations.VEERG_10_1_1_1__1_EmissionsFromWasteManagement(I120, J120)</f>
        <v>0</v>
      </c>
    </row>
    <row r="121" spans="4:11" ht="20.100000000000001" customHeight="1" x14ac:dyDescent="0.25">
      <c r="D121" s="119" t="str">
        <v>Landfill</v>
      </c>
      <c r="E121" s="124" t="str">
        <v>Sludge</v>
      </c>
      <c r="F121" s="179"/>
      <c r="G121" s="1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15">
        <f t="shared" si="0"/>
        <v>0</v>
      </c>
      <c r="I121" s="15">
        <f t="shared" si="1"/>
        <v>0</v>
      </c>
      <c r="J121" s="15" cm="1">
        <f t="array" ref="J121">Common_InputFunctions.Utility_LookupValueInTableTwoColumns(D121,E121,Table_SourceData_WasteSolid_WasteTreatmentEFs[Treatment type t],Table_SourceData_WasteSolid_WasteTreatmentEFs[Waste type w],Table_SourceData_WasteSolid_WasteTreatmentEFs[EFwt])</f>
        <v>0.4</v>
      </c>
      <c r="K121" s="15" cm="1">
        <f t="array" ref="K121">WasteSolid_Equations.VEERG_10_1_1_1__1_EmissionsFromWasteManagement(I121, J121)</f>
        <v>0</v>
      </c>
    </row>
    <row r="122" spans="4:11" ht="20.100000000000001" customHeight="1" x14ac:dyDescent="0.25">
      <c r="D122" s="119" t="str">
        <v>Landfill</v>
      </c>
      <c r="E122" s="124" t="str">
        <v>Rubber and leather</v>
      </c>
      <c r="F122" s="179"/>
      <c r="G122" s="1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15">
        <f t="shared" si="0"/>
        <v>0</v>
      </c>
      <c r="I122" s="15">
        <f t="shared" si="1"/>
        <v>0</v>
      </c>
      <c r="J122" s="15" cm="1">
        <f t="array" ref="J122">Common_InputFunctions.Utility_LookupValueInTableTwoColumns(D122,E122,Table_SourceData_WasteSolid_WasteTreatmentEFs[Treatment type t],Table_SourceData_WasteSolid_WasteTreatmentEFs[Waste type w],Table_SourceData_WasteSolid_WasteTreatmentEFs[EFwt])</f>
        <v>3.3</v>
      </c>
      <c r="K122" s="15" cm="1">
        <f t="array" ref="K122">WasteSolid_Equations.VEERG_10_1_1_1__1_EmissionsFromWasteManagement(I122, J122)</f>
        <v>0</v>
      </c>
    </row>
    <row r="123" spans="4:11" ht="20.100000000000001" customHeight="1" x14ac:dyDescent="0.25">
      <c r="D123" s="119" t="str">
        <v>Landfill</v>
      </c>
      <c r="E123" s="124" t="str">
        <v>Inert waste (including concrete, metal, plastic or glass)</v>
      </c>
      <c r="F123" s="179"/>
      <c r="G123" s="1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15">
        <f t="shared" si="0"/>
        <v>0</v>
      </c>
      <c r="I123" s="15">
        <f t="shared" si="1"/>
        <v>0</v>
      </c>
      <c r="J123" s="15" cm="1">
        <f t="array" ref="J123">Common_InputFunctions.Utility_LookupValueInTableTwoColumns(D123,E123,Table_SourceData_WasteSolid_WasteTreatmentEFs[Treatment type t],Table_SourceData_WasteSolid_WasteTreatmentEFs[Waste type w],Table_SourceData_WasteSolid_WasteTreatmentEFs[EFwt])</f>
        <v>0</v>
      </c>
      <c r="K123" s="15" cm="1">
        <f t="array" ref="K123">WasteSolid_Equations.VEERG_10_1_1_1__1_EmissionsFromWasteManagement(I123, J123)</f>
        <v>0</v>
      </c>
    </row>
    <row r="124" spans="4:11" ht="20.100000000000001" customHeight="1" x14ac:dyDescent="0.25">
      <c r="D124" s="119" t="str">
        <v>Landfill</v>
      </c>
      <c r="E124" s="124" t="str">
        <v>Municipal solid waste</v>
      </c>
      <c r="F124" s="179"/>
      <c r="G124" s="1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15">
        <f t="shared" si="0"/>
        <v>0</v>
      </c>
      <c r="I124" s="15">
        <f t="shared" si="1"/>
        <v>0</v>
      </c>
      <c r="J124" s="15" cm="1">
        <f t="array" ref="J124">Common_InputFunctions.Utility_LookupValueInTableTwoColumns(D124,E124,Table_SourceData_WasteSolid_WasteTreatmentEFs[Treatment type t],Table_SourceData_WasteSolid_WasteTreatmentEFs[Waste type w],Table_SourceData_WasteSolid_WasteTreatmentEFs[EFwt])</f>
        <v>1.6</v>
      </c>
      <c r="K124" s="15" cm="1">
        <f t="array" ref="K124">WasteSolid_Equations.VEERG_10_1_1_1__1_EmissionsFromWasteManagement(I124, J124)</f>
        <v>0</v>
      </c>
    </row>
    <row r="125" spans="4:11" ht="20.100000000000001" customHeight="1" x14ac:dyDescent="0.25">
      <c r="D125" s="119" t="str">
        <v>Landfill</v>
      </c>
      <c r="E125" s="124" t="str">
        <v>Commercial and industrial waste</v>
      </c>
      <c r="F125" s="179"/>
      <c r="G125" s="1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15">
        <f t="shared" si="0"/>
        <v>0</v>
      </c>
      <c r="I125" s="15">
        <f t="shared" si="1"/>
        <v>0</v>
      </c>
      <c r="J125" s="15" cm="1">
        <f t="array" ref="J125">Common_InputFunctions.Utility_LookupValueInTableTwoColumns(D125,E125,Table_SourceData_WasteSolid_WasteTreatmentEFs[Treatment type t],Table_SourceData_WasteSolid_WasteTreatmentEFs[Waste type w],Table_SourceData_WasteSolid_WasteTreatmentEFs[EFwt])</f>
        <v>1.3</v>
      </c>
      <c r="K125" s="15" cm="1">
        <f t="array" ref="K125">WasteSolid_Equations.VEERG_10_1_1_1__1_EmissionsFromWasteManagement(I125, J125)</f>
        <v>0</v>
      </c>
    </row>
    <row r="126" spans="4:11" ht="20.100000000000001" customHeight="1" x14ac:dyDescent="0.25">
      <c r="D126" s="119" t="str">
        <v>Landfill</v>
      </c>
      <c r="E126" s="124" t="str">
        <v>Construction and demolition waste</v>
      </c>
      <c r="F126" s="179"/>
      <c r="G126" s="1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15">
        <f t="shared" si="0"/>
        <v>0</v>
      </c>
      <c r="I126" s="15">
        <f t="shared" si="1"/>
        <v>0</v>
      </c>
      <c r="J126" s="15" cm="1">
        <f t="array" ref="J126">Common_InputFunctions.Utility_LookupValueInTableTwoColumns(D126,E126,Table_SourceData_WasteSolid_WasteTreatmentEFs[Treatment type t],Table_SourceData_WasteSolid_WasteTreatmentEFs[Waste type w],Table_SourceData_WasteSolid_WasteTreatmentEFs[EFwt])</f>
        <v>0.2</v>
      </c>
      <c r="K126" s="15" cm="1">
        <f t="array" ref="K126">WasteSolid_Equations.VEERG_10_1_1_1__1_EmissionsFromWasteManagement(I126, J126)</f>
        <v>0</v>
      </c>
    </row>
    <row r="127" spans="4:11" ht="20.100000000000001" customHeight="1" x14ac:dyDescent="0.25">
      <c r="D127" s="119" t="str">
        <v>Incineration</v>
      </c>
      <c r="E127" s="124" t="str">
        <v>Food waste, green waste, wood, sludge</v>
      </c>
      <c r="F127" s="179"/>
      <c r="G127" s="15" t="s">
        <v>767</v>
      </c>
      <c r="H127" s="15" t="str">
        <f t="shared" si="0"/>
        <v>Not used</v>
      </c>
      <c r="I127" s="15">
        <f>SUM(G128:G131)+SUM(H128:H131)+N("Partial sum")</f>
        <v>74</v>
      </c>
      <c r="J127" s="15" cm="1">
        <f t="array" ref="J127">Common_InputFunctions.Utility_LookupValueInTableTwoColumns(D127,E127,Table_SourceData_WasteSolid_WasteTreatmentEFs[Treatment type t],Table_SourceData_WasteSolid_WasteTreatmentEFs[Waste type w],Table_SourceData_WasteSolid_WasteTreatmentEFs[EFwt])</f>
        <v>0</v>
      </c>
      <c r="K127" s="15" cm="1">
        <f t="array" ref="K127">WasteSolid_Equations.VEERG_10_1_1_1__1_EmissionsFromWasteManagement(I127, J127)</f>
        <v>0</v>
      </c>
    </row>
    <row r="128" spans="4:11" ht="20.100000000000001" customHeight="1" x14ac:dyDescent="0.25">
      <c r="D128" s="119" t="str">
        <v>Incineration</v>
      </c>
      <c r="E128" s="124" t="str">
        <v>Food waste (including animal carcasses, spoiled animal feed or crop)</v>
      </c>
      <c r="F128" s="179"/>
      <c r="G128" s="1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15">
        <f t="shared" si="0"/>
        <v>0</v>
      </c>
      <c r="I128" s="15" t="s">
        <v>1114</v>
      </c>
      <c r="J128" s="15" t="s">
        <v>767</v>
      </c>
      <c r="K128" s="15" t="s">
        <v>767</v>
      </c>
    </row>
    <row r="129" spans="4:11" ht="20.100000000000001" customHeight="1" x14ac:dyDescent="0.25">
      <c r="D129" s="119" t="str">
        <v>Incineration</v>
      </c>
      <c r="E129" s="124" t="str">
        <v>Green waste (including crop residues or prunings)</v>
      </c>
      <c r="F129" s="179"/>
      <c r="G129" s="1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15">
        <f t="shared" si="0"/>
        <v>24</v>
      </c>
      <c r="I129" s="15" t="s">
        <v>1114</v>
      </c>
      <c r="J129" s="15" t="s">
        <v>767</v>
      </c>
      <c r="K129" s="15" t="s">
        <v>767</v>
      </c>
    </row>
    <row r="130" spans="4:11" ht="20.100000000000001" customHeight="1" x14ac:dyDescent="0.25">
      <c r="D130" s="119" t="str">
        <v>Incineration</v>
      </c>
      <c r="E130" s="124" t="str">
        <v>Wood</v>
      </c>
      <c r="F130" s="179"/>
      <c r="G130" s="1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15">
        <f t="shared" si="0"/>
        <v>0</v>
      </c>
      <c r="I130" s="15" t="s">
        <v>1114</v>
      </c>
      <c r="J130" s="15" t="s">
        <v>767</v>
      </c>
      <c r="K130" s="15" t="s">
        <v>767</v>
      </c>
    </row>
    <row r="131" spans="4:11" ht="20.100000000000001" customHeight="1" x14ac:dyDescent="0.25">
      <c r="D131" s="119" t="str">
        <v>Incineration</v>
      </c>
      <c r="E131" s="124" t="str">
        <v>Sludge</v>
      </c>
      <c r="F131" s="179"/>
      <c r="G131" s="1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15">
        <f t="shared" si="0"/>
        <v>0</v>
      </c>
      <c r="I131" s="15" t="s">
        <v>1114</v>
      </c>
      <c r="J131" s="15" t="s">
        <v>767</v>
      </c>
      <c r="K131" s="15" t="s">
        <v>767</v>
      </c>
    </row>
    <row r="132" spans="4:11" ht="20.100000000000001" customHeight="1" x14ac:dyDescent="0.25">
      <c r="D132" s="119" t="str">
        <v>Incineration</v>
      </c>
      <c r="E132" s="124" t="str">
        <v>Paper and cardboard</v>
      </c>
      <c r="F132" s="179"/>
      <c r="G132" s="1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15">
        <f t="shared" si="0"/>
        <v>4.5</v>
      </c>
      <c r="I132" s="15">
        <f>G132+H132+N("Partial sum")</f>
        <v>54.5</v>
      </c>
      <c r="J132" s="1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15" cm="1">
        <f t="array" ref="K132">WasteSolid_Equations.VEERG_10_1_1_1__1_EmissionsFromWasteManagement(I132, J132)</f>
        <v>0.92104999999999992</v>
      </c>
    </row>
    <row r="133" spans="4:11" ht="20.100000000000001" customHeight="1" x14ac:dyDescent="0.25">
      <c r="D133" s="119" t="str">
        <v>Incineration</v>
      </c>
      <c r="E133" s="124" t="str">
        <v>Textiles</v>
      </c>
      <c r="F133" s="179"/>
      <c r="G133" s="1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15">
        <f t="shared" si="0"/>
        <v>0</v>
      </c>
      <c r="I133" s="15">
        <f t="shared" ref="I133:I137" si="2">G133+H133</f>
        <v>0</v>
      </c>
      <c r="J133" s="1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15" cm="1">
        <f t="array" ref="K133">WasteSolid_Equations.VEERG_10_1_1_1__1_EmissionsFromWasteManagement(I133, J133)</f>
        <v>0</v>
      </c>
    </row>
    <row r="134" spans="4:11" ht="20.100000000000001" customHeight="1" x14ac:dyDescent="0.25">
      <c r="D134" s="119" t="str">
        <v>Incineration</v>
      </c>
      <c r="E134" s="124" t="str">
        <v>Rubber and leather</v>
      </c>
      <c r="F134" s="179"/>
      <c r="G134" s="1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15">
        <f t="shared" si="0"/>
        <v>0</v>
      </c>
      <c r="I134" s="15">
        <f t="shared" si="2"/>
        <v>0</v>
      </c>
      <c r="J134" s="15" cm="1">
        <f t="array" ref="J134">Common_InputFunctions.Utility_LookupValueInTableTwoColumns(D134,E134,Table_SourceData_WasteSolid_WasteTreatmentEFs[Treatment type t],Table_SourceData_WasteSolid_WasteTreatmentEFs[Waste type w],Table_SourceData_WasteSolid_WasteTreatmentEFs[EFwt])</f>
        <v>0.4919</v>
      </c>
      <c r="K134" s="15" cm="1">
        <f t="array" ref="K134">WasteSolid_Equations.VEERG_10_1_1_1__1_EmissionsFromWasteManagement(I134, J134)</f>
        <v>0</v>
      </c>
    </row>
    <row r="135" spans="4:11" ht="20.100000000000001" customHeight="1" x14ac:dyDescent="0.25">
      <c r="D135" s="119" t="str">
        <v>Incineration</v>
      </c>
      <c r="E135" s="124" t="str">
        <v>Inert waste (including concrete, metal, plastic or glass)</v>
      </c>
      <c r="F135" s="179"/>
      <c r="G135" s="1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15">
        <f t="shared" si="0"/>
        <v>0</v>
      </c>
      <c r="I135" s="15">
        <f t="shared" si="2"/>
        <v>0</v>
      </c>
      <c r="J135" s="15" cm="1">
        <f t="array" ref="J135">Common_InputFunctions.Utility_LookupValueInTableTwoColumns(D135,E135,Table_SourceData_WasteSolid_WasteTreatmentEFs[Treatment type t],Table_SourceData_WasteSolid_WasteTreatmentEFs[Waste type w],Table_SourceData_WasteSolid_WasteTreatmentEFs[EFwt])</f>
        <v>0.11</v>
      </c>
      <c r="K135" s="15" cm="1">
        <f t="array" ref="K135">WasteSolid_Equations.VEERG_10_1_1_1__1_EmissionsFromWasteManagement(I135, J135)</f>
        <v>0</v>
      </c>
    </row>
    <row r="136" spans="4:11" ht="20.100000000000001" customHeight="1" x14ac:dyDescent="0.25">
      <c r="D136" s="119" t="str">
        <v>Incineration</v>
      </c>
      <c r="E136" s="124" t="str">
        <v>Municipal solid waste</v>
      </c>
      <c r="F136" s="125"/>
      <c r="G136" s="1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15">
        <f t="shared" si="0"/>
        <v>0</v>
      </c>
      <c r="I136" s="15">
        <f t="shared" si="2"/>
        <v>0</v>
      </c>
      <c r="J136" s="1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15" cm="1">
        <f t="array" ref="K136">WasteSolid_Equations.VEERG_10_1_1_1__1_EmissionsFromWasteManagement(I136, J136)</f>
        <v>0</v>
      </c>
    </row>
    <row r="137" spans="4:11" ht="20.100000000000001" customHeight="1" x14ac:dyDescent="0.25">
      <c r="D137" s="119" t="str">
        <v>Incineration</v>
      </c>
      <c r="E137" s="124" t="str">
        <v>Commercial and industrial waste</v>
      </c>
      <c r="F137" s="125"/>
      <c r="G137" s="1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15">
        <f t="shared" si="0"/>
        <v>0</v>
      </c>
      <c r="I137" s="15">
        <f t="shared" si="2"/>
        <v>0</v>
      </c>
      <c r="J137" s="15" cm="1">
        <f t="array" ref="J137">Common_InputFunctions.Utility_LookupValueInTableTwoColumns(D137,E137,Table_SourceData_WasteSolid_WasteTreatmentEFs[Treatment type t],Table_SourceData_WasteSolid_WasteTreatmentEFs[Waste type w],Table_SourceData_WasteSolid_WasteTreatmentEFs[EFwt])</f>
        <v>1.649</v>
      </c>
      <c r="K137" s="15" cm="1">
        <f t="array" ref="K137">WasteSolid_Equations.VEERG_10_1_1_1__1_EmissionsFromWasteManagement(I137, J137)</f>
        <v>0</v>
      </c>
    </row>
    <row r="138" spans="4:11" ht="20.100000000000001" customHeight="1" x14ac:dyDescent="0.25">
      <c r="D138" s="119" t="str">
        <v>Composting</v>
      </c>
      <c r="E138" s="124" t="str">
        <v>All organic waste</v>
      </c>
      <c r="F138" s="125"/>
      <c r="G138" s="15" t="s">
        <v>767</v>
      </c>
      <c r="H138" s="15" t="str">
        <f t="shared" si="0"/>
        <v>Not used</v>
      </c>
      <c r="I138" s="15">
        <f>SUM(G139:G143)+SUM(H139:H143)+N("Partial sum")</f>
        <v>29.5</v>
      </c>
      <c r="J138" s="1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15" cm="1">
        <f t="array" ref="K138">WasteSolid_Equations.VEERG_10_1_1_1__1_EmissionsFromWasteManagement(I138, J138)</f>
        <v>1.357</v>
      </c>
    </row>
    <row r="139" spans="4:11" ht="20.100000000000001" customHeight="1" x14ac:dyDescent="0.25">
      <c r="D139" s="119" t="str">
        <v>Composting</v>
      </c>
      <c r="E139" s="124" t="str">
        <v>Food waste (including animal carcasses, spoiled animal feed or crop)</v>
      </c>
      <c r="F139" s="125"/>
      <c r="G139" s="1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15">
        <f t="shared" si="0"/>
        <v>25</v>
      </c>
      <c r="I139" s="15" t="s">
        <v>1114</v>
      </c>
      <c r="J139" s="15" t="s">
        <v>767</v>
      </c>
      <c r="K139" s="15" t="s">
        <v>767</v>
      </c>
    </row>
    <row r="140" spans="4:11" ht="20.100000000000001" customHeight="1" x14ac:dyDescent="0.25">
      <c r="D140" s="119" t="str">
        <v>Composting</v>
      </c>
      <c r="E140" s="124" t="str">
        <v>Green waste (including crop residues or prunings)</v>
      </c>
      <c r="F140" s="125"/>
      <c r="G140" s="1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15">
        <f t="shared" si="0"/>
        <v>0</v>
      </c>
      <c r="I140" s="15" t="s">
        <v>1114</v>
      </c>
      <c r="J140" s="15" t="s">
        <v>767</v>
      </c>
      <c r="K140" s="15" t="s">
        <v>767</v>
      </c>
    </row>
    <row r="141" spans="4:11" ht="20.100000000000001" customHeight="1" x14ac:dyDescent="0.25">
      <c r="D141" s="119" t="str">
        <v>Composting</v>
      </c>
      <c r="E141" s="124" t="str">
        <v>Wood</v>
      </c>
      <c r="F141" s="125"/>
      <c r="G141" s="1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15">
        <f t="shared" si="0"/>
        <v>0</v>
      </c>
      <c r="I141" s="15" t="s">
        <v>1114</v>
      </c>
      <c r="J141" s="15" t="s">
        <v>767</v>
      </c>
      <c r="K141" s="15" t="s">
        <v>767</v>
      </c>
    </row>
    <row r="142" spans="4:11" ht="20.100000000000001" customHeight="1" x14ac:dyDescent="0.25">
      <c r="D142" s="119" t="str">
        <v>Composting</v>
      </c>
      <c r="E142" s="124" t="str">
        <v>Sludge</v>
      </c>
      <c r="F142" s="125"/>
      <c r="G142" s="1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15">
        <f t="shared" si="0"/>
        <v>0</v>
      </c>
      <c r="I142" s="15" t="s">
        <v>1114</v>
      </c>
      <c r="J142" s="15" t="s">
        <v>767</v>
      </c>
      <c r="K142" s="15" t="s">
        <v>767</v>
      </c>
    </row>
    <row r="143" spans="4:11" ht="20.100000000000001" customHeight="1" x14ac:dyDescent="0.25">
      <c r="D143" s="119" t="str">
        <v>Composting</v>
      </c>
      <c r="E143" s="124" t="str">
        <v>Paper and cardboard</v>
      </c>
      <c r="F143" s="125"/>
      <c r="G143" s="1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15">
        <f t="shared" si="0"/>
        <v>4.5</v>
      </c>
      <c r="I143" s="15" t="s">
        <v>1114</v>
      </c>
      <c r="J143" s="15" t="s">
        <v>767</v>
      </c>
      <c r="K143" s="15" t="s">
        <v>767</v>
      </c>
    </row>
    <row r="144" spans="4:11" ht="20.100000000000001" customHeight="1" x14ac:dyDescent="0.25">
      <c r="D144" s="119" t="str">
        <v>Anaerobic digestion</v>
      </c>
      <c r="E144" s="124" t="str">
        <v>All organic waste</v>
      </c>
      <c r="F144" s="125"/>
      <c r="G144" s="15" t="s">
        <v>767</v>
      </c>
      <c r="H144" s="15" t="str">
        <f t="shared" si="0"/>
        <v>Not used</v>
      </c>
      <c r="I144" s="15">
        <f>SUM(G145:G149)+SUM(H145:H149)+N("Partial sum")</f>
        <v>0</v>
      </c>
      <c r="J144" s="1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15" cm="1">
        <f t="array" ref="K144">WasteSolid_Equations.VEERG_10_1_1_1__1_EmissionsFromWasteManagement(I144, J144)</f>
        <v>0</v>
      </c>
    </row>
    <row r="145" spans="4:11" ht="20.100000000000001" customHeight="1" x14ac:dyDescent="0.25">
      <c r="D145" s="119" t="str">
        <v>Anaerobic digestion</v>
      </c>
      <c r="E145" s="124" t="str">
        <v>Food waste (including animal carcasses, spoiled animal feed or crop)</v>
      </c>
      <c r="F145" s="125"/>
      <c r="G145" s="1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15">
        <f t="shared" si="0"/>
        <v>0</v>
      </c>
      <c r="I145" s="15" t="s">
        <v>1114</v>
      </c>
      <c r="J145" s="15" t="s">
        <v>767</v>
      </c>
      <c r="K145" s="15" t="s">
        <v>767</v>
      </c>
    </row>
    <row r="146" spans="4:11" ht="20.100000000000001" customHeight="1" x14ac:dyDescent="0.25">
      <c r="D146" s="119" t="str">
        <v>Anaerobic digestion</v>
      </c>
      <c r="E146" s="124" t="str">
        <v>Green waste (including crop residues or prunings)</v>
      </c>
      <c r="F146" s="125"/>
      <c r="G146" s="1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15">
        <f t="shared" si="0"/>
        <v>0</v>
      </c>
      <c r="I146" s="15" t="s">
        <v>1114</v>
      </c>
      <c r="J146" s="15" t="s">
        <v>767</v>
      </c>
      <c r="K146" s="15" t="s">
        <v>767</v>
      </c>
    </row>
    <row r="147" spans="4:11" ht="20.100000000000001" customHeight="1" x14ac:dyDescent="0.25">
      <c r="D147" s="119" t="str">
        <v>Anaerobic digestion</v>
      </c>
      <c r="E147" s="124" t="str">
        <v>Wood</v>
      </c>
      <c r="F147" s="125"/>
      <c r="G147" s="1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15">
        <f t="shared" si="0"/>
        <v>0</v>
      </c>
      <c r="I147" s="15" t="s">
        <v>1114</v>
      </c>
      <c r="J147" s="15" t="s">
        <v>767</v>
      </c>
      <c r="K147" s="15" t="s">
        <v>767</v>
      </c>
    </row>
    <row r="148" spans="4:11" ht="20.100000000000001" customHeight="1" x14ac:dyDescent="0.25">
      <c r="D148" s="119" t="str">
        <v>Anaerobic digestion</v>
      </c>
      <c r="E148" s="124" t="str">
        <v>Sludge</v>
      </c>
      <c r="F148" s="125"/>
      <c r="G148" s="1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15">
        <f t="shared" si="0"/>
        <v>0</v>
      </c>
      <c r="I148" s="15" t="s">
        <v>1114</v>
      </c>
      <c r="J148" s="15" t="s">
        <v>767</v>
      </c>
      <c r="K148" s="15" t="s">
        <v>767</v>
      </c>
    </row>
    <row r="149" spans="4:11" ht="20.100000000000001" customHeight="1" x14ac:dyDescent="0.25">
      <c r="D149" s="119" t="str">
        <v>Anaerobic digestion</v>
      </c>
      <c r="E149" s="124" t="str">
        <v>Paper and cardboard</v>
      </c>
      <c r="F149" s="125"/>
      <c r="G149" s="1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15">
        <f t="shared" si="0"/>
        <v>0</v>
      </c>
      <c r="I149" s="15" t="s">
        <v>1114</v>
      </c>
      <c r="J149" s="15" t="s">
        <v>767</v>
      </c>
      <c r="K149" s="15" t="s">
        <v>767</v>
      </c>
    </row>
    <row r="150" spans="4:11" ht="20.100000000000001" customHeight="1" x14ac:dyDescent="0.25"/>
    <row r="151" spans="4:11" ht="20.100000000000001" customHeight="1" x14ac:dyDescent="0.25">
      <c r="D151" s="87" t="s">
        <v>1115</v>
      </c>
      <c r="E151" s="90">
        <f>SUM(K116:K149)</f>
        <v>438.82805000000002</v>
      </c>
      <c r="F151" s="89" t="str">
        <f>$E$103</f>
        <v>t CO2e</v>
      </c>
    </row>
    <row r="152" spans="4:11" ht="20.100000000000001" customHeight="1" x14ac:dyDescent="0.25"/>
    <row r="153" spans="4:11" ht="20.100000000000001" customHeight="1" x14ac:dyDescent="0.25"/>
    <row r="154" spans="4:11" ht="20.100000000000001" customHeight="1" x14ac:dyDescent="0.25">
      <c r="D154" s="121" t="s">
        <v>1116</v>
      </c>
    </row>
    <row r="155" spans="4:11" ht="20.100000000000001" customHeight="1" x14ac:dyDescent="0.25">
      <c r="D155" s="122" t="s">
        <v>1117</v>
      </c>
    </row>
    <row r="156" spans="4:11" ht="20.100000000000001" customHeight="1" x14ac:dyDescent="0.25">
      <c r="D156" s="81" t="s">
        <v>1101</v>
      </c>
      <c r="E156" s="81" t="s">
        <v>1102</v>
      </c>
      <c r="F156" s="81"/>
      <c r="G156" s="81" t="s">
        <v>1110</v>
      </c>
      <c r="H156" s="123" t="s">
        <v>1111</v>
      </c>
      <c r="I156" s="123" t="s">
        <v>1105</v>
      </c>
      <c r="J156" s="123" t="s">
        <v>1112</v>
      </c>
      <c r="K156" s="123" t="s">
        <v>1113</v>
      </c>
    </row>
    <row r="157" spans="4:11" ht="20.100000000000001" customHeight="1" x14ac:dyDescent="0.25">
      <c r="D157" s="119" t="str" cm="1">
        <f t="array" ref="D157:D190">Table_SourceData_WasteSolid_WasteTreatmentEFs[Treatment type t]</f>
        <v>Landfill</v>
      </c>
      <c r="E157" s="124" t="str" cm="1">
        <f t="array" ref="E157:E190">Table_SourceData_WasteSolid_WasteTreatmentEFs[Waste type w]</f>
        <v>Food waste (including animal carcasses, spoiled animal feed or crop)</v>
      </c>
      <c r="F157" s="179"/>
      <c r="G157" s="1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15">
        <f t="shared" ref="H157:H190" si="3">I59</f>
        <v>25</v>
      </c>
      <c r="I157" s="15">
        <f>G157+H157</f>
        <v>75</v>
      </c>
      <c r="J157" s="15" cm="1">
        <f t="array" ref="J157">Common_InputFunctions.Utility_LookupValueInTableTwoColumns(D157,E157,Table_SourceData_WasteSolid_WasteTreatmentEFs[Treatment type t],Table_SourceData_WasteSolid_WasteTreatmentEFs[Waste type w],Table_SourceData_WasteSolid_WasteTreatmentEFs[EFwt])</f>
        <v>2.1</v>
      </c>
      <c r="K157" s="15" cm="1">
        <f t="array" ref="K157">WasteSolid_Equations.VEERG_10_1_1_1__1_EmissionsFromWasteManagement(I157, J157)</f>
        <v>157.5</v>
      </c>
    </row>
    <row r="158" spans="4:11" ht="20.100000000000001" customHeight="1" x14ac:dyDescent="0.25">
      <c r="D158" s="119" t="str">
        <v>Landfill</v>
      </c>
      <c r="E158" s="124" t="str">
        <v>Paper and cardboard</v>
      </c>
      <c r="F158" s="179"/>
      <c r="G158" s="1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15">
        <f t="shared" si="3"/>
        <v>4.5</v>
      </c>
      <c r="I158" s="15">
        <f t="shared" ref="I158:I167" si="4">G158+H158</f>
        <v>54.5</v>
      </c>
      <c r="J158" s="15" cm="1">
        <f t="array" ref="J158">Common_InputFunctions.Utility_LookupValueInTableTwoColumns(D158,E158,Table_SourceData_WasteSolid_WasteTreatmentEFs[Treatment type t],Table_SourceData_WasteSolid_WasteTreatmentEFs[Waste type w],Table_SourceData_WasteSolid_WasteTreatmentEFs[EFwt])</f>
        <v>3.3</v>
      </c>
      <c r="K158" s="15" cm="1">
        <f t="array" ref="K158">WasteSolid_Equations.VEERG_10_1_1_1__1_EmissionsFromWasteManagement(I158, J158)</f>
        <v>179.85</v>
      </c>
    </row>
    <row r="159" spans="4:11" ht="20.100000000000001" customHeight="1" x14ac:dyDescent="0.25">
      <c r="D159" s="119" t="str">
        <v>Landfill</v>
      </c>
      <c r="E159" s="124" t="str">
        <v>Green waste (including crop residues or prunings)</v>
      </c>
      <c r="F159" s="179"/>
      <c r="G159" s="1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15">
        <f t="shared" si="3"/>
        <v>12</v>
      </c>
      <c r="I159" s="15">
        <f t="shared" si="4"/>
        <v>62</v>
      </c>
      <c r="J159" s="15" cm="1">
        <f t="array" ref="J159">Common_InputFunctions.Utility_LookupValueInTableTwoColumns(D159,E159,Table_SourceData_WasteSolid_WasteTreatmentEFs[Treatment type t],Table_SourceData_WasteSolid_WasteTreatmentEFs[Waste type w],Table_SourceData_WasteSolid_WasteTreatmentEFs[EFwt])</f>
        <v>1.6</v>
      </c>
      <c r="K159" s="15" cm="1">
        <f t="array" ref="K159">WasteSolid_Equations.VEERG_10_1_1_1__1_EmissionsFromWasteManagement(I159, J159)</f>
        <v>99.2</v>
      </c>
    </row>
    <row r="160" spans="4:11" ht="20.100000000000001" customHeight="1" x14ac:dyDescent="0.25">
      <c r="D160" s="119" t="str">
        <v>Landfill</v>
      </c>
      <c r="E160" s="124" t="str">
        <v>Wood</v>
      </c>
      <c r="F160" s="179"/>
      <c r="G160" s="1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15">
        <f t="shared" si="3"/>
        <v>0</v>
      </c>
      <c r="I160" s="15">
        <f t="shared" si="4"/>
        <v>0</v>
      </c>
      <c r="J160" s="15" cm="1">
        <f t="array" ref="J160">Common_InputFunctions.Utility_LookupValueInTableTwoColumns(D160,E160,Table_SourceData_WasteSolid_WasteTreatmentEFs[Treatment type t],Table_SourceData_WasteSolid_WasteTreatmentEFs[Waste type w],Table_SourceData_WasteSolid_WasteTreatmentEFs[EFwt])</f>
        <v>0.7</v>
      </c>
      <c r="K160" s="15" cm="1">
        <f t="array" ref="K160">WasteSolid_Equations.VEERG_10_1_1_1__1_EmissionsFromWasteManagement(I160, J160)</f>
        <v>0</v>
      </c>
    </row>
    <row r="161" spans="4:11" ht="20.100000000000001" customHeight="1" x14ac:dyDescent="0.25">
      <c r="D161" s="119" t="str">
        <v>Landfill</v>
      </c>
      <c r="E161" s="124" t="str">
        <v>Textiles</v>
      </c>
      <c r="F161" s="179"/>
      <c r="G161" s="1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15">
        <f t="shared" si="3"/>
        <v>0</v>
      </c>
      <c r="I161" s="15">
        <f t="shared" si="4"/>
        <v>0</v>
      </c>
      <c r="J161" s="15" cm="1">
        <f t="array" ref="J161">Common_InputFunctions.Utility_LookupValueInTableTwoColumns(D161,E161,Table_SourceData_WasteSolid_WasteTreatmentEFs[Treatment type t],Table_SourceData_WasteSolid_WasteTreatmentEFs[Waste type w],Table_SourceData_WasteSolid_WasteTreatmentEFs[EFwt])</f>
        <v>2</v>
      </c>
      <c r="K161" s="15" cm="1">
        <f t="array" ref="K161">WasteSolid_Equations.VEERG_10_1_1_1__1_EmissionsFromWasteManagement(I161, J161)</f>
        <v>0</v>
      </c>
    </row>
    <row r="162" spans="4:11" ht="20.100000000000001" customHeight="1" x14ac:dyDescent="0.25">
      <c r="D162" s="119" t="str">
        <v>Landfill</v>
      </c>
      <c r="E162" s="124" t="str">
        <v>Sludge</v>
      </c>
      <c r="F162" s="179"/>
      <c r="G162" s="1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15">
        <f t="shared" si="3"/>
        <v>0</v>
      </c>
      <c r="I162" s="15">
        <f t="shared" si="4"/>
        <v>0</v>
      </c>
      <c r="J162" s="15" cm="1">
        <f t="array" ref="J162">Common_InputFunctions.Utility_LookupValueInTableTwoColumns(D162,E162,Table_SourceData_WasteSolid_WasteTreatmentEFs[Treatment type t],Table_SourceData_WasteSolid_WasteTreatmentEFs[Waste type w],Table_SourceData_WasteSolid_WasteTreatmentEFs[EFwt])</f>
        <v>0.4</v>
      </c>
      <c r="K162" s="15" cm="1">
        <f t="array" ref="K162">WasteSolid_Equations.VEERG_10_1_1_1__1_EmissionsFromWasteManagement(I162, J162)</f>
        <v>0</v>
      </c>
    </row>
    <row r="163" spans="4:11" ht="20.100000000000001" customHeight="1" x14ac:dyDescent="0.25">
      <c r="D163" s="119" t="str">
        <v>Landfill</v>
      </c>
      <c r="E163" s="124" t="str">
        <v>Rubber and leather</v>
      </c>
      <c r="F163" s="179"/>
      <c r="G163" s="1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15">
        <f t="shared" si="3"/>
        <v>0</v>
      </c>
      <c r="I163" s="15">
        <f t="shared" si="4"/>
        <v>0</v>
      </c>
      <c r="J163" s="15" cm="1">
        <f t="array" ref="J163">Common_InputFunctions.Utility_LookupValueInTableTwoColumns(D163,E163,Table_SourceData_WasteSolid_WasteTreatmentEFs[Treatment type t],Table_SourceData_WasteSolid_WasteTreatmentEFs[Waste type w],Table_SourceData_WasteSolid_WasteTreatmentEFs[EFwt])</f>
        <v>3.3</v>
      </c>
      <c r="K163" s="15" cm="1">
        <f t="array" ref="K163">WasteSolid_Equations.VEERG_10_1_1_1__1_EmissionsFromWasteManagement(I163, J163)</f>
        <v>0</v>
      </c>
    </row>
    <row r="164" spans="4:11" ht="20.100000000000001" customHeight="1" x14ac:dyDescent="0.25">
      <c r="D164" s="119" t="str">
        <v>Landfill</v>
      </c>
      <c r="E164" s="124" t="str">
        <v>Inert waste (including concrete, metal, plastic or glass)</v>
      </c>
      <c r="F164" s="179"/>
      <c r="G164" s="1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15">
        <f t="shared" si="3"/>
        <v>0</v>
      </c>
      <c r="I164" s="15">
        <f t="shared" si="4"/>
        <v>0</v>
      </c>
      <c r="J164" s="15" cm="1">
        <f t="array" ref="J164">Common_InputFunctions.Utility_LookupValueInTableTwoColumns(D164,E164,Table_SourceData_WasteSolid_WasteTreatmentEFs[Treatment type t],Table_SourceData_WasteSolid_WasteTreatmentEFs[Waste type w],Table_SourceData_WasteSolid_WasteTreatmentEFs[EFwt])</f>
        <v>0</v>
      </c>
      <c r="K164" s="15" cm="1">
        <f t="array" ref="K164">WasteSolid_Equations.VEERG_10_1_1_1__1_EmissionsFromWasteManagement(I164, J164)</f>
        <v>0</v>
      </c>
    </row>
    <row r="165" spans="4:11" ht="20.100000000000001" customHeight="1" x14ac:dyDescent="0.25">
      <c r="D165" s="119" t="str">
        <v>Landfill</v>
      </c>
      <c r="E165" s="124" t="str">
        <v>Municipal solid waste</v>
      </c>
      <c r="F165" s="179"/>
      <c r="G165" s="1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15">
        <f t="shared" si="3"/>
        <v>0</v>
      </c>
      <c r="I165" s="15">
        <f t="shared" si="4"/>
        <v>0</v>
      </c>
      <c r="J165" s="15" cm="1">
        <f t="array" ref="J165">Common_InputFunctions.Utility_LookupValueInTableTwoColumns(D165,E165,Table_SourceData_WasteSolid_WasteTreatmentEFs[Treatment type t],Table_SourceData_WasteSolid_WasteTreatmentEFs[Waste type w],Table_SourceData_WasteSolid_WasteTreatmentEFs[EFwt])</f>
        <v>1.6</v>
      </c>
      <c r="K165" s="15" cm="1">
        <f t="array" ref="K165">WasteSolid_Equations.VEERG_10_1_1_1__1_EmissionsFromWasteManagement(I165, J165)</f>
        <v>0</v>
      </c>
    </row>
    <row r="166" spans="4:11" ht="20.100000000000001" customHeight="1" x14ac:dyDescent="0.25">
      <c r="D166" s="119" t="str">
        <v>Landfill</v>
      </c>
      <c r="E166" s="124" t="str">
        <v>Commercial and industrial waste</v>
      </c>
      <c r="F166" s="179"/>
      <c r="G166" s="1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15">
        <f t="shared" si="3"/>
        <v>0</v>
      </c>
      <c r="I166" s="15">
        <f t="shared" si="4"/>
        <v>0</v>
      </c>
      <c r="J166" s="15" cm="1">
        <f t="array" ref="J166">Common_InputFunctions.Utility_LookupValueInTableTwoColumns(D166,E166,Table_SourceData_WasteSolid_WasteTreatmentEFs[Treatment type t],Table_SourceData_WasteSolid_WasteTreatmentEFs[Waste type w],Table_SourceData_WasteSolid_WasteTreatmentEFs[EFwt])</f>
        <v>1.3</v>
      </c>
      <c r="K166" s="15" cm="1">
        <f t="array" ref="K166">WasteSolid_Equations.VEERG_10_1_1_1__1_EmissionsFromWasteManagement(I166, J166)</f>
        <v>0</v>
      </c>
    </row>
    <row r="167" spans="4:11" ht="20.100000000000001" customHeight="1" x14ac:dyDescent="0.25">
      <c r="D167" s="119" t="str">
        <v>Landfill</v>
      </c>
      <c r="E167" s="124" t="str">
        <v>Construction and demolition waste</v>
      </c>
      <c r="F167" s="179"/>
      <c r="G167" s="1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15">
        <f t="shared" si="3"/>
        <v>0</v>
      </c>
      <c r="I167" s="15">
        <f t="shared" si="4"/>
        <v>0</v>
      </c>
      <c r="J167" s="15" cm="1">
        <f t="array" ref="J167">Common_InputFunctions.Utility_LookupValueInTableTwoColumns(D167,E167,Table_SourceData_WasteSolid_WasteTreatmentEFs[Treatment type t],Table_SourceData_WasteSolid_WasteTreatmentEFs[Waste type w],Table_SourceData_WasteSolid_WasteTreatmentEFs[EFwt])</f>
        <v>0.2</v>
      </c>
      <c r="K167" s="15" cm="1">
        <f t="array" ref="K167">WasteSolid_Equations.VEERG_10_1_1_1__1_EmissionsFromWasteManagement(I167, J167)</f>
        <v>0</v>
      </c>
    </row>
    <row r="168" spans="4:11" ht="20.100000000000001" customHeight="1" x14ac:dyDescent="0.25">
      <c r="D168" s="119" t="str">
        <v>Incineration</v>
      </c>
      <c r="E168" s="124" t="str">
        <v>Food waste, green waste, wood, sludge</v>
      </c>
      <c r="F168" s="179"/>
      <c r="G168" s="15" t="s">
        <v>767</v>
      </c>
      <c r="H168" s="15" t="str">
        <f t="shared" si="3"/>
        <v>Not used</v>
      </c>
      <c r="I168" s="15">
        <f>SUM(G169:G172)+SUM(H169:H172)+N("Partial sum")</f>
        <v>62</v>
      </c>
      <c r="J168" s="15" cm="1">
        <f t="array" ref="J168">Common_InputFunctions.Utility_LookupValueInTableTwoColumns(D168,E168,Table_SourceData_WasteSolid_WasteTreatmentEFs[Treatment type t],Table_SourceData_WasteSolid_WasteTreatmentEFs[Waste type w],Table_SourceData_WasteSolid_WasteTreatmentEFs[EFwt])</f>
        <v>0</v>
      </c>
      <c r="K168" s="15" cm="1">
        <f t="array" ref="K168">WasteSolid_Equations.VEERG_10_1_1_1__1_EmissionsFromWasteManagement(I168, J168)</f>
        <v>0</v>
      </c>
    </row>
    <row r="169" spans="4:11" ht="20.100000000000001" customHeight="1" x14ac:dyDescent="0.25">
      <c r="D169" s="119" t="str">
        <v>Incineration</v>
      </c>
      <c r="E169" s="124" t="str">
        <v>Food waste (including animal carcasses, spoiled animal feed or crop)</v>
      </c>
      <c r="F169" s="179"/>
      <c r="G169" s="1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15">
        <f t="shared" si="3"/>
        <v>0</v>
      </c>
      <c r="I169" s="15" t="s">
        <v>1114</v>
      </c>
      <c r="J169" s="15" t="s">
        <v>767</v>
      </c>
      <c r="K169" s="15" t="s">
        <v>767</v>
      </c>
    </row>
    <row r="170" spans="4:11" ht="20.100000000000001" customHeight="1" x14ac:dyDescent="0.25">
      <c r="D170" s="119" t="str">
        <v>Incineration</v>
      </c>
      <c r="E170" s="124" t="str">
        <v>Green waste (including crop residues or prunings)</v>
      </c>
      <c r="F170" s="179"/>
      <c r="G170" s="1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15">
        <f t="shared" si="3"/>
        <v>12</v>
      </c>
      <c r="I170" s="15" t="s">
        <v>1114</v>
      </c>
      <c r="J170" s="15" t="s">
        <v>767</v>
      </c>
      <c r="K170" s="15" t="s">
        <v>767</v>
      </c>
    </row>
    <row r="171" spans="4:11" ht="20.100000000000001" customHeight="1" x14ac:dyDescent="0.25">
      <c r="D171" s="119" t="str">
        <v>Incineration</v>
      </c>
      <c r="E171" s="124" t="str">
        <v>Wood</v>
      </c>
      <c r="F171" s="179"/>
      <c r="G171" s="1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15">
        <f t="shared" si="3"/>
        <v>0</v>
      </c>
      <c r="I171" s="15" t="s">
        <v>1114</v>
      </c>
      <c r="J171" s="15" t="s">
        <v>767</v>
      </c>
      <c r="K171" s="15" t="s">
        <v>767</v>
      </c>
    </row>
    <row r="172" spans="4:11" ht="20.100000000000001" customHeight="1" x14ac:dyDescent="0.25">
      <c r="D172" s="119" t="str">
        <v>Incineration</v>
      </c>
      <c r="E172" s="124" t="str">
        <v>Sludge</v>
      </c>
      <c r="F172" s="179"/>
      <c r="G172" s="1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15">
        <f t="shared" si="3"/>
        <v>0</v>
      </c>
      <c r="I172" s="15" t="s">
        <v>1114</v>
      </c>
      <c r="J172" s="15" t="s">
        <v>767</v>
      </c>
      <c r="K172" s="15" t="s">
        <v>767</v>
      </c>
    </row>
    <row r="173" spans="4:11" ht="20.100000000000001" customHeight="1" x14ac:dyDescent="0.25">
      <c r="D173" s="119" t="str">
        <v>Incineration</v>
      </c>
      <c r="E173" s="124" t="str">
        <v>Paper and cardboard</v>
      </c>
      <c r="F173" s="179"/>
      <c r="G173" s="1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15">
        <f t="shared" si="3"/>
        <v>0</v>
      </c>
      <c r="I173" s="15">
        <f t="shared" ref="I173:I178" si="5">G173+H173</f>
        <v>0</v>
      </c>
      <c r="J173" s="1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15" cm="1">
        <f t="array" ref="K173">WasteSolid_Equations.VEERG_10_1_1_1__1_EmissionsFromWasteManagement(I173, J173)</f>
        <v>0</v>
      </c>
    </row>
    <row r="174" spans="4:11" ht="20.100000000000001" customHeight="1" x14ac:dyDescent="0.25">
      <c r="D174" s="119" t="str">
        <v>Incineration</v>
      </c>
      <c r="E174" s="124" t="str">
        <v>Textiles</v>
      </c>
      <c r="F174" s="179"/>
      <c r="G174" s="1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15">
        <f t="shared" si="3"/>
        <v>0</v>
      </c>
      <c r="I174" s="15">
        <f t="shared" si="5"/>
        <v>0</v>
      </c>
      <c r="J174" s="1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15" cm="1">
        <f t="array" ref="K174">WasteSolid_Equations.VEERG_10_1_1_1__1_EmissionsFromWasteManagement(I174, J174)</f>
        <v>0</v>
      </c>
    </row>
    <row r="175" spans="4:11" ht="20.100000000000001" customHeight="1" x14ac:dyDescent="0.25">
      <c r="D175" s="119" t="str">
        <v>Incineration</v>
      </c>
      <c r="E175" s="124" t="str">
        <v>Rubber and leather</v>
      </c>
      <c r="F175" s="179"/>
      <c r="G175" s="1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15">
        <f t="shared" si="3"/>
        <v>0</v>
      </c>
      <c r="I175" s="15">
        <f t="shared" si="5"/>
        <v>0</v>
      </c>
      <c r="J175" s="15" cm="1">
        <f t="array" ref="J175">Common_InputFunctions.Utility_LookupValueInTableTwoColumns(D175,E175,Table_SourceData_WasteSolid_WasteTreatmentEFs[Treatment type t],Table_SourceData_WasteSolid_WasteTreatmentEFs[Waste type w],Table_SourceData_WasteSolid_WasteTreatmentEFs[EFwt])</f>
        <v>0.4919</v>
      </c>
      <c r="K175" s="15" cm="1">
        <f t="array" ref="K175">WasteSolid_Equations.VEERG_10_1_1_1__1_EmissionsFromWasteManagement(I175, J175)</f>
        <v>0</v>
      </c>
    </row>
    <row r="176" spans="4:11" ht="20.100000000000001" customHeight="1" x14ac:dyDescent="0.25">
      <c r="D176" s="119" t="str">
        <v>Incineration</v>
      </c>
      <c r="E176" s="124" t="str">
        <v>Inert waste (including concrete, metal, plastic or glass)</v>
      </c>
      <c r="F176" s="179"/>
      <c r="G176" s="1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15">
        <f t="shared" si="3"/>
        <v>0</v>
      </c>
      <c r="I176" s="15">
        <f t="shared" si="5"/>
        <v>0</v>
      </c>
      <c r="J176" s="15" cm="1">
        <f t="array" ref="J176">Common_InputFunctions.Utility_LookupValueInTableTwoColumns(D176,E176,Table_SourceData_WasteSolid_WasteTreatmentEFs[Treatment type t],Table_SourceData_WasteSolid_WasteTreatmentEFs[Waste type w],Table_SourceData_WasteSolid_WasteTreatmentEFs[EFwt])</f>
        <v>0.11</v>
      </c>
      <c r="K176" s="15" cm="1">
        <f t="array" ref="K176">WasteSolid_Equations.VEERG_10_1_1_1__1_EmissionsFromWasteManagement(I176, J176)</f>
        <v>0</v>
      </c>
    </row>
    <row r="177" spans="4:11" ht="20.100000000000001" customHeight="1" x14ac:dyDescent="0.25">
      <c r="D177" s="119" t="str">
        <v>Incineration</v>
      </c>
      <c r="E177" s="124" t="str">
        <v>Municipal solid waste</v>
      </c>
      <c r="F177" s="125"/>
      <c r="G177" s="1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15">
        <f t="shared" si="3"/>
        <v>0</v>
      </c>
      <c r="I177" s="15">
        <f t="shared" si="5"/>
        <v>0</v>
      </c>
      <c r="J177" s="1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15" cm="1">
        <f t="array" ref="K177">WasteSolid_Equations.VEERG_10_1_1_1__1_EmissionsFromWasteManagement(I177, J177)</f>
        <v>0</v>
      </c>
    </row>
    <row r="178" spans="4:11" ht="20.100000000000001" customHeight="1" x14ac:dyDescent="0.25">
      <c r="D178" s="119" t="str">
        <v>Incineration</v>
      </c>
      <c r="E178" s="124" t="str">
        <v>Commercial and industrial waste</v>
      </c>
      <c r="F178" s="125"/>
      <c r="G178" s="1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15">
        <f t="shared" si="3"/>
        <v>0</v>
      </c>
      <c r="I178" s="15">
        <f t="shared" si="5"/>
        <v>0</v>
      </c>
      <c r="J178" s="15" cm="1">
        <f t="array" ref="J178">Common_InputFunctions.Utility_LookupValueInTableTwoColumns(D178,E178,Table_SourceData_WasteSolid_WasteTreatmentEFs[Treatment type t],Table_SourceData_WasteSolid_WasteTreatmentEFs[Waste type w],Table_SourceData_WasteSolid_WasteTreatmentEFs[EFwt])</f>
        <v>1.649</v>
      </c>
      <c r="K178" s="15" cm="1">
        <f t="array" ref="K178">WasteSolid_Equations.VEERG_10_1_1_1__1_EmissionsFromWasteManagement(I178, J178)</f>
        <v>0</v>
      </c>
    </row>
    <row r="179" spans="4:11" ht="20.100000000000001" customHeight="1" x14ac:dyDescent="0.25">
      <c r="D179" s="119" t="str">
        <v>Composting</v>
      </c>
      <c r="E179" s="124" t="str">
        <v>All organic waste</v>
      </c>
      <c r="F179" s="125"/>
      <c r="G179" s="15" t="s">
        <v>767</v>
      </c>
      <c r="H179" s="15" t="str">
        <f t="shared" si="3"/>
        <v>Not used</v>
      </c>
      <c r="I179" s="15">
        <f>SUM(G180:G184)+SUM(H180:H184)+N("Partial sum")</f>
        <v>100</v>
      </c>
      <c r="J179" s="1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15" cm="1">
        <f t="array" ref="K179">WasteSolid_Equations.VEERG_10_1_1_1__1_EmissionsFromWasteManagement(I179, J179)</f>
        <v>4.5999999999999996</v>
      </c>
    </row>
    <row r="180" spans="4:11" ht="20.100000000000001" customHeight="1" x14ac:dyDescent="0.25">
      <c r="D180" s="119" t="str">
        <v>Composting</v>
      </c>
      <c r="E180" s="124" t="str">
        <v>Food waste (including animal carcasses, spoiled animal feed or crop)</v>
      </c>
      <c r="F180" s="125"/>
      <c r="G180" s="1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15">
        <f t="shared" si="3"/>
        <v>0</v>
      </c>
      <c r="I180" s="15" t="s">
        <v>1114</v>
      </c>
      <c r="J180" s="15" t="s">
        <v>767</v>
      </c>
      <c r="K180" s="15" t="s">
        <v>767</v>
      </c>
    </row>
    <row r="181" spans="4:11" ht="20.100000000000001" customHeight="1" x14ac:dyDescent="0.25">
      <c r="D181" s="119" t="str">
        <v>Composting</v>
      </c>
      <c r="E181" s="124" t="str">
        <v>Green waste (including crop residues or prunings)</v>
      </c>
      <c r="F181" s="125"/>
      <c r="G181" s="1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15">
        <f t="shared" si="3"/>
        <v>0</v>
      </c>
      <c r="I181" s="15" t="s">
        <v>1114</v>
      </c>
      <c r="J181" s="15" t="s">
        <v>767</v>
      </c>
      <c r="K181" s="15" t="s">
        <v>767</v>
      </c>
    </row>
    <row r="182" spans="4:11" ht="20.100000000000001" customHeight="1" x14ac:dyDescent="0.25">
      <c r="D182" s="119" t="str">
        <v>Composting</v>
      </c>
      <c r="E182" s="124" t="str">
        <v>Wood</v>
      </c>
      <c r="F182" s="125"/>
      <c r="G182" s="1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15">
        <f t="shared" si="3"/>
        <v>0</v>
      </c>
      <c r="I182" s="15" t="s">
        <v>1114</v>
      </c>
      <c r="J182" s="15" t="s">
        <v>767</v>
      </c>
      <c r="K182" s="15" t="s">
        <v>767</v>
      </c>
    </row>
    <row r="183" spans="4:11" ht="20.100000000000001" customHeight="1" x14ac:dyDescent="0.25">
      <c r="D183" s="119" t="str">
        <v>Composting</v>
      </c>
      <c r="E183" s="124" t="str">
        <v>Sludge</v>
      </c>
      <c r="F183" s="125"/>
      <c r="G183" s="1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15">
        <f t="shared" si="3"/>
        <v>0</v>
      </c>
      <c r="I183" s="15" t="s">
        <v>1114</v>
      </c>
      <c r="J183" s="15" t="s">
        <v>767</v>
      </c>
      <c r="K183" s="15" t="s">
        <v>767</v>
      </c>
    </row>
    <row r="184" spans="4:11" ht="20.100000000000001" customHeight="1" x14ac:dyDescent="0.25">
      <c r="D184" s="119" t="str">
        <v>Composting</v>
      </c>
      <c r="E184" s="124" t="str">
        <v>Paper and cardboard</v>
      </c>
      <c r="F184" s="125"/>
      <c r="G184" s="1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15">
        <f t="shared" si="3"/>
        <v>0</v>
      </c>
      <c r="I184" s="15" t="s">
        <v>1114</v>
      </c>
      <c r="J184" s="15" t="s">
        <v>767</v>
      </c>
      <c r="K184" s="15" t="s">
        <v>767</v>
      </c>
    </row>
    <row r="185" spans="4:11" ht="20.100000000000001" customHeight="1" x14ac:dyDescent="0.25">
      <c r="D185" s="119" t="str">
        <v>Anaerobic digestion</v>
      </c>
      <c r="E185" s="124" t="str">
        <v>All organic waste</v>
      </c>
      <c r="F185" s="125"/>
      <c r="G185" s="15" t="s">
        <v>767</v>
      </c>
      <c r="H185" s="15" t="str">
        <f t="shared" si="3"/>
        <v>Not used</v>
      </c>
      <c r="I185" s="15">
        <f>SUM(G186:G190)+SUM(H186:H190)+N("Partial sum")</f>
        <v>0</v>
      </c>
      <c r="J185" s="1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15" cm="1">
        <f t="array" ref="K185">WasteSolid_Equations.VEERG_10_1_1_1__1_EmissionsFromWasteManagement(I185, J185)</f>
        <v>0</v>
      </c>
    </row>
    <row r="186" spans="4:11" ht="20.100000000000001" customHeight="1" x14ac:dyDescent="0.25">
      <c r="D186" s="119" t="str">
        <v>Anaerobic digestion</v>
      </c>
      <c r="E186" s="124" t="str">
        <v>Food waste (including animal carcasses, spoiled animal feed or crop)</v>
      </c>
      <c r="F186" s="125"/>
      <c r="G186" s="1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15">
        <f t="shared" si="3"/>
        <v>0</v>
      </c>
      <c r="I186" s="15" t="s">
        <v>1114</v>
      </c>
      <c r="J186" s="15" t="s">
        <v>767</v>
      </c>
      <c r="K186" s="15" t="s">
        <v>767</v>
      </c>
    </row>
    <row r="187" spans="4:11" ht="20.100000000000001" customHeight="1" x14ac:dyDescent="0.25">
      <c r="D187" s="119" t="str">
        <v>Anaerobic digestion</v>
      </c>
      <c r="E187" s="124" t="str">
        <v>Green waste (including crop residues or prunings)</v>
      </c>
      <c r="F187" s="125"/>
      <c r="G187" s="1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15">
        <f t="shared" si="3"/>
        <v>0</v>
      </c>
      <c r="I187" s="15" t="s">
        <v>1114</v>
      </c>
      <c r="J187" s="15" t="s">
        <v>767</v>
      </c>
      <c r="K187" s="15" t="s">
        <v>767</v>
      </c>
    </row>
    <row r="188" spans="4:11" ht="20.100000000000001" customHeight="1" x14ac:dyDescent="0.25">
      <c r="D188" s="119" t="str">
        <v>Anaerobic digestion</v>
      </c>
      <c r="E188" s="124" t="str">
        <v>Wood</v>
      </c>
      <c r="F188" s="125"/>
      <c r="G188" s="1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15">
        <f t="shared" si="3"/>
        <v>0</v>
      </c>
      <c r="I188" s="15" t="s">
        <v>1114</v>
      </c>
      <c r="J188" s="15" t="s">
        <v>767</v>
      </c>
      <c r="K188" s="15" t="s">
        <v>767</v>
      </c>
    </row>
    <row r="189" spans="4:11" ht="20.100000000000001" customHeight="1" x14ac:dyDescent="0.25">
      <c r="D189" s="119" t="str">
        <v>Anaerobic digestion</v>
      </c>
      <c r="E189" s="124" t="str">
        <v>Sludge</v>
      </c>
      <c r="F189" s="125"/>
      <c r="G189" s="1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15">
        <f t="shared" si="3"/>
        <v>0</v>
      </c>
      <c r="I189" s="15" t="s">
        <v>1114</v>
      </c>
      <c r="J189" s="15" t="s">
        <v>767</v>
      </c>
      <c r="K189" s="15" t="s">
        <v>767</v>
      </c>
    </row>
    <row r="190" spans="4:11" ht="20.100000000000001" customHeight="1" x14ac:dyDescent="0.25">
      <c r="D190" s="119" t="str">
        <v>Anaerobic digestion</v>
      </c>
      <c r="E190" s="124" t="str">
        <v>Paper and cardboard</v>
      </c>
      <c r="F190" s="125"/>
      <c r="G190" s="1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15">
        <f t="shared" si="3"/>
        <v>0</v>
      </c>
      <c r="I190" s="15" t="s">
        <v>1114</v>
      </c>
      <c r="J190" s="15" t="s">
        <v>767</v>
      </c>
      <c r="K190" s="15" t="s">
        <v>767</v>
      </c>
    </row>
    <row r="191" spans="4:11" ht="20.100000000000001" customHeight="1" x14ac:dyDescent="0.25"/>
    <row r="192" spans="4:11" ht="20.100000000000001" customHeight="1" x14ac:dyDescent="0.25">
      <c r="D192" s="87" t="s">
        <v>1115</v>
      </c>
      <c r="E192" s="90">
        <f>SUM(K157:K190)</f>
        <v>441.15000000000003</v>
      </c>
      <c r="F192" s="89"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xr:uid="{FC636DEF-2312-450D-809A-F4D00D928802}"/>
  </dataValidations>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95038-69A1-4691-920A-7A8D9D746B1E}">
  <sheetPr>
    <tabColor rgb="FF008000"/>
  </sheetPr>
  <dimension ref="A1:K342"/>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20" customFormat="1" ht="30" customHeight="1" x14ac:dyDescent="0.35">
      <c r="A1" s="10" t="e" vm="1">
        <v>#VALUE!</v>
      </c>
      <c r="C1" s="20" t="s">
        <v>895</v>
      </c>
    </row>
    <row r="2" spans="1:11" s="3" customFormat="1" ht="20.100000000000001" customHeight="1" x14ac:dyDescent="0.25">
      <c r="A2"/>
    </row>
    <row r="3" spans="1:11" ht="20.100000000000001" customHeight="1" x14ac:dyDescent="0.25">
      <c r="A3" s="5" t="str">
        <f>HYPERLINK("#'Home'!A1", "Home")</f>
        <v>Home</v>
      </c>
      <c r="C3" s="22"/>
      <c r="D3" s="22" t="s">
        <v>129</v>
      </c>
      <c r="E3" s="22"/>
      <c r="F3" s="22"/>
      <c r="G3" s="22"/>
      <c r="H3" s="22"/>
      <c r="I3" s="22"/>
      <c r="J3" s="22"/>
      <c r="K3" s="22"/>
    </row>
    <row r="4" spans="1:11" ht="20.100000000000001" customHeight="1" x14ac:dyDescent="0.25">
      <c r="A4" s="5" t="str">
        <f>HYPERLINK("#'Results - Activity period'!A1", "Results - Activity period")</f>
        <v>Results - Activity period</v>
      </c>
    </row>
    <row r="5" spans="1:11" ht="20.100000000000001" customHeight="1" x14ac:dyDescent="0.25">
      <c r="A5" s="5" t="str">
        <f>HYPERLINK("#'Results - Product EI'!A1", "Results - Product Emissions Intensity")</f>
        <v>Results - Product Emissions Intensity</v>
      </c>
      <c r="D5" s="2" t="str" cm="1">
        <f t="array" ref="D5">Electricity_Equations.VEERG_14_1_1__1_LocationBasedScopeElectricityEmissions_Title()</f>
        <v>Location-based Scope 2 emissions from purchased electricity</v>
      </c>
    </row>
    <row r="6" spans="1:11" ht="20.100000000000001" customHeight="1" x14ac:dyDescent="0.25">
      <c r="A6" s="5" t="str">
        <f>HYPERLINK("#'Results'!A1", "Results")</f>
        <v>Results</v>
      </c>
      <c r="D6" s="17" t="str" cm="1">
        <f t="array" ref="D6">Electricity_Equations.VEERG_14_1_1__1_LocationBasedScopeElectricityEmissions_Source()</f>
        <v>VEERG 2026: 14.1.1, Equation (1)</v>
      </c>
    </row>
    <row r="7" spans="1:11" ht="20.100000000000001" customHeight="1" x14ac:dyDescent="0.25">
      <c r="D7" s="25" t="str" cm="1">
        <f t="array" ref="D7">Electricity_Equations.VEERG_14_1_1__1_LocationBasedScopeElectricityEmissions_Variation()</f>
        <v>Added g variable to capture which grid electricity was purchased from</v>
      </c>
    </row>
    <row r="8" spans="1:11" ht="20.100000000000001" customHeight="1" x14ac:dyDescent="0.25">
      <c r="D8" s="117" t="s">
        <v>382</v>
      </c>
      <c r="E8" s="117" t="str">
        <f ca="1">Common_InputFunctions.Utility_DisplayFunctionName(VEERG_14_1_1__1_LocationBasedScopeElectricityEmissions_Result_Method1)</f>
        <v>=Electricity_Equations.VEERG_14_1_1__1_LocationBasedScopeElectricityEmissions</v>
      </c>
    </row>
    <row r="9" spans="1:11" ht="20.100000000000001" customHeight="1" x14ac:dyDescent="0.25">
      <c r="A9" s="7" t="s">
        <v>0</v>
      </c>
    </row>
    <row r="10" spans="1:11" ht="20.100000000000001" customHeight="1" x14ac:dyDescent="0.25">
      <c r="A10" s="5" t="str">
        <f>HYPERLINK("#'Input - Enterprise'!A1", "Enterprise")</f>
        <v>Enterprise</v>
      </c>
    </row>
    <row r="11" spans="1:11" ht="20.100000000000001" customHeight="1" x14ac:dyDescent="0.25">
      <c r="A11" s="5" t="str">
        <f>HYPERLINK("#'Input - Site'!A1", "Site")</f>
        <v>Site</v>
      </c>
      <c r="D11" s="76" t="s">
        <v>383</v>
      </c>
      <c r="E11" s="1" t="str" cm="1">
        <f t="array" ref="E11">Electricity_Equations.VEERG_14_1_1__1_LocationBasedScopeElectricityEmissions_Variable()</f>
        <v>E_2elec</v>
      </c>
    </row>
    <row r="12" spans="1:11" ht="20.100000000000001" customHeight="1" x14ac:dyDescent="0.25">
      <c r="A12" s="5" t="str">
        <f>HYPERLINK("#'Input - Dairy'!A1", "Dairy")</f>
        <v>Dairy</v>
      </c>
      <c r="D12" s="76" t="s">
        <v>118</v>
      </c>
      <c r="E12" s="9" t="str" cm="1">
        <f t="array" ref="E12">Electricity_Equations.VEERG_14_1_1__1_LocationBasedScopeElectricityEmissions_Unit()</f>
        <v>t CO2e</v>
      </c>
    </row>
    <row r="13" spans="1:11" ht="20.100000000000001" customHeight="1" x14ac:dyDescent="0.25">
      <c r="A13" s="5" t="str">
        <f>HYPERLINK("#'Input - Livestock sales'!A1", "Livestock sales")</f>
        <v>Livestock sales</v>
      </c>
    </row>
    <row r="14" spans="1:11" ht="20.100000000000001" customHeight="1" x14ac:dyDescent="0.25">
      <c r="A14" s="5" t="str">
        <f>HYPERLINK("#'Input - Dairy cattle purchases'!A1", "Dairy cattle purchases")</f>
        <v>Dairy cattle purchases</v>
      </c>
      <c r="D14" s="119" t="str" cm="1">
        <f t="array" ref="D14:E16">_xlfn.CHOOSECOLS(Electricity_Equations.VEERG_14_1_1__1_LocationBasedScopeElectricityEmissions_Arguments(),1,2)</f>
        <v>Q_elec</v>
      </c>
      <c r="E14" s="124" t="str">
        <v>amount of electricity purchased from the grid</v>
      </c>
      <c r="F14" s="125"/>
      <c r="G14" s="119" t="str" cm="1">
        <f t="array" ref="G14:H16">_xlfn.CHOOSECOLS(Electricity_Equations.VEERG_14_1_1__1_LocationBasedScopeElectricityEmissions_Arguments(),3,4)</f>
        <v>kWh</v>
      </c>
      <c r="H14" s="120" t="str">
        <v>Input</v>
      </c>
      <c r="I14" s="124">
        <f>X_Cell_Electricity_Location_AmountPurchasedInkWh</f>
        <v>30000</v>
      </c>
      <c r="J14" s="125"/>
    </row>
    <row r="15" spans="1:11" ht="20.100000000000001" customHeight="1" x14ac:dyDescent="0.25">
      <c r="A15" s="5" t="str">
        <f>HYPERLINK("#'Input - Pasture'!A1", "Pasture")</f>
        <v>Pasture</v>
      </c>
      <c r="D15" s="119" t="str">
        <v>EF_2elec</v>
      </c>
      <c r="E15" s="124" t="str">
        <v>location-based Scope 2 emission factor for electricity</v>
      </c>
      <c r="F15" s="125"/>
      <c r="G15" s="119" t="str">
        <v>kg CO2e/kWh</v>
      </c>
      <c r="H15" s="127" t="str">
        <v>Constant</v>
      </c>
      <c r="I15" s="124" cm="1">
        <f t="array" ref="I15">Common_InputFunctions.Utility_LookupValueInTableNumber(I16,Table_SourceData_ElectricityEFs[State, Territory or grid description],Table_SourceData_ElectricityEFs[Scope 2 Emission Factors (kg CO2-e/kWh)])</f>
        <v>0.56000000000000005</v>
      </c>
      <c r="J15" s="125"/>
    </row>
    <row r="16" spans="1:11" ht="20.100000000000001" customHeight="1" x14ac:dyDescent="0.25">
      <c r="A16" s="5" t="str">
        <f>HYPERLINK("#'Input - Fert Prod System'!A1", "Fert Prod System")</f>
        <v>Fert Prod System</v>
      </c>
      <c r="D16" s="119" t="str">
        <v>g</v>
      </c>
      <c r="E16" s="124" t="str">
        <v>Grid electricity was purchased from</v>
      </c>
      <c r="F16" s="125"/>
      <c r="G16" s="119" t="str">
        <v/>
      </c>
      <c r="H16" s="120" t="str">
        <v>Input</v>
      </c>
      <c r="I16" s="124" t="str">
        <f>X_Cell_Electricity_Location_GridElectricityPurchasedFrom</f>
        <v>Western Australia - North Western Interconnected System (NWIS)</v>
      </c>
      <c r="J16" s="125"/>
    </row>
    <row r="17" spans="1:11" ht="20.100000000000001" customHeight="1" x14ac:dyDescent="0.25">
      <c r="A17" s="5" t="str">
        <f>HYPERLINK("#'Input - Fertiliser'!A1", "Fertiliser")</f>
        <v>Fertiliser</v>
      </c>
    </row>
    <row r="18" spans="1:11" ht="20.100000000000001" customHeight="1" x14ac:dyDescent="0.25">
      <c r="A18" s="5" t="str">
        <f>HYPERLINK("#'Input - Fuel'!A1", "Fuel")</f>
        <v>Fuel</v>
      </c>
      <c r="D18" s="87" t="s">
        <v>896</v>
      </c>
      <c r="E18" s="90" cm="1">
        <f t="array" ref="E18">Electricity_Equations.VEERG_14_1_1__1_LocationBasedScopeElectricityEmissions(I14,I15)</f>
        <v>16.8</v>
      </c>
      <c r="F18" s="89" t="str">
        <f>$E$12</f>
        <v>t CO2e</v>
      </c>
    </row>
    <row r="19" spans="1:11" ht="20.100000000000001" customHeight="1" x14ac:dyDescent="0.25">
      <c r="A19" s="5" t="str">
        <f>HYPERLINK("#'Input - Electricity'!A1", "Electricity")</f>
        <v>Electricity</v>
      </c>
    </row>
    <row r="20" spans="1:11" ht="20.100000000000001" customHeight="1" x14ac:dyDescent="0.25">
      <c r="A20" s="5" t="str">
        <f>HYPERLINK("#'Input - Common farm inputs'!A1", "Common farm inputs")</f>
        <v>Common farm inputs</v>
      </c>
    </row>
    <row r="21" spans="1:11" ht="20.100000000000001" customHeight="1" x14ac:dyDescent="0.25">
      <c r="A21" s="5" t="str">
        <f>HYPERLINK("#'Input - Crop pasture farm input'!A1", "Crop pasture farm input")</f>
        <v>Crop pasture farm input</v>
      </c>
      <c r="C21" s="88"/>
      <c r="D21" s="88"/>
      <c r="E21" s="88"/>
      <c r="F21" s="88"/>
      <c r="G21" s="88"/>
      <c r="H21" s="88"/>
      <c r="I21" s="88"/>
      <c r="J21" s="88"/>
      <c r="K21" s="88"/>
    </row>
    <row r="22" spans="1:11" ht="20.100000000000001" customHeight="1" x14ac:dyDescent="0.25">
      <c r="A22" s="5" t="str">
        <f>HYPERLINK("#'Input - Livestock farm Inputs'!A1", "Livestock farm Inputs")</f>
        <v>Livestock farm Inputs</v>
      </c>
      <c r="D22" s="2" t="str" cm="1">
        <f t="array" ref="D22">Electricity_Equations.VEERG_14_1_2__1_MarketBasedScopeElectricityEmissions_Title()</f>
        <v>Market-based Scope 2 emissions from purchased electricity</v>
      </c>
    </row>
    <row r="23" spans="1:11" ht="20.100000000000001" customHeight="1" x14ac:dyDescent="0.25">
      <c r="A23" s="5" t="str">
        <f>HYPERLINK("#'Input - Freight'!A1", "Freight")</f>
        <v>Freight</v>
      </c>
      <c r="D23" s="17" t="str" cm="1">
        <f t="array" ref="D23">Electricity_Equations.VEERG_14_1_2__1_MarketBasedScopeElectricityEmissions_Source()</f>
        <v>VEERG 2026: 14.1.2, Equation (1)</v>
      </c>
    </row>
    <row r="24" spans="1:11" ht="20.100000000000001" customHeight="1" x14ac:dyDescent="0.25">
      <c r="A24" s="5" t="str">
        <f>HYPERLINK("#'Input - Solid waste'!A1", "Solid waste")</f>
        <v>Solid waste</v>
      </c>
      <c r="D24" s="25"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A25" s="5" t="str">
        <f>HYPERLINK("#'Input - Manure sent off-site'!A1", "Manure sent off-site")</f>
        <v>Manure sent off-site</v>
      </c>
      <c r="D25" s="117" t="s">
        <v>382</v>
      </c>
      <c r="E25" s="117" t="str">
        <f ca="1">Common_InputFunctions.Utility_DisplayFunctionName(VEERG_14_1_2__1_MarketBasedScopeElectricityEmissionsVariation_Result_Method1)</f>
        <v>=Electricity_Equations.VEERG_14_1_2__1_MarketBasedScopeElectricityEmissionsVariation</v>
      </c>
    </row>
    <row r="26" spans="1:11" ht="20.100000000000001" customHeight="1" x14ac:dyDescent="0.25">
      <c r="A26" s="5" t="str">
        <f>HYPERLINK("#'Input - Refrigerants'!A1", "Refrigerants")</f>
        <v>Refrigerants</v>
      </c>
    </row>
    <row r="27" spans="1:11" ht="20.100000000000001" customHeight="1" x14ac:dyDescent="0.25">
      <c r="A27" s="5" t="str">
        <f>HYPERLINK("#'Input - Data quality'!A1", "Data quality")</f>
        <v>Data quality</v>
      </c>
    </row>
    <row r="28" spans="1:11" ht="20.100000000000001" customHeight="1" x14ac:dyDescent="0.25">
      <c r="D28" s="76" t="s">
        <v>383</v>
      </c>
      <c r="E28" s="1" t="str" cm="1">
        <f t="array" ref="E28">Electricity_Equations.VEERG_14_1_2__1_MarketBasedScopeElectricityEmissions_Variable()</f>
        <v>E_2elec</v>
      </c>
    </row>
    <row r="29" spans="1:11" ht="20.100000000000001" customHeight="1" x14ac:dyDescent="0.25">
      <c r="D29" s="76" t="s">
        <v>118</v>
      </c>
      <c r="E29" s="9" t="str" cm="1">
        <f t="array" ref="E29">Electricity_Equations.VEERG_14_1_2__1_MarketBasedScopeElectricityEmissions_Unit()</f>
        <v>t CO2e</v>
      </c>
    </row>
    <row r="30" spans="1:11" ht="20.100000000000001" customHeight="1" x14ac:dyDescent="0.25">
      <c r="A30" s="6" t="s">
        <v>2</v>
      </c>
    </row>
    <row r="31" spans="1:11" ht="20.100000000000001" customHeight="1" x14ac:dyDescent="0.25">
      <c r="A31" s="5" t="str">
        <f>HYPERLINK("#'3.3.1.1-2 Enteric Methane'!A1", "3.3.1.1-2 Enteric methane")</f>
        <v>3.3.1.1-2 Enteric methane</v>
      </c>
      <c r="D31" s="119" t="str" cm="1">
        <f t="array" ref="D31:E37">_xlfn.CHOOSECOLS(Electricity_Equations.VEERG_14_1_2__1_MarketBasedScopeElectricityEmissions_Arguments(),1,2)</f>
        <v>Q_elec</v>
      </c>
      <c r="E31" s="124" t="str">
        <v>amount of electricity purchased from the grid</v>
      </c>
      <c r="F31" s="132"/>
      <c r="G31" s="132"/>
      <c r="H31" s="119" t="str" cm="1">
        <f t="array" ref="H31:I37">_xlfn.CHOOSECOLS(Electricity_Equations.VEERG_14_1_2__1_MarketBasedScopeElectricityEmissions_Arguments(),3,4)</f>
        <v>kWh</v>
      </c>
      <c r="I31" s="120" t="str">
        <v>Input</v>
      </c>
      <c r="J31" s="119">
        <f>X_Cell_Electricity_Market_AmountPurchasedExcludingGreenPower</f>
        <v>30000</v>
      </c>
    </row>
    <row r="32" spans="1:11" ht="20.100000000000001" customHeight="1" x14ac:dyDescent="0.25">
      <c r="A32" s="5" t="str">
        <f>HYPERLINK("#'4.3.1.1-2 Methane'!A1", "4.3.1.1-2 Manure methane")</f>
        <v>4.3.1.1-2 Manure methane</v>
      </c>
      <c r="D32" s="119" t="str">
        <v>RPP</v>
      </c>
      <c r="E32" s="124" t="str">
        <v>Renewable Power Percentage under the Large-scale Renewable Energy Target (LRET)</v>
      </c>
      <c r="F32" s="132"/>
      <c r="G32" s="132"/>
      <c r="H32" s="119" t="str">
        <v>per cent</v>
      </c>
      <c r="I32" s="120" t="str">
        <v>Input</v>
      </c>
      <c r="J32" s="200">
        <f>X_Cell_Electricity_Market_RenewablePowerPercentage</f>
        <v>0.1</v>
      </c>
    </row>
    <row r="33" spans="1:10" ht="20.100000000000001" customHeight="1" x14ac:dyDescent="0.25">
      <c r="A33" s="5" t="str">
        <f>HYPERLINK("#'4.3.1.3-4 Direct N20'!A1", "4.3.1.3-4 Direct N20")</f>
        <v>4.3.1.3-4 Direct N20</v>
      </c>
      <c r="D33" s="119" t="str">
        <v>JRPP</v>
      </c>
      <c r="E33" s="124" t="str">
        <v>jurisdictional renewable power percentage for the applicable period (ACT only)</v>
      </c>
      <c r="F33" s="132"/>
      <c r="G33" s="132"/>
      <c r="H33" s="119" t="str">
        <v>per cent</v>
      </c>
      <c r="I33" s="120" t="str">
        <v>Input</v>
      </c>
      <c r="J33" s="200" t="str">
        <f>IF(J37="ACT", X_Cell_Electricity_Market_JurisdictionalRenewablePowerPercentage, "N/A")</f>
        <v>N/A</v>
      </c>
    </row>
    <row r="34" spans="1:10" ht="20.100000000000001" customHeight="1" x14ac:dyDescent="0.25">
      <c r="A34" s="5" t="str">
        <f>HYPERLINK("#'4.3.1.5 Atmos deposition'!A1", "4.3.1.5 Atmos deposition")</f>
        <v>4.3.1.5 Atmos deposition</v>
      </c>
      <c r="D34" s="119" t="str">
        <v>REC_surrendered</v>
      </c>
      <c r="E34" s="124" t="str">
        <v>Renewable Energy Certificates voluntarily surrendered in the reporting year</v>
      </c>
      <c r="F34" s="132"/>
      <c r="G34" s="132"/>
      <c r="H34" s="119" t="str">
        <v>MWh</v>
      </c>
      <c r="I34" s="120" t="str">
        <v>Input</v>
      </c>
      <c r="J34" s="119">
        <f>(X_Cell_Electricity_Market_AmountPurchasedGreenPower*10^-3)+X_Cell_TotalElegibleVoluntarilySurrenderedRECs</f>
        <v>20</v>
      </c>
    </row>
    <row r="35" spans="1:10" ht="20.100000000000001" customHeight="1" x14ac:dyDescent="0.25">
      <c r="A35" s="5" t="str">
        <f>HYPERLINK("#'4.3.1.6-7 Leaching and runoff'!A1", "4.3.1.6-7 Leaching &amp; runoff")</f>
        <v>4.3.1.6-7 Leaching &amp; runoff</v>
      </c>
      <c r="D35" s="119" t="str">
        <v>REC_onsite</v>
      </c>
      <c r="E35" s="124" t="str">
        <v>Renewable Energy Certificates issued for electricity produced on-site during the year and consumed by the entity</v>
      </c>
      <c r="F35" s="132"/>
      <c r="G35" s="132"/>
      <c r="H35" s="119" t="str">
        <v>MWh</v>
      </c>
      <c r="I35" s="120" t="str">
        <v>Input</v>
      </c>
      <c r="J35" s="119">
        <f>X_Cell_TotalElegibleRECsForElectricityProducedOnSite</f>
        <v>11</v>
      </c>
    </row>
    <row r="36" spans="1:10" ht="20.100000000000001" customHeight="1" x14ac:dyDescent="0.25">
      <c r="A36" s="5" t="str">
        <f>HYPERLINK("#'4.3.1.8 Manure applied to soils'!A1", "4.3.1.8 Manure applied to soils")</f>
        <v>4.3.1.8 Manure applied to soils</v>
      </c>
      <c r="D36" s="119" t="str">
        <v>EF_RMF2elec</v>
      </c>
      <c r="E36" s="124" t="str">
        <v>Scope 2 residual mix emission factor for electricity</v>
      </c>
      <c r="F36" s="132"/>
      <c r="G36" s="132"/>
      <c r="H36" s="119" t="str">
        <v>kg CO2e/kWh</v>
      </c>
      <c r="I36" s="127" t="str">
        <v>Constant</v>
      </c>
      <c r="J36" s="119" cm="1">
        <f t="array" ref="J36">Table_SourceData_ElectricityEFsMarketBased[Scope 2 EF (kg CO2-e/kWh)]</f>
        <v>0.81</v>
      </c>
    </row>
    <row r="37" spans="1:10" ht="20.100000000000001" customHeight="1" x14ac:dyDescent="0.25">
      <c r="A37" s="5" t="str">
        <f>HYPERLINK("#'4.3.1.9 Soil direct N2O'!A1", "4.3.1.9 Soil direct N2O")</f>
        <v>4.3.1.9 Soil direct N2O</v>
      </c>
      <c r="D37" s="119" t="str">
        <v>i</v>
      </c>
      <c r="E37" s="124" t="str">
        <v>state</v>
      </c>
      <c r="F37" s="132"/>
      <c r="G37" s="125"/>
      <c r="H37" s="119" t="str">
        <v/>
      </c>
      <c r="I37" s="120" t="str">
        <v>Input</v>
      </c>
      <c r="J37" s="119" t="str">
        <f>X_Cell_Site_State</f>
        <v>Western Australia</v>
      </c>
    </row>
    <row r="38" spans="1:10" ht="20.100000000000001" customHeight="1" x14ac:dyDescent="0.25">
      <c r="A38" s="5" t="str">
        <f>HYPERLINK("#'4.3.1.10-11 Soil Atmos Dep'!A1", "4.3.1.10-11 Soil Atmos Deposition")</f>
        <v>4.3.1.10-11 Soil Atmos Deposition</v>
      </c>
    </row>
    <row r="39" spans="1:10" ht="20.100000000000001" customHeight="1" x14ac:dyDescent="0.25">
      <c r="A39" s="5" t="str">
        <f>HYPERLINK("#'4.3.1.12-13 Soil leach runoff'!A1", "4.3.1.12-13 Soil leach &amp; runoff")</f>
        <v>4.3.1.12-13 Soil leach &amp; runoff</v>
      </c>
      <c r="D39" s="87" t="s">
        <v>896</v>
      </c>
      <c r="E39" s="90" cm="1">
        <f t="array" ref="E39">Electricity_Equations.VEERG_14_1_2__1_MarketBasedScopeElectricityEmissionsVariation(J31,J32,IF(ISNUMBER(J33), J33, 0),J34,J35,J36)</f>
        <v>14.580000000000002</v>
      </c>
      <c r="F39" s="89" t="str">
        <f>E29</f>
        <v>t CO2e</v>
      </c>
    </row>
    <row r="40" spans="1:10" ht="20.100000000000001" customHeight="1" x14ac:dyDescent="0.25">
      <c r="A40" s="5" t="str">
        <f>HYPERLINK("#'5.1.1.1-2 Inorganic fert N2O'!A1", "5.1.1.1-2 Inorganic fert N2O")</f>
        <v>5.1.1.1-2 Inorganic fert N2O</v>
      </c>
      <c r="H40" s="1" t="s">
        <v>607</v>
      </c>
    </row>
    <row r="41" spans="1:10" ht="20.100000000000001" customHeight="1" x14ac:dyDescent="0.25">
      <c r="A41" s="5" t="str">
        <f>HYPERLINK("#'5.1.1.3-4 Inorganic fert CO2'!A1", "5.1.1.3-4 Inorganic fert CO2")</f>
        <v>5.1.1.3-4 Inorganic fert CO2</v>
      </c>
    </row>
    <row r="42" spans="1:10" ht="20.100000000000001" customHeight="1" x14ac:dyDescent="0.25">
      <c r="A42" s="5" t="str">
        <f>HYPERLINK("#'5.2.1.1-2 Organic Fert N2O'!A1", "5.2.1.1-2 Organic fert N2O")</f>
        <v>5.2.1.1-2 Organic fert N2O</v>
      </c>
    </row>
    <row r="43" spans="1:10" ht="20.100000000000001" customHeight="1" x14ac:dyDescent="0.25">
      <c r="A43" s="5" t="str">
        <f>HYPERLINK("#'5.3.1.1-2 Lime CO2'!A1", "5.3.1.1-2 Lime CO2")</f>
        <v>5.3.1.1-2 Lime CO2</v>
      </c>
    </row>
    <row r="44" spans="1:10" ht="20.100000000000001" customHeight="1" x14ac:dyDescent="0.25">
      <c r="A44" s="5" t="str">
        <f>HYPERLINK("#'5.4.1.1-4 Atmos deposition'!A1", "5.4.1.1-4 Atmos. deposition")</f>
        <v>5.4.1.1-4 Atmos. deposition</v>
      </c>
      <c r="E44" s="160"/>
    </row>
    <row r="45" spans="1:10" ht="20.100000000000001" customHeight="1" x14ac:dyDescent="0.25">
      <c r="A45" s="5" t="str">
        <f>HYPERLINK("#'5.5.1.1-2 Leaching and runoff'!A1", "5.5.1.1-2 Leaching &amp; runoff")</f>
        <v>5.5.1.1-2 Leaching &amp; runoff</v>
      </c>
    </row>
    <row r="46" spans="1:10" ht="20.100000000000001" customHeight="1" x14ac:dyDescent="0.25">
      <c r="A46" s="5" t="str">
        <f>HYPERLINK("#'6.2.1.1-2 Pasture residue N2O'!A1", "6.2.1.1-2 Pasture residue N2O")</f>
        <v>6.2.1.1-2 Pasture residue N2O</v>
      </c>
    </row>
    <row r="47" spans="1:10" ht="20.100000000000001" customHeight="1" x14ac:dyDescent="0.25">
      <c r="A47" s="5" t="str">
        <f>HYPERLINK("#'6.3.1.1-2 Leach runoff pasture'!A1", "6.3.1.1-2 Leach &amp; runoff (pasture)")</f>
        <v>6.3.1.1-2 Leach &amp; runoff (pasture)</v>
      </c>
    </row>
    <row r="48" spans="1:10" ht="20.100000000000001" customHeight="1" x14ac:dyDescent="0.25">
      <c r="A48" s="5" t="str">
        <f>HYPERLINK("#'8.1.1.1-2 Transport fuel'!A1", "8.1.1.1-2 Transport fuel")</f>
        <v>8.1.1.1-2 Transport fuel</v>
      </c>
    </row>
    <row r="49" spans="1:1" ht="20.100000000000001" customHeight="1" x14ac:dyDescent="0.25">
      <c r="A49" s="5" t="str">
        <f>HYPERLINK("#'8.2.1.1-2 Stationary fuel'!A1", "8.2.1.1-2 Stationary fuel")</f>
        <v>8.2.1.1-2 Stationary fuel</v>
      </c>
    </row>
    <row r="50" spans="1:1" ht="20.100000000000001" customHeight="1" x14ac:dyDescent="0.25">
      <c r="A50" s="5" t="str">
        <f>HYPERLINK("#'9.1.1.1-2 Refrigerant use'!A1", "9.1.1.1-2 Refrigerant use")</f>
        <v>9.1.1.1-2 Refrigerant use</v>
      </c>
    </row>
    <row r="51" spans="1:1" ht="20.100000000000001" customHeight="1" x14ac:dyDescent="0.25">
      <c r="A51" s="5" t="str">
        <f>HYPERLINK("#'10.1.1-2 Solid waste treatment'!A1", "10.1.1.1-2 Solid waste")</f>
        <v>10.1.1.1-2 Solid waste</v>
      </c>
    </row>
    <row r="52" spans="1:1" ht="20.100000000000001" customHeight="1" x14ac:dyDescent="0.25">
      <c r="A52" s="118" t="str">
        <f>HYPERLINK("#'14.1.1-2 Purchased electricity'!A1", "14.1.1-2 Purchased electricity")</f>
        <v>14.1.1-2 Purchased electricity</v>
      </c>
    </row>
    <row r="53" spans="1:1" ht="20.100000000000001" customHeight="1" x14ac:dyDescent="0.25">
      <c r="A53" s="5" t="str">
        <f>HYPERLINK("#'15 Scope 3'!A1", "15 Scope 3")</f>
        <v>15 Scope 3</v>
      </c>
    </row>
    <row r="54" spans="1:1" ht="20.100000000000001" customHeight="1" x14ac:dyDescent="0.25">
      <c r="A54" s="5" t="str">
        <f>HYPERLINK("#'Calcs - Manure sent off-site'!A1", "Calcs - Manure sent off-site")</f>
        <v>Calcs - Manure sent off-site</v>
      </c>
    </row>
    <row r="55" spans="1:1" ht="20.100000000000001" customHeight="1" x14ac:dyDescent="0.25"/>
    <row r="56" spans="1:1" ht="20.100000000000001" customHeight="1" x14ac:dyDescent="0.25"/>
    <row r="57" spans="1:1" ht="20.100000000000001" customHeight="1" x14ac:dyDescent="0.25">
      <c r="A57" s="82" t="s">
        <v>1</v>
      </c>
    </row>
    <row r="58" spans="1:1" ht="20.100000000000001" customHeight="1" x14ac:dyDescent="0.25">
      <c r="A58" s="5" t="str">
        <f>HYPERLINK("#'Constants - Dairy'!A1", "Constants - Dairy")</f>
        <v>Constants - Dairy</v>
      </c>
    </row>
    <row r="59" spans="1:1" ht="20.100000000000001" customHeight="1" x14ac:dyDescent="0.25">
      <c r="A59" s="5" t="str">
        <f>HYPERLINK("#'Constants - Ag Residue'!A1", "Constants - Ag residue")</f>
        <v>Constants - Ag residue</v>
      </c>
    </row>
    <row r="60" spans="1:1" ht="20.100000000000001" customHeight="1" x14ac:dyDescent="0.25">
      <c r="A60" s="5" t="str">
        <f>HYPERLINK("#'Constants - Common Livestock'!A1", "Constants - Common Livestock")</f>
        <v>Constants - Common Livestock</v>
      </c>
    </row>
    <row r="61" spans="1:1" ht="20.100000000000001" customHeight="1" x14ac:dyDescent="0.25">
      <c r="A61" s="5" t="str">
        <f>HYPERLINK("#'Constants - Electricity'!A1", "Constants - Electricity")</f>
        <v>Constants - Electricity</v>
      </c>
    </row>
    <row r="62" spans="1:1" ht="20.100000000000001" customHeight="1" x14ac:dyDescent="0.25">
      <c r="A62" s="5" t="str">
        <f>HYPERLINK("#'Constants - Fertiliser'!A1", "Constants - Fertiliser")</f>
        <v>Constants - Fertiliser</v>
      </c>
    </row>
    <row r="63" spans="1:1" ht="20.100000000000001" customHeight="1" x14ac:dyDescent="0.25">
      <c r="A63" s="5" t="str">
        <f>HYPERLINK("#'Constants - Fuel'!A1", "Constants - Fuel")</f>
        <v>Constants - Fuel</v>
      </c>
    </row>
    <row r="64" spans="1:1" ht="20.100000000000001" customHeight="1" x14ac:dyDescent="0.25">
      <c r="A64" s="5" t="str">
        <f>HYPERLINK("#'Constants - Scope 3'!A1", "Constants - Scope 3")</f>
        <v>Constants - Scope 3</v>
      </c>
    </row>
    <row r="65" spans="1:1" ht="20.100000000000001" customHeight="1" x14ac:dyDescent="0.25">
      <c r="A65" s="5" t="str">
        <f>HYPERLINK("#'Constants - Common'!A1", "Constants - Common")</f>
        <v>Constants - Common</v>
      </c>
    </row>
    <row r="66" spans="1:1" ht="20.100000000000001" customHeight="1" x14ac:dyDescent="0.25">
      <c r="A66" s="5" t="str">
        <f>HYPERLINK("#'Constants - Refrigerants'!A1", "Constants - Refrigerants")</f>
        <v>Constants - Refrigerants</v>
      </c>
    </row>
    <row r="67" spans="1:1" ht="20.100000000000001" customHeight="1" x14ac:dyDescent="0.25">
      <c r="A67" s="5" t="str">
        <f>HYPERLINK("#'Constants - Solid Waste'!A1", "Constants - Solid Waste")</f>
        <v>Constants - Solid Waste</v>
      </c>
    </row>
    <row r="68" spans="1:1" ht="20.100000000000001" customHeight="1" x14ac:dyDescent="0.25">
      <c r="A68" s="5" t="str">
        <f>HYPERLINK("#'Acknowledgements'!A1", "Acknowledgements")</f>
        <v>Acknowledgements</v>
      </c>
    </row>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G132 I129:I133 F134:I134 F129:F132 H128:H132 G129 F148:I148 I149 F150:I150" xr:uid="{4284CE7E-EA20-417C-87BD-38C321157DBF}"/>
  </dataValidations>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F5F82-8B1E-43D3-975B-C143D4B3D3F7}">
  <sheetPr>
    <tabColor theme="9" tint="-0.249977111117893"/>
  </sheetPr>
  <dimension ref="A1:AO657"/>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style="259" customWidth="1"/>
    <col min="2" max="2" width="5.28515625" style="259" customWidth="1"/>
    <col min="3" max="3" width="5.28515625" style="1" customWidth="1"/>
    <col min="4" max="40" width="35" style="1" customWidth="1"/>
    <col min="41" max="41" width="5.28515625" style="1" customWidth="1"/>
    <col min="42" max="16384" width="9.140625" style="259"/>
  </cols>
  <sheetData>
    <row r="1" spans="1:41" s="20" customFormat="1" ht="30" customHeight="1" x14ac:dyDescent="0.35">
      <c r="A1" s="10" t="e" vm="1">
        <v>#VALUE!</v>
      </c>
      <c r="C1" s="20" t="s">
        <v>1310</v>
      </c>
    </row>
    <row r="2" spans="1:41" s="3" customFormat="1" ht="20.100000000000001" customHeight="1" x14ac:dyDescent="0.25">
      <c r="A2"/>
    </row>
    <row r="3" spans="1:41"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row>
    <row r="4" spans="1:41" ht="20.100000000000001" customHeight="1" x14ac:dyDescent="0.25">
      <c r="A4" s="5" t="str">
        <f>HYPERLINK("#'Results - Activity period'!A1", "Results - Activity period")</f>
        <v>Results - Activity period</v>
      </c>
    </row>
    <row r="5" spans="1:41" ht="20.100000000000001" customHeight="1" x14ac:dyDescent="0.25">
      <c r="A5" s="5" t="str">
        <f>HYPERLINK("#'Results - Product EI'!A1", "Results - Product Emissions Intensity")</f>
        <v>Results - Product Emissions Intensity</v>
      </c>
      <c r="D5" s="2" t="str" cm="1">
        <f t="array" ref="D5">Scope3_Equations.VEERG_15_1_1_1__1_EmissionsFromPurchasedLivestock_Title()</f>
        <v>Total emissions from purchased livestock</v>
      </c>
    </row>
    <row r="6" spans="1:41" ht="20.100000000000001" customHeight="1" x14ac:dyDescent="0.25">
      <c r="A6" s="5" t="str">
        <f>HYPERLINK("#'Results'!A1", "Results")</f>
        <v>Results</v>
      </c>
      <c r="D6" s="17" t="str" cm="1">
        <f t="array" ref="D6">Scope3_Equations.VEERG_15_1_1_1__1_EmissionsFromPurchasedLivestock_Source()</f>
        <v>VEERG 2026: 15.1.1.1, Equation (1)</v>
      </c>
    </row>
    <row r="7" spans="1:41" ht="20.100000000000001" customHeight="1" x14ac:dyDescent="0.25">
      <c r="A7"/>
      <c r="D7" s="117" t="s">
        <v>382</v>
      </c>
      <c r="E7" s="117" t="str" cm="1">
        <f t="array" aca="1" ref="E7" ca="1">Common_InputFunctions.Utility_DisplayFunctionName(J23)</f>
        <v>=Scope3_Equations.VEERG_15_1_1_1__1_EmissionsFromPurchasedLivestock</v>
      </c>
    </row>
    <row r="8" spans="1:41" ht="20.100000000000001" customHeight="1" x14ac:dyDescent="0.25">
      <c r="A8"/>
    </row>
    <row r="9" spans="1:41" ht="20.100000000000001" customHeight="1" x14ac:dyDescent="0.25">
      <c r="A9" s="7" t="s">
        <v>0</v>
      </c>
      <c r="H9" s="117"/>
    </row>
    <row r="10" spans="1:41" ht="20.100000000000001" customHeight="1" x14ac:dyDescent="0.25">
      <c r="A10" s="5" t="str">
        <f>HYPERLINK("#'Input - Enterprise'!A1", "Enterprise")</f>
        <v>Enterprise</v>
      </c>
      <c r="D10" s="76" t="s">
        <v>383</v>
      </c>
      <c r="E10" s="1" t="str" cm="1">
        <f t="array" ref="E10">Scope3_Equations.VEERG_15_1_1_1__1_EmissionsFromPurchasedLivestock_Variable()</f>
        <v>E</v>
      </c>
    </row>
    <row r="11" spans="1:41" ht="20.100000000000001" customHeight="1" x14ac:dyDescent="0.25">
      <c r="A11" s="5" t="str">
        <f>HYPERLINK("#'Input - Site'!A1", "Site")</f>
        <v>Site</v>
      </c>
      <c r="D11" s="76" t="s">
        <v>118</v>
      </c>
      <c r="E11" s="9" t="str" cm="1">
        <f t="array" ref="E11">Scope3_Equations.VEERG_15_1_1_1__1_EmissionsFromPurchasedLivestock_Unit()</f>
        <v>t CO2e</v>
      </c>
    </row>
    <row r="12" spans="1:41" ht="20.100000000000001" customHeight="1" x14ac:dyDescent="0.25">
      <c r="A12" s="5" t="str">
        <f>HYPERLINK("#'Input - Dairy'!A1", "Dairy")</f>
        <v>Dairy</v>
      </c>
    </row>
    <row r="13" spans="1:41" ht="20.100000000000001" customHeight="1" x14ac:dyDescent="0.25">
      <c r="A13" s="5" t="str">
        <f>HYPERLINK("#'Input - Livestock sales'!A1", "Livestock sales")</f>
        <v>Livestock sales</v>
      </c>
      <c r="D13" s="119" t="str" cm="1">
        <f t="array" ref="D13:E17">_xlfn.CHOOSECOLS(Scope3_Equations.VEERG_15_1_1_1__1_EmissionsFromPurchasedLivestock_Arguments(),1,2)</f>
        <v>N_co</v>
      </c>
      <c r="E13" s="124" t="str">
        <v>number of animals purchased in livestock type c from origin o</v>
      </c>
      <c r="F13" s="125"/>
      <c r="G13" s="119" t="str" cm="1">
        <f t="array" ref="G13:H17">_xlfn.CHOOSECOLS(Scope3_Equations.VEERG_15_1_1_1__1_EmissionsFromPurchasedLivestock_Arguments(),3,4)</f>
        <v>head</v>
      </c>
      <c r="H13" s="272" t="str">
        <v>Input</v>
      </c>
    </row>
    <row r="14" spans="1:41" ht="20.100000000000001" customHeight="1" x14ac:dyDescent="0.25">
      <c r="A14" s="5" t="str">
        <f>HYPERLINK("#'Input - Dairy cattle purchases'!A1", "Dairy cattle purchases")</f>
        <v>Dairy cattle purchases</v>
      </c>
      <c r="D14" s="119" t="str">
        <v>W_co</v>
      </c>
      <c r="E14" s="124" t="str">
        <v>average liveweight of purchased livestock at point of purchase</v>
      </c>
      <c r="F14" s="125"/>
      <c r="G14" s="119" t="str">
        <v>kg/head</v>
      </c>
      <c r="H14" s="272" t="str">
        <v>Input</v>
      </c>
    </row>
    <row r="15" spans="1:41" ht="20.100000000000001" customHeight="1" x14ac:dyDescent="0.25">
      <c r="A15" s="5" t="str">
        <f>HYPERLINK("#'Input - Pasture'!A1", "Pasture")</f>
        <v>Pasture</v>
      </c>
      <c r="D15" s="119" t="str">
        <v>EF_co</v>
      </c>
      <c r="E15" s="124" t="str">
        <v>emission factor per livestock type and origin</v>
      </c>
      <c r="F15" s="125"/>
      <c r="G15" s="119" t="str">
        <v>kg CO2e/kg</v>
      </c>
      <c r="H15" s="127" t="str">
        <v>Constant</v>
      </c>
    </row>
    <row r="16" spans="1:41" ht="20.100000000000001" customHeight="1" x14ac:dyDescent="0.25">
      <c r="A16" s="5" t="str">
        <f>HYPERLINK("#'Input - Fert Prod System'!A1", "Fert Prod System")</f>
        <v>Fert Prod System</v>
      </c>
      <c r="D16" s="119" t="str">
        <v>c</v>
      </c>
      <c r="E16" s="124" t="str">
        <v>livestock type</v>
      </c>
      <c r="F16" s="125"/>
      <c r="G16" s="119" t="str">
        <v/>
      </c>
      <c r="H16" s="272" t="str">
        <v>Input</v>
      </c>
    </row>
    <row r="17" spans="1:16" ht="20.100000000000001" customHeight="1" x14ac:dyDescent="0.25">
      <c r="A17" s="5" t="str">
        <f>HYPERLINK("#'Input - Fertiliser'!A1", "Fertiliser")</f>
        <v>Fertiliser</v>
      </c>
      <c r="D17" s="119" t="str">
        <v>o</v>
      </c>
      <c r="E17" s="124" t="str">
        <v>origin</v>
      </c>
      <c r="F17" s="125"/>
      <c r="G17" s="119" t="str">
        <v/>
      </c>
      <c r="H17" s="272" t="str">
        <v>Input</v>
      </c>
    </row>
    <row r="18" spans="1:16" ht="20.100000000000001" customHeight="1" x14ac:dyDescent="0.25">
      <c r="A18" s="5" t="str">
        <f>HYPERLINK("#'Input - Fuel'!A1", "Fuel")</f>
        <v>Fuel</v>
      </c>
    </row>
    <row r="19" spans="1:16" ht="20.100000000000001" customHeight="1" x14ac:dyDescent="0.25">
      <c r="A19" s="5" t="str">
        <f>HYPERLINK("#'Input - Electricity'!A1", "Electricity")</f>
        <v>Electricity</v>
      </c>
      <c r="D19" s="35" t="s">
        <v>1311</v>
      </c>
      <c r="E19" s="37"/>
      <c r="F19" s="38"/>
    </row>
    <row r="20" spans="1:16" ht="20.100000000000001" customHeight="1" x14ac:dyDescent="0.25">
      <c r="A20" s="5" t="str">
        <f>HYPERLINK("#'Input - Common farm inputs'!A1", "Common farm inputs")</f>
        <v>Common farm inputs</v>
      </c>
    </row>
    <row r="21" spans="1:16" ht="20.100000000000001" customHeight="1" x14ac:dyDescent="0.25">
      <c r="A21" s="5" t="str">
        <f>HYPERLINK("#'Input - Crop pasture farm input'!A1", "Crop pasture farm input")</f>
        <v>Crop pasture farm input</v>
      </c>
      <c r="D21" s="263" t="s">
        <v>1312</v>
      </c>
    </row>
    <row r="22" spans="1:16" ht="20.100000000000001" customHeight="1" x14ac:dyDescent="0.25">
      <c r="A22" s="5" t="str">
        <f>HYPERLINK("#'Input - Livestock farm Inputs'!A1", "Livestock farm Inputs")</f>
        <v>Livestock farm Inputs</v>
      </c>
      <c r="D22" s="81" t="s">
        <v>1313</v>
      </c>
      <c r="E22" s="273" t="s">
        <v>1314</v>
      </c>
      <c r="F22" s="273" t="s">
        <v>1315</v>
      </c>
      <c r="G22" s="273" t="s">
        <v>1316</v>
      </c>
      <c r="H22" s="273" t="s">
        <v>1317</v>
      </c>
      <c r="I22" s="123" t="s">
        <v>1318</v>
      </c>
      <c r="J22" s="123" t="s">
        <v>1319</v>
      </c>
      <c r="K22" s="273" t="s">
        <v>1320</v>
      </c>
      <c r="L22" s="81" t="s">
        <v>1321</v>
      </c>
      <c r="M22" s="123" t="s">
        <v>1322</v>
      </c>
      <c r="N22" s="81" t="s">
        <v>1323</v>
      </c>
      <c r="O22" s="81" t="s">
        <v>1324</v>
      </c>
      <c r="P22" s="81" t="s">
        <v>1325</v>
      </c>
    </row>
    <row r="23" spans="1:16" ht="20.100000000000001" customHeight="1" x14ac:dyDescent="0.25">
      <c r="A23" s="5" t="str">
        <f>HYPERLINK("#'Input - Freight'!A1", "Freight")</f>
        <v>Freight</v>
      </c>
      <c r="D23" s="15"/>
      <c r="E23" s="15"/>
      <c r="F23" s="15"/>
      <c r="G23" s="15"/>
      <c r="H23" s="15"/>
      <c r="I23" s="15" cm="1">
        <f t="array" ref="I23">Common_InputFunctions.Utility_LookupValueInTableTwoColumns(E23,F23,Table_SourceData_Scope3_Animals[Product],Table_SourceData_Scope3_Animals[Region of origin],Table_SourceData_Scope3_Animals[Emissions intensity], 0)</f>
        <v>0</v>
      </c>
      <c r="J23" s="247" cm="1">
        <f t="array" ref="J23">Scope3_Equations.VEERG_15_1_1_1__1_EmissionsFromPurchasedLivestock(G23,H23,I23)</f>
        <v>0</v>
      </c>
      <c r="K23" s="15"/>
      <c r="L23" s="75">
        <v>20</v>
      </c>
      <c r="M23" s="247" cm="1">
        <f t="array" ref="M23">Scope3_Equations.VEERG_15_1_1_1__1_EmissionsFromPurchasedLivestock(G23,K23,IF(L23, L23, I23))</f>
        <v>0</v>
      </c>
      <c r="N23" s="33" t="s">
        <v>1326</v>
      </c>
      <c r="O23" s="13" t="s">
        <v>1327</v>
      </c>
      <c r="P23" s="259" t="s">
        <v>1328</v>
      </c>
    </row>
    <row r="24" spans="1:16" ht="20.100000000000001" customHeight="1" x14ac:dyDescent="0.25">
      <c r="A24" s="5" t="str">
        <f>HYPERLINK("#'Input - Solid waste'!A1", "Solid waste")</f>
        <v>Solid waste</v>
      </c>
      <c r="D24" s="15"/>
      <c r="E24" s="15"/>
      <c r="F24" s="15"/>
      <c r="G24" s="15"/>
      <c r="H24" s="15"/>
      <c r="I24" s="15" cm="1">
        <f t="array" ref="I24">Common_InputFunctions.Utility_LookupValueInTableTwoColumns(E24,F24,Table_SourceData_Scope3_Animals[Product],Table_SourceData_Scope3_Animals[Region of origin],Table_SourceData_Scope3_Animals[Emissions intensity], 0)</f>
        <v>0</v>
      </c>
      <c r="J24" s="247" cm="1">
        <f t="array" ref="J24">Scope3_Equations.VEERG_15_1_1_1__1_EmissionsFromPurchasedLivestock(G24,H24,I24)</f>
        <v>0</v>
      </c>
      <c r="K24" s="15"/>
      <c r="L24" s="75">
        <v>13</v>
      </c>
      <c r="M24" s="247" cm="1">
        <f t="array" ref="M24">Scope3_Equations.VEERG_15_1_1_1__1_EmissionsFromPurchasedLivestock(G24,K24,IF(L24, L24, I24))</f>
        <v>0</v>
      </c>
      <c r="N24" s="33"/>
      <c r="O24" s="13"/>
      <c r="P24" s="33"/>
    </row>
    <row r="25" spans="1:16" ht="20.100000000000001" customHeight="1" x14ac:dyDescent="0.25">
      <c r="A25" s="5" t="str">
        <f>HYPERLINK("#'Input - Manure sent off-site'!A1", "Manure sent off-site")</f>
        <v>Manure sent off-site</v>
      </c>
      <c r="D25" s="15"/>
      <c r="E25" s="15"/>
      <c r="F25" s="15"/>
      <c r="G25" s="15"/>
      <c r="H25" s="15"/>
      <c r="I25" s="15" cm="1">
        <f t="array" ref="I25">Common_InputFunctions.Utility_LookupValueInTableTwoColumns(E25,F25,Table_SourceData_Scope3_Animals[Product],Table_SourceData_Scope3_Animals[Region of origin],Table_SourceData_Scope3_Animals[Emissions intensity], 0)</f>
        <v>0</v>
      </c>
      <c r="J25" s="247" cm="1">
        <f t="array" ref="J25">Scope3_Equations.VEERG_15_1_1_1__1_EmissionsFromPurchasedLivestock(G25,H25,I25)</f>
        <v>0</v>
      </c>
      <c r="K25" s="15"/>
      <c r="L25" s="75"/>
      <c r="M25" s="247" cm="1">
        <f t="array" ref="M25">Scope3_Equations.VEERG_15_1_1_1__1_EmissionsFromPurchasedLivestock(G25,K25,IF(L25, L25, I25))</f>
        <v>0</v>
      </c>
      <c r="N25" s="33"/>
      <c r="O25" s="13"/>
      <c r="P25" s="33"/>
    </row>
    <row r="26" spans="1:16" ht="20.100000000000001" customHeight="1" x14ac:dyDescent="0.25">
      <c r="A26" s="5" t="str">
        <f>HYPERLINK("#'Input - Refrigerants'!A1", "Refrigerants")</f>
        <v>Refrigerants</v>
      </c>
      <c r="D26" s="15"/>
      <c r="E26" s="15"/>
      <c r="F26" s="15"/>
      <c r="G26" s="15"/>
      <c r="H26" s="15"/>
      <c r="I26" s="15" cm="1">
        <f t="array" ref="I26">Common_InputFunctions.Utility_LookupValueInTableTwoColumns(E26,F26,Table_SourceData_Scope3_Animals[Product],Table_SourceData_Scope3_Animals[Region of origin],Table_SourceData_Scope3_Animals[Emissions intensity], 0)</f>
        <v>0</v>
      </c>
      <c r="J26" s="247" cm="1">
        <f t="array" ref="J26">Scope3_Equations.VEERG_15_1_1_1__1_EmissionsFromPurchasedLivestock(G26,H26,I26)</f>
        <v>0</v>
      </c>
      <c r="K26" s="15"/>
      <c r="L26" s="75"/>
      <c r="M26" s="247" cm="1">
        <f t="array" ref="M26">Scope3_Equations.VEERG_15_1_1_1__1_EmissionsFromPurchasedLivestock(G26,K26,IF(L26, L26, I26))</f>
        <v>0</v>
      </c>
      <c r="N26" s="33"/>
      <c r="O26" s="13"/>
      <c r="P26" s="33"/>
    </row>
    <row r="27" spans="1:16" ht="20.100000000000001" customHeight="1" x14ac:dyDescent="0.25">
      <c r="A27" s="5" t="str">
        <f>HYPERLINK("#'Input - Data quality'!A1", "Data quality")</f>
        <v>Data quality</v>
      </c>
      <c r="D27" s="15"/>
      <c r="E27" s="15"/>
      <c r="F27" s="15"/>
      <c r="G27" s="15"/>
      <c r="H27" s="15"/>
      <c r="I27" s="15" cm="1">
        <f t="array" ref="I27">Common_InputFunctions.Utility_LookupValueInTableTwoColumns(E27,F27,Table_SourceData_Scope3_Animals[Product],Table_SourceData_Scope3_Animals[Region of origin],Table_SourceData_Scope3_Animals[Emissions intensity], 0)</f>
        <v>0</v>
      </c>
      <c r="J27" s="247" cm="1">
        <f t="array" ref="J27">Scope3_Equations.VEERG_15_1_1_1__1_EmissionsFromPurchasedLivestock(G27,H27,I27)</f>
        <v>0</v>
      </c>
      <c r="K27" s="15"/>
      <c r="L27" s="75"/>
      <c r="M27" s="247" cm="1">
        <f t="array" ref="M27">Scope3_Equations.VEERG_15_1_1_1__1_EmissionsFromPurchasedLivestock(G27,K27,IF(L27, L27, I27))</f>
        <v>0</v>
      </c>
      <c r="N27" s="33"/>
      <c r="O27" s="13"/>
      <c r="P27" s="33"/>
    </row>
    <row r="28" spans="1:16" ht="20.100000000000001" customHeight="1" x14ac:dyDescent="0.25">
      <c r="A28"/>
      <c r="D28" s="15"/>
      <c r="E28" s="15"/>
      <c r="F28" s="15"/>
      <c r="G28" s="15"/>
      <c r="H28" s="15"/>
      <c r="I28" s="15" cm="1">
        <f t="array" ref="I28">Common_InputFunctions.Utility_LookupValueInTableTwoColumns(E28,F28,Table_SourceData_Scope3_Animals[Product],Table_SourceData_Scope3_Animals[Region of origin],Table_SourceData_Scope3_Animals[Emissions intensity], 0)</f>
        <v>0</v>
      </c>
      <c r="J28" s="247" cm="1">
        <f t="array" ref="J28">Scope3_Equations.VEERG_15_1_1_1__1_EmissionsFromPurchasedLivestock(G28,H28,I28)</f>
        <v>0</v>
      </c>
      <c r="K28" s="15"/>
      <c r="L28" s="75"/>
      <c r="M28" s="247" cm="1">
        <f t="array" ref="M28">Scope3_Equations.VEERG_15_1_1_1__1_EmissionsFromPurchasedLivestock(G28,K28,IF(L28, L28, I28))</f>
        <v>0</v>
      </c>
      <c r="N28" s="33"/>
      <c r="O28" s="13"/>
      <c r="P28" s="33"/>
    </row>
    <row r="29" spans="1:16" ht="20.100000000000001" customHeight="1" x14ac:dyDescent="0.25">
      <c r="A29"/>
      <c r="D29" s="15"/>
      <c r="E29" s="15"/>
      <c r="F29" s="15"/>
      <c r="G29" s="15"/>
      <c r="H29" s="15"/>
      <c r="I29" s="15" cm="1">
        <f t="array" ref="I29">Common_InputFunctions.Utility_LookupValueInTableTwoColumns(E29,F29,Table_SourceData_Scope3_Animals[Product],Table_SourceData_Scope3_Animals[Region of origin],Table_SourceData_Scope3_Animals[Emissions intensity], 0)</f>
        <v>0</v>
      </c>
      <c r="J29" s="247" cm="1">
        <f t="array" ref="J29">Scope3_Equations.VEERG_15_1_1_1__1_EmissionsFromPurchasedLivestock(G29,H29,I29)</f>
        <v>0</v>
      </c>
      <c r="K29" s="15"/>
      <c r="L29" s="75"/>
      <c r="M29" s="247" cm="1">
        <f t="array" ref="M29">Scope3_Equations.VEERG_15_1_1_1__1_EmissionsFromPurchasedLivestock(G29,K29,IF(L29, L29, I29))</f>
        <v>0</v>
      </c>
      <c r="N29" s="33"/>
      <c r="O29" s="13"/>
      <c r="P29" s="33"/>
    </row>
    <row r="30" spans="1:16" ht="20.100000000000001" customHeight="1" x14ac:dyDescent="0.25">
      <c r="A30" s="6" t="s">
        <v>2</v>
      </c>
      <c r="D30" s="15"/>
      <c r="E30" s="15"/>
      <c r="F30" s="15"/>
      <c r="G30" s="15"/>
      <c r="H30" s="15"/>
      <c r="I30" s="15" cm="1">
        <f t="array" ref="I30">Common_InputFunctions.Utility_LookupValueInTableTwoColumns(E30,F30,Table_SourceData_Scope3_Animals[Product],Table_SourceData_Scope3_Animals[Region of origin],Table_SourceData_Scope3_Animals[Emissions intensity], 0)</f>
        <v>0</v>
      </c>
      <c r="J30" s="247" cm="1">
        <f t="array" ref="J30">Scope3_Equations.VEERG_15_1_1_1__1_EmissionsFromPurchasedLivestock(G30,H30,I30)</f>
        <v>0</v>
      </c>
      <c r="K30" s="15"/>
      <c r="L30" s="75"/>
      <c r="M30" s="247" cm="1">
        <f t="array" ref="M30">Scope3_Equations.VEERG_15_1_1_1__1_EmissionsFromPurchasedLivestock(G30,K30,IF(L30, L30, I30))</f>
        <v>0</v>
      </c>
      <c r="N30" s="33"/>
      <c r="O30" s="13"/>
      <c r="P30" s="33"/>
    </row>
    <row r="31" spans="1:16" ht="20.100000000000001" customHeight="1" x14ac:dyDescent="0.25">
      <c r="A31" s="5" t="str">
        <f>HYPERLINK("#'3.3.1.1-2 Enteric Methane'!A1", "3.3.1.1-2 Enteric methane")</f>
        <v>3.3.1.1-2 Enteric methane</v>
      </c>
      <c r="D31" s="15"/>
      <c r="E31" s="15"/>
      <c r="F31" s="15"/>
      <c r="G31" s="15"/>
      <c r="H31" s="15"/>
      <c r="I31" s="15" cm="1">
        <f t="array" ref="I31">Common_InputFunctions.Utility_LookupValueInTableTwoColumns(E31,F31,Table_SourceData_Scope3_Animals[Product],Table_SourceData_Scope3_Animals[Region of origin],Table_SourceData_Scope3_Animals[Emissions intensity], 0)</f>
        <v>0</v>
      </c>
      <c r="J31" s="247" cm="1">
        <f t="array" ref="J31">Scope3_Equations.VEERG_15_1_1_1__1_EmissionsFromPurchasedLivestock(G31,H31,I31)</f>
        <v>0</v>
      </c>
      <c r="K31" s="15"/>
      <c r="L31" s="75"/>
      <c r="M31" s="247" cm="1">
        <f t="array" ref="M31">Scope3_Equations.VEERG_15_1_1_1__1_EmissionsFromPurchasedLivestock(G31,K31,IF(L31, L31, I31))</f>
        <v>0</v>
      </c>
      <c r="N31" s="33"/>
      <c r="O31" s="13"/>
      <c r="P31" s="33"/>
    </row>
    <row r="32" spans="1:16" ht="20.100000000000001" customHeight="1" x14ac:dyDescent="0.25">
      <c r="A32" s="5" t="str">
        <f>HYPERLINK("#'4.3.1.1-2 Methane'!A1", "4.3.1.1-2 Manure methane")</f>
        <v>4.3.1.1-2 Manure methane</v>
      </c>
      <c r="D32" s="15"/>
      <c r="E32" s="15"/>
      <c r="F32" s="15"/>
      <c r="G32" s="15"/>
      <c r="H32" s="15"/>
      <c r="I32" s="15" cm="1">
        <f t="array" ref="I32">Common_InputFunctions.Utility_LookupValueInTableTwoColumns(E32,F32,Table_SourceData_Scope3_Animals[Product],Table_SourceData_Scope3_Animals[Region of origin],Table_SourceData_Scope3_Animals[Emissions intensity], 0)</f>
        <v>0</v>
      </c>
      <c r="J32" s="247" cm="1">
        <f t="array" ref="J32">Scope3_Equations.VEERG_15_1_1_1__1_EmissionsFromPurchasedLivestock(G32,H32,I32)</f>
        <v>0</v>
      </c>
      <c r="K32" s="15"/>
      <c r="L32" s="75"/>
      <c r="M32" s="247" cm="1">
        <f t="array" ref="M32">Scope3_Equations.VEERG_15_1_1_1__1_EmissionsFromPurchasedLivestock(G32,K32,IF(L32, L32, I32))</f>
        <v>0</v>
      </c>
      <c r="N32" s="33"/>
      <c r="O32" s="13"/>
      <c r="P32" s="33"/>
    </row>
    <row r="33" spans="1:13" ht="20.100000000000001" customHeight="1" x14ac:dyDescent="0.25">
      <c r="A33" s="5" t="str">
        <f>HYPERLINK("#'4.3.1.3-4 Direct N20'!A1", "4.3.1.3-4 Direct N20")</f>
        <v>4.3.1.3-4 Direct N20</v>
      </c>
    </row>
    <row r="34" spans="1:13" ht="20.100000000000001" customHeight="1" x14ac:dyDescent="0.25">
      <c r="A34" s="5" t="str">
        <f>HYPERLINK("#'4.3.1.5 Atmos deposition'!A1", "4.3.1.5 Atmos deposition")</f>
        <v>4.3.1.5 Atmos deposition</v>
      </c>
      <c r="D34" s="92" t="s">
        <v>1329</v>
      </c>
      <c r="E34" s="88">
        <f>SUM(J23:J32)</f>
        <v>0</v>
      </c>
      <c r="F34" s="93" t="str">
        <f>$E$11</f>
        <v>t CO2e</v>
      </c>
    </row>
    <row r="35" spans="1:13" ht="20.100000000000001" customHeight="1" x14ac:dyDescent="0.25">
      <c r="A35" s="5" t="str">
        <f>HYPERLINK("#'4.3.1.6-7 Leaching and runoff'!A1", "4.3.1.6-7 Leaching &amp; runoff")</f>
        <v>4.3.1.6-7 Leaching &amp; runoff</v>
      </c>
      <c r="D35" s="92" t="s">
        <v>1330</v>
      </c>
      <c r="E35" s="88">
        <f>SUM(M23:M32)</f>
        <v>0</v>
      </c>
      <c r="F35" s="93" t="str">
        <f>$E$11</f>
        <v>t CO2e</v>
      </c>
    </row>
    <row r="36" spans="1:13" ht="20.100000000000001" customHeight="1" x14ac:dyDescent="0.25">
      <c r="A36" s="5" t="str">
        <f>HYPERLINK("#'4.3.1.8 Manure applied to soils'!A1", "4.3.1.8 Manure applied to soils")</f>
        <v>4.3.1.8 Manure applied to soils</v>
      </c>
    </row>
    <row r="37" spans="1:13" ht="20.100000000000001" customHeight="1" x14ac:dyDescent="0.25">
      <c r="A37" s="5" t="str">
        <f>HYPERLINK("#'4.3.1.9 Soil direct N2O'!A1", "4.3.1.9 Soil direct N2O")</f>
        <v>4.3.1.9 Soil direct N2O</v>
      </c>
    </row>
    <row r="38" spans="1:13" ht="20.100000000000001" customHeight="1" x14ac:dyDescent="0.25">
      <c r="A38" s="5" t="str">
        <f>HYPERLINK("#'4.3.1.10-11 Soil Atmos Dep'!A1", "4.3.1.10-11 Soil Atmos Deposition")</f>
        <v>4.3.1.10-11 Soil Atmos Deposition</v>
      </c>
      <c r="D38" s="263" t="s">
        <v>310</v>
      </c>
    </row>
    <row r="39" spans="1:13" ht="20.100000000000001" customHeight="1" x14ac:dyDescent="0.25">
      <c r="A39" s="5" t="str">
        <f>HYPERLINK("#'4.3.1.12-13 Soil leach runoff'!A1", "4.3.1.12-13 Soil leach &amp; runoff")</f>
        <v>4.3.1.12-13 Soil leach &amp; runoff</v>
      </c>
      <c r="D39" s="119" t="s">
        <v>1331</v>
      </c>
      <c r="E39" s="15" cm="1">
        <f t="array" ref="E39">Common_InputFunctions.Utility_LookupValueInTableNumber("Dairy cows", Table_SourceData_Scope3_Animals[Product],Table_SourceData_Scope3_Animals[Emissions intensity])</f>
        <v>4.41</v>
      </c>
    </row>
    <row r="40" spans="1:13" ht="20.100000000000001" customHeight="1" x14ac:dyDescent="0.25">
      <c r="A40" s="5" t="str">
        <f>HYPERLINK("#'5.1.1.1-2 Inorganic fert N2O'!A1", "5.1.1.1-2 Inorganic fert N2O")</f>
        <v>5.1.1.1-2 Inorganic fert N2O</v>
      </c>
    </row>
    <row r="41" spans="1:13" ht="20.100000000000001" customHeight="1" x14ac:dyDescent="0.25">
      <c r="A41" s="5" t="str">
        <f>HYPERLINK("#'5.1.1.3-4 Inorganic fert CO2'!A1", "5.1.1.3-4 Inorganic fert CO2")</f>
        <v>5.1.1.3-4 Inorganic fert CO2</v>
      </c>
      <c r="D41" s="81" t="s">
        <v>1313</v>
      </c>
      <c r="E41" s="273" t="s">
        <v>1316</v>
      </c>
      <c r="F41" s="273" t="s">
        <v>1317</v>
      </c>
      <c r="G41" s="123" t="s">
        <v>1319</v>
      </c>
      <c r="H41" s="273" t="s">
        <v>1320</v>
      </c>
      <c r="I41" s="81" t="s">
        <v>1321</v>
      </c>
      <c r="J41" s="123" t="s">
        <v>1322</v>
      </c>
      <c r="K41" s="81" t="s">
        <v>1323</v>
      </c>
      <c r="L41" s="81" t="s">
        <v>1324</v>
      </c>
      <c r="M41" s="81" t="s">
        <v>1325</v>
      </c>
    </row>
    <row r="42" spans="1:13" ht="20.100000000000001" customHeight="1" x14ac:dyDescent="0.25">
      <c r="A42" s="5" t="str">
        <f>HYPERLINK("#'5.2.1.1-2 Organic Fert N2O'!A1", "5.2.1.1-2 Organic fert N2O")</f>
        <v>5.2.1.1-2 Organic fert N2O</v>
      </c>
      <c r="D42" s="15" t="str" cm="1">
        <f t="array" ref="D42:D51">IFERROR(INDEX(Table_Input_LivestockPurchases_Dairy[Transaction name], _xlfn.SEQUENCE(10)), "")</f>
        <v>Dairy cows from Denise</v>
      </c>
      <c r="E42" s="15" cm="1">
        <f t="array" ref="E42:E51">IFERROR(INDEX(Table_Input_LivestockPurchases_Dairy[Quantity (head)], _xlfn.SEQUENCE(10)), 0)</f>
        <v>100</v>
      </c>
      <c r="F42" s="15" cm="1">
        <f t="array" ref="F42:F51">IFERROR(INDEX(Table_Input_LivestockPurchases_Dairy[Liveweight (kg/head) Method 1], _xlfn.SEQUENCE(10)), 0)</f>
        <v>130</v>
      </c>
      <c r="G42" s="247" cm="1">
        <f t="array" ref="G42">Scope3_Equations.VEERG_15_1_1_1__1_EmissionsFromPurchasedLivestock(E42,F42,$E$39)</f>
        <v>57.33</v>
      </c>
      <c r="H42" s="15" cm="1">
        <f t="array" ref="H42:H51">IFERROR(INDEX(Table_Input_LivestockPurchases_Dairy[Liveweight (kg/head) Method 2], _xlfn.SEQUENCE(10)), "")</f>
        <v>350</v>
      </c>
      <c r="I42" s="75">
        <v>4</v>
      </c>
      <c r="J42" s="247" cm="1">
        <f t="array" ref="J42">Scope3_Equations.VEERG_15_1_1_1__1_EmissionsFromPurchasedLivestock(E42,H42,IF(I42,I42,$E$39))</f>
        <v>140</v>
      </c>
      <c r="K42" s="33" t="s">
        <v>1326</v>
      </c>
      <c r="L42" s="13" t="s">
        <v>1327</v>
      </c>
      <c r="M42" s="259" t="s">
        <v>1328</v>
      </c>
    </row>
    <row r="43" spans="1:13" ht="20.100000000000001" customHeight="1" x14ac:dyDescent="0.25">
      <c r="A43" s="5" t="str">
        <f>HYPERLINK("#'5.3.1.1-2 Lime CO2'!A1", "5.3.1.1-2 Lime CO2")</f>
        <v>5.3.1.1-2 Lime CO2</v>
      </c>
      <c r="D43" s="15">
        <v>0</v>
      </c>
      <c r="E43" s="15">
        <v>100</v>
      </c>
      <c r="F43" s="15">
        <v>540</v>
      </c>
      <c r="G43" s="247" cm="1">
        <f t="array" ref="G43">Scope3_Equations.VEERG_15_1_1_1__1_EmissionsFromPurchasedLivestock(E43,F43,$E$39)</f>
        <v>238.14000000000001</v>
      </c>
      <c r="H43" s="15">
        <v>625</v>
      </c>
      <c r="I43" s="75"/>
      <c r="J43" s="247" cm="1">
        <f t="array" ref="J43">Scope3_Equations.VEERG_15_1_1_1__1_EmissionsFromPurchasedLivestock(E43,H43,IF(I43,I43,$E$39))</f>
        <v>275.625</v>
      </c>
      <c r="K43" s="33"/>
      <c r="L43" s="13"/>
      <c r="M43" s="33"/>
    </row>
    <row r="44" spans="1:13" ht="20.100000000000001" customHeight="1" x14ac:dyDescent="0.25">
      <c r="A44" s="5" t="str">
        <f>HYPERLINK("#'5.4.1.1-4 Atmos deposition'!A1", "5.4.1.1-4 Atmos. deposition")</f>
        <v>5.4.1.1-4 Atmos. deposition</v>
      </c>
      <c r="D44" s="15">
        <v>0</v>
      </c>
      <c r="E44" s="15">
        <v>0</v>
      </c>
      <c r="F44" s="15">
        <v>315</v>
      </c>
      <c r="G44" s="247" cm="1">
        <f t="array" ref="G44">Scope3_Equations.VEERG_15_1_1_1__1_EmissionsFromPurchasedLivestock(E44,F44,$E$39)</f>
        <v>0</v>
      </c>
      <c r="H44" s="15">
        <v>0</v>
      </c>
      <c r="I44" s="75"/>
      <c r="J44" s="247" cm="1">
        <f t="array" ref="J44">Scope3_Equations.VEERG_15_1_1_1__1_EmissionsFromPurchasedLivestock(E44,H44,IF(I44,I44,$E$39))</f>
        <v>0</v>
      </c>
      <c r="K44" s="33"/>
      <c r="L44" s="13"/>
      <c r="M44" s="33"/>
    </row>
    <row r="45" spans="1:13" ht="20.100000000000001" customHeight="1" x14ac:dyDescent="0.25">
      <c r="A45" s="5" t="str">
        <f>HYPERLINK("#'5.5.1.1-2 Leaching and runoff'!A1", "5.5.1.1-2 Leaching &amp; runoff")</f>
        <v>5.5.1.1-2 Leaching &amp; runoff</v>
      </c>
      <c r="D45" s="15">
        <v>0</v>
      </c>
      <c r="E45" s="15">
        <v>0</v>
      </c>
      <c r="F45" s="15">
        <v>0</v>
      </c>
      <c r="G45" s="247" cm="1">
        <f t="array" ref="G45">Scope3_Equations.VEERG_15_1_1_1__1_EmissionsFromPurchasedLivestock(E45,F45,$E$39)</f>
        <v>0</v>
      </c>
      <c r="H45" s="15">
        <v>0</v>
      </c>
      <c r="I45" s="75"/>
      <c r="J45" s="247" cm="1">
        <f t="array" ref="J45">Scope3_Equations.VEERG_15_1_1_1__1_EmissionsFromPurchasedLivestock(E45,H45,IF(I45,I45,$E$39))</f>
        <v>0</v>
      </c>
      <c r="K45" s="33"/>
      <c r="L45" s="13"/>
      <c r="M45" s="33"/>
    </row>
    <row r="46" spans="1:13" ht="20.100000000000001" customHeight="1" x14ac:dyDescent="0.25">
      <c r="A46" s="5" t="str">
        <f>HYPERLINK("#'6.2.1.1-2 Pasture residue N2O'!A1", "6.2.1.1-2 Pasture residue N2O")</f>
        <v>6.2.1.1-2 Pasture residue N2O</v>
      </c>
      <c r="D46" s="15">
        <v>0</v>
      </c>
      <c r="E46" s="15">
        <v>0</v>
      </c>
      <c r="F46" s="15">
        <v>0</v>
      </c>
      <c r="G46" s="247" cm="1">
        <f t="array" ref="G46">Scope3_Equations.VEERG_15_1_1_1__1_EmissionsFromPurchasedLivestock(E46,F46,$E$39)</f>
        <v>0</v>
      </c>
      <c r="H46" s="15">
        <v>0</v>
      </c>
      <c r="I46" s="75"/>
      <c r="J46" s="247" cm="1">
        <f t="array" ref="J46">Scope3_Equations.VEERG_15_1_1_1__1_EmissionsFromPurchasedLivestock(E46,H46,IF(I46,I46,$E$39))</f>
        <v>0</v>
      </c>
      <c r="K46" s="33"/>
      <c r="L46" s="13"/>
      <c r="M46" s="33"/>
    </row>
    <row r="47" spans="1:13" ht="20.100000000000001" customHeight="1" x14ac:dyDescent="0.25">
      <c r="A47" s="5" t="str">
        <f>HYPERLINK("#'6.3.1.1-2 Leach runoff pasture'!A1", "6.3.1.1-2 Leach &amp; runoff (pasture)")</f>
        <v>6.3.1.1-2 Leach &amp; runoff (pasture)</v>
      </c>
      <c r="D47" s="15">
        <v>0</v>
      </c>
      <c r="E47" s="15">
        <v>0</v>
      </c>
      <c r="F47" s="15">
        <v>0</v>
      </c>
      <c r="G47" s="247" cm="1">
        <f t="array" ref="G47">Scope3_Equations.VEERG_15_1_1_1__1_EmissionsFromPurchasedLivestock(E47,F47,$E$39)</f>
        <v>0</v>
      </c>
      <c r="H47" s="15">
        <v>0</v>
      </c>
      <c r="I47" s="75"/>
      <c r="J47" s="247" cm="1">
        <f t="array" ref="J47">Scope3_Equations.VEERG_15_1_1_1__1_EmissionsFromPurchasedLivestock(E47,H47,IF(I47,I47,$E$39))</f>
        <v>0</v>
      </c>
      <c r="K47" s="33"/>
      <c r="L47" s="13"/>
      <c r="M47" s="33"/>
    </row>
    <row r="48" spans="1:13" ht="20.100000000000001" customHeight="1" x14ac:dyDescent="0.25">
      <c r="A48" s="5" t="str">
        <f>HYPERLINK("#'8.1.1.1-2 Transport fuel'!A1", "8.1.1.1-2 Transport fuel")</f>
        <v>8.1.1.1-2 Transport fuel</v>
      </c>
      <c r="D48" s="15">
        <v>0</v>
      </c>
      <c r="E48" s="15">
        <v>0</v>
      </c>
      <c r="F48" s="15">
        <v>0</v>
      </c>
      <c r="G48" s="247" cm="1">
        <f t="array" ref="G48">Scope3_Equations.VEERG_15_1_1_1__1_EmissionsFromPurchasedLivestock(E48,F48,$E$39)</f>
        <v>0</v>
      </c>
      <c r="H48" s="15">
        <v>0</v>
      </c>
      <c r="I48" s="75"/>
      <c r="J48" s="247" cm="1">
        <f t="array" ref="J48">Scope3_Equations.VEERG_15_1_1_1__1_EmissionsFromPurchasedLivestock(E48,H48,IF(I48,I48,$E$39))</f>
        <v>0</v>
      </c>
      <c r="K48" s="33"/>
      <c r="L48" s="13"/>
      <c r="M48" s="33"/>
    </row>
    <row r="49" spans="1:13" ht="20.100000000000001" customHeight="1" x14ac:dyDescent="0.25">
      <c r="A49" s="5" t="str">
        <f>HYPERLINK("#'8.2.1.1-2 Stationary fuel'!A1", "8.2.1.1-2 Stationary fuel")</f>
        <v>8.2.1.1-2 Stationary fuel</v>
      </c>
      <c r="D49" s="15">
        <v>0</v>
      </c>
      <c r="E49" s="15">
        <v>0</v>
      </c>
      <c r="F49" s="15">
        <v>0</v>
      </c>
      <c r="G49" s="247" cm="1">
        <f t="array" ref="G49">Scope3_Equations.VEERG_15_1_1_1__1_EmissionsFromPurchasedLivestock(E49,F49,$E$39)</f>
        <v>0</v>
      </c>
      <c r="H49" s="15">
        <v>0</v>
      </c>
      <c r="I49" s="75"/>
      <c r="J49" s="247" cm="1">
        <f t="array" ref="J49">Scope3_Equations.VEERG_15_1_1_1__1_EmissionsFromPurchasedLivestock(E49,H49,IF(I49,I49,$E$39))</f>
        <v>0</v>
      </c>
      <c r="K49" s="33"/>
      <c r="L49" s="13"/>
      <c r="M49" s="33"/>
    </row>
    <row r="50" spans="1:13" ht="20.100000000000001" customHeight="1" x14ac:dyDescent="0.25">
      <c r="A50" s="5" t="str">
        <f>HYPERLINK("#'9.1.1.1-2 Refrigerant use'!A1", "9.1.1.1-2 Refrigerant use")</f>
        <v>9.1.1.1-2 Refrigerant use</v>
      </c>
      <c r="D50" s="15">
        <v>0</v>
      </c>
      <c r="E50" s="15">
        <v>0</v>
      </c>
      <c r="F50" s="15">
        <v>0</v>
      </c>
      <c r="G50" s="247" cm="1">
        <f t="array" ref="G50">Scope3_Equations.VEERG_15_1_1_1__1_EmissionsFromPurchasedLivestock(E50,F50,$E$39)</f>
        <v>0</v>
      </c>
      <c r="H50" s="15">
        <v>0</v>
      </c>
      <c r="I50" s="75"/>
      <c r="J50" s="247" cm="1">
        <f t="array" ref="J50">Scope3_Equations.VEERG_15_1_1_1__1_EmissionsFromPurchasedLivestock(E50,H50,IF(I50,I50,$E$39))</f>
        <v>0</v>
      </c>
      <c r="K50" s="33"/>
      <c r="L50" s="13"/>
      <c r="M50" s="33"/>
    </row>
    <row r="51" spans="1:13" ht="20.100000000000001" customHeight="1" x14ac:dyDescent="0.25">
      <c r="A51" s="5" t="str">
        <f>HYPERLINK("#'10.1.1-2 Solid waste treatment'!A1", "10.1.1.1-2 Solid waste")</f>
        <v>10.1.1.1-2 Solid waste</v>
      </c>
      <c r="D51" s="15">
        <v>0</v>
      </c>
      <c r="E51" s="15">
        <v>0</v>
      </c>
      <c r="F51" s="15">
        <v>0</v>
      </c>
      <c r="G51" s="247" cm="1">
        <f t="array" ref="G51">Scope3_Equations.VEERG_15_1_1_1__1_EmissionsFromPurchasedLivestock(E51,F51,$E$39)</f>
        <v>0</v>
      </c>
      <c r="H51" s="15">
        <v>0</v>
      </c>
      <c r="I51" s="75"/>
      <c r="J51" s="247" cm="1">
        <f t="array" ref="J51">Scope3_Equations.VEERG_15_1_1_1__1_EmissionsFromPurchasedLivestock(E51,H51,IF(I51,I51,$E$39))</f>
        <v>0</v>
      </c>
      <c r="K51" s="33"/>
      <c r="L51" s="13"/>
      <c r="M51" s="33"/>
    </row>
    <row r="52" spans="1:13" ht="20.100000000000001" customHeight="1" x14ac:dyDescent="0.25">
      <c r="A52" s="5" t="str">
        <f>HYPERLINK("#'14.1.1-2 Purchased electricity'!A1", "14.1.1-2 Purchased electricity")</f>
        <v>14.1.1-2 Purchased electricity</v>
      </c>
    </row>
    <row r="53" spans="1:13" ht="20.100000000000001" customHeight="1" x14ac:dyDescent="0.25">
      <c r="A53" s="118" t="str">
        <f>HYPERLINK("#'15 Scope 3'!A1", "15 Scope 3")</f>
        <v>15 Scope 3</v>
      </c>
      <c r="D53" s="92" t="s">
        <v>1332</v>
      </c>
      <c r="E53" s="88">
        <f>SUM(G42:G51)</f>
        <v>295.47000000000003</v>
      </c>
      <c r="F53" s="93" t="str">
        <f>$E$11</f>
        <v>t CO2e</v>
      </c>
    </row>
    <row r="54" spans="1:13" ht="20.100000000000001" customHeight="1" x14ac:dyDescent="0.25">
      <c r="A54" s="5" t="str">
        <f>HYPERLINK("#'Calcs - Manure sent off-site'!A1", "Calcs - Manure sent off-site")</f>
        <v>Calcs - Manure sent off-site</v>
      </c>
      <c r="D54" s="92" t="s">
        <v>1333</v>
      </c>
      <c r="E54" s="88">
        <f>SUM(J42:J51)</f>
        <v>415.625</v>
      </c>
      <c r="F54" s="93" t="str">
        <f>$E$11</f>
        <v>t CO2e</v>
      </c>
    </row>
    <row r="55" spans="1:13" ht="20.100000000000001" customHeight="1" x14ac:dyDescent="0.25">
      <c r="A55"/>
    </row>
    <row r="56" spans="1:13" ht="20.100000000000001" customHeight="1" x14ac:dyDescent="0.25">
      <c r="A56"/>
    </row>
    <row r="57" spans="1:13" ht="20.100000000000001" customHeight="1" x14ac:dyDescent="0.25">
      <c r="A57" s="82" t="s">
        <v>1</v>
      </c>
      <c r="D57" s="263" t="s">
        <v>1334</v>
      </c>
    </row>
    <row r="58" spans="1:13" ht="20.100000000000001" customHeight="1" x14ac:dyDescent="0.25">
      <c r="A58" s="5" t="str">
        <f>HYPERLINK("#'Constants - Dairy'!A1", "Constants - Dairy")</f>
        <v>Constants - Dairy</v>
      </c>
      <c r="D58" s="119" t="s">
        <v>1331</v>
      </c>
      <c r="E58" s="15" cm="1">
        <f t="array" ref="E58">Common_InputFunctions.Utility_LookupValueInTableNumber("Pigs", Table_SourceData_Scope3_Animals[Product],Table_SourceData_Scope3_Animals[Emissions intensity])</f>
        <v>3.38</v>
      </c>
    </row>
    <row r="59" spans="1:13" ht="20.100000000000001" customHeight="1" x14ac:dyDescent="0.25">
      <c r="A59" s="5" t="str">
        <f>HYPERLINK("#'Constants - Ag Residue'!A1", "Constants - Ag residue")</f>
        <v>Constants - Ag residue</v>
      </c>
    </row>
    <row r="60" spans="1:13" ht="20.100000000000001" customHeight="1" x14ac:dyDescent="0.25">
      <c r="A60" s="5" t="str">
        <f>HYPERLINK("#'Constants - Common Livestock'!A1", "Constants - Common Livestock")</f>
        <v>Constants - Common Livestock</v>
      </c>
      <c r="D60" s="81" t="s">
        <v>1313</v>
      </c>
      <c r="E60" s="273" t="s">
        <v>1316</v>
      </c>
      <c r="F60" s="273" t="s">
        <v>1317</v>
      </c>
      <c r="G60" s="123" t="s">
        <v>1319</v>
      </c>
      <c r="H60" s="273" t="s">
        <v>1320</v>
      </c>
      <c r="I60" s="81" t="s">
        <v>1321</v>
      </c>
      <c r="J60" s="123" t="s">
        <v>1322</v>
      </c>
      <c r="K60" s="81" t="s">
        <v>1323</v>
      </c>
      <c r="L60" s="81" t="s">
        <v>1324</v>
      </c>
      <c r="M60" s="81" t="s">
        <v>1325</v>
      </c>
    </row>
    <row r="61" spans="1:13" ht="20.100000000000001" customHeight="1" x14ac:dyDescent="0.25">
      <c r="A61" s="5" t="str">
        <f>HYPERLINK("#'Constants - Electricity'!A1", "Constants - Electricity")</f>
        <v>Constants - Electricity</v>
      </c>
      <c r="D61" s="15"/>
      <c r="E61" s="15"/>
      <c r="F61" s="15"/>
      <c r="G61" s="247" cm="1">
        <f t="array" ref="G61">Scope3_Equations.VEERG_15_1_1_1__1_EmissionsFromPurchasedLivestock(E61,F61,$E$58)</f>
        <v>0</v>
      </c>
      <c r="H61" s="15"/>
      <c r="I61" s="75">
        <v>3.38</v>
      </c>
      <c r="J61" s="247" cm="1">
        <f t="array" ref="J61">Scope3_Equations.VEERG_15_1_1_1__1_EmissionsFromPurchasedLivestock(E61,H61,IF(I61, I61,$E$58))</f>
        <v>0</v>
      </c>
      <c r="K61" s="33"/>
      <c r="L61" s="13"/>
      <c r="M61" s="259"/>
    </row>
    <row r="62" spans="1:13" ht="20.100000000000001" customHeight="1" x14ac:dyDescent="0.25">
      <c r="A62" s="5" t="str">
        <f>HYPERLINK("#'Constants - Fertiliser'!A1", "Constants - Fertiliser")</f>
        <v>Constants - Fertiliser</v>
      </c>
      <c r="D62" s="15"/>
      <c r="E62" s="15"/>
      <c r="F62" s="15"/>
      <c r="G62" s="247" cm="1">
        <f t="array" ref="G62">Scope3_Equations.VEERG_15_1_1_1__1_EmissionsFromPurchasedLivestock(E62,F62,$E$58)</f>
        <v>0</v>
      </c>
      <c r="H62" s="15"/>
      <c r="I62" s="75">
        <v>3.3</v>
      </c>
      <c r="J62" s="247" cm="1">
        <f t="array" ref="J62">Scope3_Equations.VEERG_15_1_1_1__1_EmissionsFromPurchasedLivestock(E62,H62,IF(I62, I62,$E$58))</f>
        <v>0</v>
      </c>
      <c r="K62" s="33"/>
      <c r="L62" s="13"/>
      <c r="M62" s="33"/>
    </row>
    <row r="63" spans="1:13" ht="20.100000000000001" customHeight="1" x14ac:dyDescent="0.25">
      <c r="A63" s="5" t="str">
        <f>HYPERLINK("#'Constants - Fuel'!A1", "Constants - Fuel")</f>
        <v>Constants - Fuel</v>
      </c>
      <c r="D63" s="15"/>
      <c r="E63" s="15"/>
      <c r="F63" s="15"/>
      <c r="G63" s="247" cm="1">
        <f t="array" ref="G63">Scope3_Equations.VEERG_15_1_1_1__1_EmissionsFromPurchasedLivestock(E63,F63,$E$58)</f>
        <v>0</v>
      </c>
      <c r="H63" s="15"/>
      <c r="I63" s="75"/>
      <c r="J63" s="247" cm="1">
        <f t="array" ref="J63">Scope3_Equations.VEERG_15_1_1_1__1_EmissionsFromPurchasedLivestock(E63,H63,IF(I63, I63,$E$58))</f>
        <v>0</v>
      </c>
      <c r="K63" s="33"/>
      <c r="L63" s="13"/>
      <c r="M63" s="33"/>
    </row>
    <row r="64" spans="1:13" ht="20.100000000000001" customHeight="1" x14ac:dyDescent="0.25">
      <c r="A64" s="5" t="str">
        <f>HYPERLINK("#'Constants - Scope 3'!A1", "Constants - Scope 3")</f>
        <v>Constants - Scope 3</v>
      </c>
      <c r="D64" s="15"/>
      <c r="E64" s="15"/>
      <c r="F64" s="15"/>
      <c r="G64" s="247" cm="1">
        <f t="array" ref="G64">Scope3_Equations.VEERG_15_1_1_1__1_EmissionsFromPurchasedLivestock(E64,F64,$E$58)</f>
        <v>0</v>
      </c>
      <c r="H64" s="15"/>
      <c r="I64" s="75"/>
      <c r="J64" s="247" cm="1">
        <f t="array" ref="J64">Scope3_Equations.VEERG_15_1_1_1__1_EmissionsFromPurchasedLivestock(E64,H64,IF(I64, I64,$E$58))</f>
        <v>0</v>
      </c>
      <c r="K64" s="33"/>
      <c r="L64" s="13"/>
      <c r="M64" s="33"/>
    </row>
    <row r="65" spans="1:13" ht="20.100000000000001" customHeight="1" x14ac:dyDescent="0.25">
      <c r="A65" s="5" t="str">
        <f>HYPERLINK("#'Constants - Common'!A1", "Constants - Common")</f>
        <v>Constants - Common</v>
      </c>
      <c r="D65" s="15"/>
      <c r="E65" s="15"/>
      <c r="F65" s="15"/>
      <c r="G65" s="247" cm="1">
        <f t="array" ref="G65">Scope3_Equations.VEERG_15_1_1_1__1_EmissionsFromPurchasedLivestock(E65,F65,$E$58)</f>
        <v>0</v>
      </c>
      <c r="H65" s="15"/>
      <c r="I65" s="75"/>
      <c r="J65" s="247" cm="1">
        <f t="array" ref="J65">Scope3_Equations.VEERG_15_1_1_1__1_EmissionsFromPurchasedLivestock(E65,H65,IF(I65, I65,$E$58))</f>
        <v>0</v>
      </c>
      <c r="K65" s="33"/>
      <c r="L65" s="13"/>
      <c r="M65" s="33"/>
    </row>
    <row r="66" spans="1:13" ht="20.100000000000001" customHeight="1" x14ac:dyDescent="0.25">
      <c r="A66" s="5" t="str">
        <f>HYPERLINK("#'Constants - Refrigerants'!A1", "Constants - Refrigerants")</f>
        <v>Constants - Refrigerants</v>
      </c>
      <c r="D66" s="15"/>
      <c r="E66" s="15"/>
      <c r="F66" s="15"/>
      <c r="G66" s="247" cm="1">
        <f t="array" ref="G66">Scope3_Equations.VEERG_15_1_1_1__1_EmissionsFromPurchasedLivestock(E66,F66,$E$58)</f>
        <v>0</v>
      </c>
      <c r="H66" s="15"/>
      <c r="I66" s="75"/>
      <c r="J66" s="247" cm="1">
        <f t="array" ref="J66">Scope3_Equations.VEERG_15_1_1_1__1_EmissionsFromPurchasedLivestock(E66,H66,IF(I66, I66,$E$58))</f>
        <v>0</v>
      </c>
      <c r="K66" s="33"/>
      <c r="L66" s="13"/>
      <c r="M66" s="33"/>
    </row>
    <row r="67" spans="1:13" ht="20.100000000000001" customHeight="1" x14ac:dyDescent="0.25">
      <c r="A67" s="5" t="str">
        <f>HYPERLINK("#'Constants - Solid Waste'!A1", "Constants - Solid Waste")</f>
        <v>Constants - Solid Waste</v>
      </c>
      <c r="D67" s="15"/>
      <c r="E67" s="15"/>
      <c r="F67" s="15"/>
      <c r="G67" s="247" cm="1">
        <f t="array" ref="G67">Scope3_Equations.VEERG_15_1_1_1__1_EmissionsFromPurchasedLivestock(E67,F67,$E$58)</f>
        <v>0</v>
      </c>
      <c r="H67" s="15"/>
      <c r="I67" s="75"/>
      <c r="J67" s="247" cm="1">
        <f t="array" ref="J67">Scope3_Equations.VEERG_15_1_1_1__1_EmissionsFromPurchasedLivestock(E67,H67,IF(I67, I67,$E$58))</f>
        <v>0</v>
      </c>
      <c r="K67" s="33"/>
      <c r="L67" s="13"/>
      <c r="M67" s="33"/>
    </row>
    <row r="68" spans="1:13" ht="20.100000000000001" customHeight="1" x14ac:dyDescent="0.25">
      <c r="A68" s="5" t="str">
        <f>HYPERLINK("#'Acknowledgements'!A1", "Acknowledgements")</f>
        <v>Acknowledgements</v>
      </c>
      <c r="D68" s="15"/>
      <c r="E68" s="15"/>
      <c r="F68" s="15"/>
      <c r="G68" s="247" cm="1">
        <f t="array" ref="G68">Scope3_Equations.VEERG_15_1_1_1__1_EmissionsFromPurchasedLivestock(E68,F68,$E$58)</f>
        <v>0</v>
      </c>
      <c r="H68" s="15"/>
      <c r="I68" s="75"/>
      <c r="J68" s="247" cm="1">
        <f t="array" ref="J68">Scope3_Equations.VEERG_15_1_1_1__1_EmissionsFromPurchasedLivestock(E68,H68,IF(I68, I68,$E$58))</f>
        <v>0</v>
      </c>
      <c r="K68" s="33"/>
      <c r="L68" s="13"/>
      <c r="M68" s="33"/>
    </row>
    <row r="69" spans="1:13" ht="20.100000000000001" customHeight="1" x14ac:dyDescent="0.25">
      <c r="A69"/>
      <c r="D69" s="15"/>
      <c r="E69" s="15"/>
      <c r="F69" s="15"/>
      <c r="G69" s="247" cm="1">
        <f t="array" ref="G69">Scope3_Equations.VEERG_15_1_1_1__1_EmissionsFromPurchasedLivestock(E69,F69,$E$58)</f>
        <v>0</v>
      </c>
      <c r="H69" s="15"/>
      <c r="I69" s="75"/>
      <c r="J69" s="247" cm="1">
        <f t="array" ref="J69">Scope3_Equations.VEERG_15_1_1_1__1_EmissionsFromPurchasedLivestock(E69,H69,IF(I69, I69,$E$58))</f>
        <v>0</v>
      </c>
      <c r="K69" s="33"/>
      <c r="L69" s="13"/>
      <c r="M69" s="33"/>
    </row>
    <row r="70" spans="1:13" ht="20.100000000000001" customHeight="1" x14ac:dyDescent="0.25">
      <c r="A70"/>
      <c r="D70" s="15"/>
      <c r="E70" s="15"/>
      <c r="F70" s="15"/>
      <c r="G70" s="247" cm="1">
        <f t="array" ref="G70">Scope3_Equations.VEERG_15_1_1_1__1_EmissionsFromPurchasedLivestock(E70,F70,$E$58)</f>
        <v>0</v>
      </c>
      <c r="H70" s="15"/>
      <c r="I70" s="75"/>
      <c r="J70" s="247" cm="1">
        <f t="array" ref="J70">Scope3_Equations.VEERG_15_1_1_1__1_EmissionsFromPurchasedLivestock(E70,H70,IF(I70, I70,$E$58))</f>
        <v>0</v>
      </c>
      <c r="K70" s="33"/>
      <c r="L70" s="13"/>
      <c r="M70" s="33"/>
    </row>
    <row r="71" spans="1:13" ht="20.100000000000001" customHeight="1" x14ac:dyDescent="0.25">
      <c r="A71"/>
    </row>
    <row r="72" spans="1:13" ht="20.100000000000001" customHeight="1" x14ac:dyDescent="0.25">
      <c r="A72"/>
      <c r="D72" s="92" t="s">
        <v>1335</v>
      </c>
      <c r="E72" s="88">
        <f>SUM(G61:G70)</f>
        <v>0</v>
      </c>
      <c r="F72" s="93" t="str">
        <f>$E$11</f>
        <v>t CO2e</v>
      </c>
    </row>
    <row r="73" spans="1:13" ht="20.100000000000001" customHeight="1" x14ac:dyDescent="0.25">
      <c r="A73"/>
      <c r="D73" s="92" t="s">
        <v>1336</v>
      </c>
      <c r="E73" s="88">
        <f>SUM(J61:J70)</f>
        <v>0</v>
      </c>
      <c r="F73" s="93" t="str">
        <f>$E$11</f>
        <v>t CO2e</v>
      </c>
    </row>
    <row r="74" spans="1:13" ht="20.100000000000001" customHeight="1" x14ac:dyDescent="0.25">
      <c r="A74"/>
    </row>
    <row r="75" spans="1:13" ht="20.100000000000001" customHeight="1" x14ac:dyDescent="0.25">
      <c r="A75"/>
      <c r="D75" s="263" t="s">
        <v>1337</v>
      </c>
    </row>
    <row r="76" spans="1:13" ht="20.100000000000001" customHeight="1" x14ac:dyDescent="0.25">
      <c r="A76"/>
      <c r="D76" s="119" t="s">
        <v>1331</v>
      </c>
      <c r="E76" s="15" cm="1">
        <f t="array" ref="E76">Common_InputFunctions.Utility_LookupValueInTableNumber("Chickens", Table_SourceData_Scope3_Animals[Product],Table_SourceData_Scope3_Animals[Emissions intensity])</f>
        <v>1.36</v>
      </c>
    </row>
    <row r="77" spans="1:13" ht="20.100000000000001" customHeight="1" x14ac:dyDescent="0.25">
      <c r="A77"/>
    </row>
    <row r="78" spans="1:13" ht="20.100000000000001" customHeight="1" x14ac:dyDescent="0.25">
      <c r="A78"/>
      <c r="D78" s="81" t="s">
        <v>1313</v>
      </c>
      <c r="E78" s="273" t="s">
        <v>1316</v>
      </c>
      <c r="F78" s="273" t="s">
        <v>1317</v>
      </c>
      <c r="G78" s="123" t="s">
        <v>1319</v>
      </c>
      <c r="H78" s="273" t="s">
        <v>1320</v>
      </c>
      <c r="I78" s="81" t="s">
        <v>1321</v>
      </c>
      <c r="J78" s="123" t="s">
        <v>1322</v>
      </c>
      <c r="K78" s="81" t="s">
        <v>1323</v>
      </c>
      <c r="L78" s="81" t="s">
        <v>1324</v>
      </c>
      <c r="M78" s="81" t="s">
        <v>1325</v>
      </c>
    </row>
    <row r="79" spans="1:13" ht="20.100000000000001" customHeight="1" x14ac:dyDescent="0.25">
      <c r="A79"/>
      <c r="D79" s="15"/>
      <c r="E79" s="15"/>
      <c r="F79" s="15"/>
      <c r="G79" s="247" cm="1">
        <f t="array" ref="G79">Scope3_Equations.VEERG_15_1_1_1__1_EmissionsFromPurchasedLivestock(E79,F79,$E$76)</f>
        <v>0</v>
      </c>
      <c r="H79" s="15"/>
      <c r="I79" s="75">
        <v>1.3</v>
      </c>
      <c r="J79" s="247" cm="1">
        <f t="array" ref="J79">Scope3_Equations.VEERG_15_1_1_1__1_EmissionsFromPurchasedLivestock(E79,H79,IF(I79, I79,$E$76))</f>
        <v>0</v>
      </c>
      <c r="K79" s="33"/>
      <c r="L79" s="13"/>
      <c r="M79" s="259"/>
    </row>
    <row r="80" spans="1:13" ht="20.100000000000001" customHeight="1" x14ac:dyDescent="0.25">
      <c r="A80"/>
      <c r="D80" s="15"/>
      <c r="E80" s="15"/>
      <c r="F80" s="15"/>
      <c r="G80" s="247" cm="1">
        <f t="array" ref="G80">Scope3_Equations.VEERG_15_1_1_1__1_EmissionsFromPurchasedLivestock(E80,F80,$E$76)</f>
        <v>0</v>
      </c>
      <c r="H80" s="15"/>
      <c r="I80" s="75"/>
      <c r="J80" s="247" cm="1">
        <f t="array" ref="J80">Scope3_Equations.VEERG_15_1_1_1__1_EmissionsFromPurchasedLivestock(E80,H80,IF(I80, I80,$E$76))</f>
        <v>0</v>
      </c>
      <c r="K80" s="33"/>
      <c r="L80" s="13"/>
      <c r="M80" s="33"/>
    </row>
    <row r="81" spans="1:13" ht="20.100000000000001" customHeight="1" x14ac:dyDescent="0.25">
      <c r="A81"/>
      <c r="D81" s="15"/>
      <c r="E81" s="15"/>
      <c r="F81" s="15"/>
      <c r="G81" s="247" cm="1">
        <f t="array" ref="G81">Scope3_Equations.VEERG_15_1_1_1__1_EmissionsFromPurchasedLivestock(E81,F81,$E$76)</f>
        <v>0</v>
      </c>
      <c r="H81" s="15"/>
      <c r="I81" s="75"/>
      <c r="J81" s="247" cm="1">
        <f t="array" ref="J81">Scope3_Equations.VEERG_15_1_1_1__1_EmissionsFromPurchasedLivestock(E81,H81,IF(I81, I81,$E$76))</f>
        <v>0</v>
      </c>
      <c r="K81" s="33"/>
      <c r="L81" s="13"/>
      <c r="M81" s="33"/>
    </row>
    <row r="82" spans="1:13" ht="20.100000000000001" customHeight="1" x14ac:dyDescent="0.25">
      <c r="A82"/>
      <c r="D82" s="15"/>
      <c r="E82" s="15"/>
      <c r="F82" s="15"/>
      <c r="G82" s="247" cm="1">
        <f t="array" ref="G82">Scope3_Equations.VEERG_15_1_1_1__1_EmissionsFromPurchasedLivestock(E82,F82,$E$76)</f>
        <v>0</v>
      </c>
      <c r="H82" s="15"/>
      <c r="I82" s="75"/>
      <c r="J82" s="247" cm="1">
        <f t="array" ref="J82">Scope3_Equations.VEERG_15_1_1_1__1_EmissionsFromPurchasedLivestock(E82,H82,IF(I82, I82,$E$76))</f>
        <v>0</v>
      </c>
      <c r="K82" s="33"/>
      <c r="L82" s="13"/>
      <c r="M82" s="33"/>
    </row>
    <row r="83" spans="1:13" ht="20.100000000000001" customHeight="1" x14ac:dyDescent="0.25">
      <c r="A83"/>
      <c r="D83" s="15"/>
      <c r="E83" s="15"/>
      <c r="F83" s="15"/>
      <c r="G83" s="247" cm="1">
        <f t="array" ref="G83">Scope3_Equations.VEERG_15_1_1_1__1_EmissionsFromPurchasedLivestock(E83,F83,$E$76)</f>
        <v>0</v>
      </c>
      <c r="H83" s="15"/>
      <c r="I83" s="75"/>
      <c r="J83" s="247" cm="1">
        <f t="array" ref="J83">Scope3_Equations.VEERG_15_1_1_1__1_EmissionsFromPurchasedLivestock(E83,H83,IF(I83, I83,$E$76))</f>
        <v>0</v>
      </c>
      <c r="K83" s="33"/>
      <c r="L83" s="13"/>
      <c r="M83" s="33"/>
    </row>
    <row r="84" spans="1:13" ht="20.100000000000001" customHeight="1" x14ac:dyDescent="0.25">
      <c r="A84"/>
      <c r="D84" s="15"/>
      <c r="E84" s="15"/>
      <c r="F84" s="15"/>
      <c r="G84" s="247" cm="1">
        <f t="array" ref="G84">Scope3_Equations.VEERG_15_1_1_1__1_EmissionsFromPurchasedLivestock(E84,F84,$E$76)</f>
        <v>0</v>
      </c>
      <c r="H84" s="15"/>
      <c r="I84" s="75"/>
      <c r="J84" s="247" cm="1">
        <f t="array" ref="J84">Scope3_Equations.VEERG_15_1_1_1__1_EmissionsFromPurchasedLivestock(E84,H84,IF(I84, I84,$E$76))</f>
        <v>0</v>
      </c>
      <c r="K84" s="33"/>
      <c r="L84" s="13"/>
      <c r="M84" s="33"/>
    </row>
    <row r="85" spans="1:13" ht="20.100000000000001" customHeight="1" x14ac:dyDescent="0.25">
      <c r="A85"/>
      <c r="D85" s="15"/>
      <c r="E85" s="15"/>
      <c r="F85" s="15"/>
      <c r="G85" s="247" cm="1">
        <f t="array" ref="G85">Scope3_Equations.VEERG_15_1_1_1__1_EmissionsFromPurchasedLivestock(E85,F85,$E$76)</f>
        <v>0</v>
      </c>
      <c r="H85" s="15"/>
      <c r="I85" s="75"/>
      <c r="J85" s="247" cm="1">
        <f t="array" ref="J85">Scope3_Equations.VEERG_15_1_1_1__1_EmissionsFromPurchasedLivestock(E85,H85,IF(I85, I85,$E$76))</f>
        <v>0</v>
      </c>
      <c r="K85" s="33"/>
      <c r="L85" s="13"/>
      <c r="M85" s="33"/>
    </row>
    <row r="86" spans="1:13" ht="20.100000000000001" customHeight="1" x14ac:dyDescent="0.25">
      <c r="A86"/>
      <c r="D86" s="15"/>
      <c r="E86" s="15"/>
      <c r="F86" s="15"/>
      <c r="G86" s="247" cm="1">
        <f t="array" ref="G86">Scope3_Equations.VEERG_15_1_1_1__1_EmissionsFromPurchasedLivestock(E86,F86,$E$76)</f>
        <v>0</v>
      </c>
      <c r="H86" s="15"/>
      <c r="I86" s="75"/>
      <c r="J86" s="247" cm="1">
        <f t="array" ref="J86">Scope3_Equations.VEERG_15_1_1_1__1_EmissionsFromPurchasedLivestock(E86,H86,IF(I86, I86,$E$76))</f>
        <v>0</v>
      </c>
      <c r="K86" s="33"/>
      <c r="L86" s="13"/>
      <c r="M86" s="33"/>
    </row>
    <row r="87" spans="1:13" ht="20.100000000000001" customHeight="1" x14ac:dyDescent="0.25">
      <c r="A87"/>
      <c r="D87" s="15"/>
      <c r="E87" s="15"/>
      <c r="F87" s="15"/>
      <c r="G87" s="247" cm="1">
        <f t="array" ref="G87">Scope3_Equations.VEERG_15_1_1_1__1_EmissionsFromPurchasedLivestock(E87,F87,$E$76)</f>
        <v>0</v>
      </c>
      <c r="H87" s="15"/>
      <c r="I87" s="75"/>
      <c r="J87" s="247" cm="1">
        <f t="array" ref="J87">Scope3_Equations.VEERG_15_1_1_1__1_EmissionsFromPurchasedLivestock(E87,H87,IF(I87, I87,$E$76))</f>
        <v>0</v>
      </c>
      <c r="K87" s="33"/>
      <c r="L87" s="13"/>
      <c r="M87" s="33"/>
    </row>
    <row r="88" spans="1:13" ht="20.100000000000001" customHeight="1" x14ac:dyDescent="0.25">
      <c r="A88"/>
      <c r="D88" s="15"/>
      <c r="E88" s="15"/>
      <c r="F88" s="15"/>
      <c r="G88" s="247" cm="1">
        <f t="array" ref="G88">Scope3_Equations.VEERG_15_1_1_1__1_EmissionsFromPurchasedLivestock(E88,F88,$E$76)</f>
        <v>0</v>
      </c>
      <c r="H88" s="15"/>
      <c r="I88" s="75"/>
      <c r="J88" s="247" cm="1">
        <f t="array" ref="J88">Scope3_Equations.VEERG_15_1_1_1__1_EmissionsFromPurchasedLivestock(E88,H88,IF(I88, I88,$E$76))</f>
        <v>0</v>
      </c>
      <c r="K88" s="33"/>
      <c r="L88" s="13"/>
      <c r="M88" s="33"/>
    </row>
    <row r="89" spans="1:13" ht="20.100000000000001" customHeight="1" x14ac:dyDescent="0.25">
      <c r="A89"/>
    </row>
    <row r="90" spans="1:13" ht="20.100000000000001" customHeight="1" x14ac:dyDescent="0.25">
      <c r="A90"/>
      <c r="D90" s="92" t="s">
        <v>1338</v>
      </c>
      <c r="E90" s="88">
        <f>SUM(G79:G88)</f>
        <v>0</v>
      </c>
      <c r="F90" s="93" t="str">
        <f>$E$11</f>
        <v>t CO2e</v>
      </c>
    </row>
    <row r="91" spans="1:13" ht="20.100000000000001" customHeight="1" x14ac:dyDescent="0.25">
      <c r="A91"/>
      <c r="D91" s="92" t="s">
        <v>1339</v>
      </c>
      <c r="E91" s="88">
        <f>SUM(J79:J88)</f>
        <v>0</v>
      </c>
      <c r="F91" s="93" t="str">
        <f>$E$11</f>
        <v>t CO2e</v>
      </c>
    </row>
    <row r="92" spans="1:13" ht="20.100000000000001" customHeight="1" x14ac:dyDescent="0.25">
      <c r="A92"/>
    </row>
    <row r="93" spans="1:13" ht="20.100000000000001" customHeight="1" x14ac:dyDescent="0.25">
      <c r="A93"/>
      <c r="D93" s="87" t="s">
        <v>1319</v>
      </c>
      <c r="E93" s="90">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295.47000000000003</v>
      </c>
      <c r="F93" s="89" t="str">
        <f>$E$11</f>
        <v>t CO2e</v>
      </c>
    </row>
    <row r="94" spans="1:13" ht="20.100000000000001" customHeight="1" x14ac:dyDescent="0.25">
      <c r="A94"/>
      <c r="D94" s="87" t="s">
        <v>1322</v>
      </c>
      <c r="E94" s="90">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415.625</v>
      </c>
      <c r="F94" s="89" t="str">
        <f>$E$11</f>
        <v>t CO2e</v>
      </c>
    </row>
    <row r="95" spans="1:13" ht="20.100000000000001" customHeight="1" x14ac:dyDescent="0.25">
      <c r="A95"/>
    </row>
    <row r="96" spans="1:13" ht="20.100000000000001" customHeight="1" x14ac:dyDescent="0.25">
      <c r="A96"/>
    </row>
    <row r="97" spans="1:41" ht="20.100000000000001" customHeight="1" x14ac:dyDescent="0.25">
      <c r="A97"/>
      <c r="C97" s="88"/>
      <c r="D97" s="88"/>
      <c r="E97" s="88"/>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row>
    <row r="98" spans="1:41" ht="20.100000000000001" customHeight="1" x14ac:dyDescent="0.25">
      <c r="A98"/>
      <c r="D98" s="2" t="str" cm="1">
        <f t="array" ref="D98">Scope3_Equations.VEERG_15_2_1_1__1_EmissionsFromPurchasedFeed_Title()</f>
        <v>Emissions from purchased feed</v>
      </c>
    </row>
    <row r="99" spans="1:41" ht="20.100000000000001" customHeight="1" x14ac:dyDescent="0.25">
      <c r="A99"/>
      <c r="D99" s="17" t="str" cm="1">
        <f t="array" ref="D99">Scope3_Equations.VEERG_15_2_1_1__1_EmissionsFromPurchasedFeed_Source()</f>
        <v>VEERG 2026: 15.2.1.1, Equation (1)</v>
      </c>
    </row>
    <row r="100" spans="1:41" ht="20.100000000000001" customHeight="1" x14ac:dyDescent="0.25">
      <c r="A100"/>
      <c r="D100" s="25" t="str" cm="1">
        <f t="array" ref="D100">Scope3_Equations.VEERG_15_2_1_1__1_EmissionsFromPurchasedFeed_Variation()</f>
        <v>VARIATION ON SOURCE: Input Q_j in kg instead of t to match EF units. Multiply by 10^-3 to convert kg CO2e to t CO2e.</v>
      </c>
    </row>
    <row r="101" spans="1:41" ht="20.100000000000001" customHeight="1" x14ac:dyDescent="0.25">
      <c r="A101"/>
      <c r="D101" s="117" t="s">
        <v>382</v>
      </c>
      <c r="E101" s="117" t="str" cm="1">
        <f t="array" aca="1" ref="E101" ca="1">Common_InputFunctions.Utility_DisplayFunctionName(G120)</f>
        <v>=Scope3_Equations.VEERG_15_2_1_1__1_EmissionsFromPurchasedFeedVariation</v>
      </c>
      <c r="H101" s="25"/>
    </row>
    <row r="102" spans="1:41" ht="20.100000000000001" customHeight="1" x14ac:dyDescent="0.25">
      <c r="A102"/>
    </row>
    <row r="103" spans="1:41" ht="20.100000000000001" customHeight="1" x14ac:dyDescent="0.25">
      <c r="A103"/>
      <c r="H103" s="117"/>
    </row>
    <row r="104" spans="1:41" ht="20.100000000000001" customHeight="1" x14ac:dyDescent="0.25">
      <c r="A104"/>
      <c r="D104" s="76" t="s">
        <v>383</v>
      </c>
      <c r="E104" s="1" t="str" cm="1">
        <f t="array" ref="E104">Scope3_Equations.VEERG_15_2_1_1__1_EmissionsFromPurchasedFeed_Variable()</f>
        <v>E</v>
      </c>
    </row>
    <row r="105" spans="1:41" ht="20.100000000000001" customHeight="1" x14ac:dyDescent="0.25">
      <c r="A105"/>
      <c r="D105" s="76" t="s">
        <v>118</v>
      </c>
      <c r="E105" s="9" t="str" cm="1">
        <f t="array" ref="E105">Scope3_Equations.VEERG_15_2_1_1__1_EmissionsFromPurchasedFeed_Unit()</f>
        <v>t CO2e</v>
      </c>
    </row>
    <row r="106" spans="1:41" ht="20.100000000000001" customHeight="1" x14ac:dyDescent="0.25">
      <c r="A106"/>
    </row>
    <row r="107" spans="1:41" ht="20.100000000000001" customHeight="1" x14ac:dyDescent="0.25">
      <c r="A107"/>
      <c r="D107" s="119" t="str" cm="1">
        <f t="array" ref="D107:E109">_xlfn.CHOOSECOLS(Scope3_Equations.VEERG_15_2_1_1__1_EmissionsFromPurchasedFeed_ArgumentsVariation(),1,2)</f>
        <v>Q_j</v>
      </c>
      <c r="E107" s="124" t="str">
        <v>quantity of feed type j purchased</v>
      </c>
      <c r="F107" s="125"/>
      <c r="G107" s="119" t="str" cm="1">
        <f t="array" ref="G107:H109">_xlfn.CHOOSECOLS(Scope3_Equations.VEERG_15_2_1_1__1_EmissionsFromPurchasedFeed_ArgumentsVariation(),3,4)</f>
        <v>kg</v>
      </c>
      <c r="H107" s="272" t="str">
        <v>Input</v>
      </c>
    </row>
    <row r="108" spans="1:41" ht="20.100000000000001" customHeight="1" x14ac:dyDescent="0.25">
      <c r="A108"/>
      <c r="D108" s="119" t="str">
        <v>EF_j</v>
      </c>
      <c r="E108" s="124" t="str">
        <v>emission factor of purchased feed</v>
      </c>
      <c r="F108" s="125"/>
      <c r="G108" s="119" t="str">
        <v>kg CO2e/kg</v>
      </c>
      <c r="H108" s="127" t="str">
        <v>Constant</v>
      </c>
    </row>
    <row r="109" spans="1:41" ht="20.100000000000001" customHeight="1" x14ac:dyDescent="0.25">
      <c r="A109"/>
      <c r="D109" s="119" t="str">
        <v>j</v>
      </c>
      <c r="E109" s="124" t="str">
        <v>feed type</v>
      </c>
      <c r="F109" s="125"/>
      <c r="G109" s="119" t="str">
        <v/>
      </c>
      <c r="H109" s="272" t="str">
        <v>Input</v>
      </c>
    </row>
    <row r="110" spans="1:41" ht="20.100000000000001" customHeight="1" x14ac:dyDescent="0.25">
      <c r="A110"/>
    </row>
    <row r="111" spans="1:41" ht="20.100000000000001" customHeight="1" x14ac:dyDescent="0.25">
      <c r="A111"/>
      <c r="D111" s="263" t="s">
        <v>1340</v>
      </c>
    </row>
    <row r="112" spans="1:41" ht="20.100000000000001" customHeight="1" x14ac:dyDescent="0.25">
      <c r="A112"/>
    </row>
    <row r="113" spans="1:28" ht="20.100000000000001" customHeight="1" x14ac:dyDescent="0.25">
      <c r="A113"/>
      <c r="D113" s="139" t="s">
        <v>1341</v>
      </c>
      <c r="E113" s="44"/>
      <c r="F113" s="139"/>
      <c r="G113" s="43"/>
      <c r="H113" s="44"/>
    </row>
    <row r="114" spans="1:28" ht="20.100000000000001" customHeight="1" x14ac:dyDescent="0.25">
      <c r="A114"/>
      <c r="D114" s="169" t="s">
        <v>1342</v>
      </c>
      <c r="E114" s="171"/>
      <c r="F114" s="169"/>
      <c r="G114" s="170"/>
      <c r="H114" s="171"/>
    </row>
    <row r="115" spans="1:28" ht="20.100000000000001" customHeight="1" x14ac:dyDescent="0.25">
      <c r="A115"/>
      <c r="D115" s="45" t="s">
        <v>1343</v>
      </c>
      <c r="E115" s="47"/>
      <c r="F115" s="45"/>
      <c r="G115" s="46"/>
      <c r="H115" s="47"/>
    </row>
    <row r="116" spans="1:28" ht="20.100000000000001" customHeight="1" x14ac:dyDescent="0.25">
      <c r="A116"/>
    </row>
    <row r="117" spans="1:28" ht="20.100000000000001" customHeight="1" x14ac:dyDescent="0.25">
      <c r="A117"/>
      <c r="D117" s="35" t="s">
        <v>1344</v>
      </c>
      <c r="E117" s="37"/>
      <c r="F117" s="38"/>
    </row>
    <row r="118" spans="1:28" ht="20.100000000000001" customHeight="1" x14ac:dyDescent="0.25">
      <c r="A118"/>
    </row>
    <row r="119" spans="1:28" ht="20.100000000000001" customHeight="1" x14ac:dyDescent="0.25">
      <c r="A119"/>
      <c r="D119" s="81" t="s">
        <v>1345</v>
      </c>
      <c r="E119" s="81" t="s">
        <v>1346</v>
      </c>
      <c r="F119" s="123" t="s">
        <v>1347</v>
      </c>
      <c r="G119" s="123" t="s">
        <v>1319</v>
      </c>
      <c r="H119" s="81" t="s">
        <v>1348</v>
      </c>
      <c r="I119" s="123" t="s">
        <v>1322</v>
      </c>
      <c r="J119" s="81" t="s">
        <v>1323</v>
      </c>
      <c r="K119" s="81" t="s">
        <v>1324</v>
      </c>
      <c r="L119" s="81" t="s">
        <v>1325</v>
      </c>
      <c r="M119" s="123" t="s">
        <v>680</v>
      </c>
      <c r="N119" s="123" t="s">
        <v>1349</v>
      </c>
      <c r="O119" s="123" t="s">
        <v>681</v>
      </c>
      <c r="P119" s="123" t="s">
        <v>1350</v>
      </c>
      <c r="Q119" s="123" t="s">
        <v>682</v>
      </c>
      <c r="R119" s="123" t="s">
        <v>1351</v>
      </c>
      <c r="S119" s="123" t="s">
        <v>683</v>
      </c>
      <c r="T119" s="123" t="s">
        <v>1352</v>
      </c>
      <c r="U119" s="123" t="s">
        <v>684</v>
      </c>
      <c r="V119" s="123" t="s">
        <v>1353</v>
      </c>
      <c r="W119" s="123" t="s">
        <v>685</v>
      </c>
      <c r="X119" s="123" t="s">
        <v>1354</v>
      </c>
      <c r="Y119" s="123" t="s">
        <v>686</v>
      </c>
      <c r="Z119" s="123" t="s">
        <v>1355</v>
      </c>
      <c r="AA119" s="123" t="s">
        <v>687</v>
      </c>
      <c r="AB119" s="123" t="s">
        <v>1356</v>
      </c>
    </row>
    <row r="120" spans="1:28" ht="20.100000000000001" customHeight="1" x14ac:dyDescent="0.25">
      <c r="A120"/>
      <c r="D120" s="15" cm="1">
        <f t="array" ref="D120:D129">IFERROR(INDEX(Table_Input_FeedBlends[Feed blend name], _xlfn.SEQUENCE(10)), "")</f>
        <v>0</v>
      </c>
      <c r="E120" s="15" cm="1">
        <f t="array" ref="E120:E129">IFERROR(INDEX(Table_Input_FeedBlends[Amount fed (kg)], _xlfn.SEQUENCE(10)), "")</f>
        <v>1200</v>
      </c>
      <c r="F120" s="15">
        <f t="shared" ref="F120:F129" si="0">IFERROR((O120*P120)+(S120*T120)+(W120*X120)+(AA120*AB120), 0)</f>
        <v>0.16272999999999999</v>
      </c>
      <c r="G120" s="247" cm="1">
        <f t="array" ref="G120">Scope3_Equations.VEERG_15_2_1_1__1_EmissionsFromPurchasedFeedVariation(E120,F120)</f>
        <v>0.19527599999999998</v>
      </c>
      <c r="H120" s="75">
        <v>0.04</v>
      </c>
      <c r="I120" s="247" cm="1">
        <f t="array" ref="I120">Scope3_Equations.VEERG_15_2_1_1__1_EmissionsFromPurchasedFeedVariation(E120,IF(H120,H120, F120))</f>
        <v>4.8000000000000001E-2</v>
      </c>
      <c r="J120" s="33"/>
      <c r="K120" s="13"/>
      <c r="L120" s="259"/>
      <c r="M120" s="15" t="str" cm="1">
        <f t="array" ref="M120:M129">IFERROR(INDEX(Table_Input_FeedBlends[Ingredient 1 (select)], _xlfn.SEQUENCE(10)), "")</f>
        <v>Cereal silage</v>
      </c>
      <c r="N120" s="15" t="str" cm="1">
        <f t="array" ref="N120:N129">IFERROR(INDEX(Table_Input_FeedBlends[Ingredient 1 source region], _xlfn.SEQUENCE(10)), "")</f>
        <v>SA</v>
      </c>
      <c r="O120" s="15" cm="1">
        <f t="array" ref="O120:O129">IFERROR(INDEX(Table_Input_FeedBlends[Ingredient 1 percent], _xlfn.SEQUENCE(10)), "")</f>
        <v>0.35</v>
      </c>
      <c r="P120" s="15" cm="1">
        <f t="array" ref="P120">_xlfn.LET(_xlpm.result, Common_InputFunctions.Utility_LookupValueInTableTwoColumns(M120, N120, Table_SourceData_Scope3_Feed[Product], Table_SourceData_Scope3_Feed[Region of origin], Table_SourceData_Scope3_Feed[Emissions intensity]), IF(_xlpm.result="", 0, _xlpm.result))</f>
        <v>7.0599999999999996E-2</v>
      </c>
      <c r="Q120" s="15" t="str" cm="1">
        <f t="array" ref="Q120:Q129">IFERROR(INDEX(Table_Input_FeedBlends[Ingredient 2 (select)], _xlfn.SEQUENCE(10)), "")</f>
        <v>Cereal hay</v>
      </c>
      <c r="R120" s="15" t="str" cm="1">
        <f t="array" ref="R120:R129">IFERROR(INDEX(Table_Input_FeedBlends[Ingredient 2 source region], _xlfn.SEQUENCE(10)), "")</f>
        <v>SA</v>
      </c>
      <c r="S120" s="15" cm="1">
        <f t="array" ref="S120:S129">IFERROR(INDEX(Table_Input_FeedBlends[Ingredient 2 percent], _xlfn.SEQUENCE(10)), "")</f>
        <v>0.22</v>
      </c>
      <c r="T120" s="15" cm="1">
        <f t="array" ref="T120">_xlfn.LET(_xlpm.result, Common_InputFunctions.Utility_LookupValueInTableTwoColumns(Q120, R120, Table_SourceData_Scope3_Feed[Product], Table_SourceData_Scope3_Feed[Region of origin], Table_SourceData_Scope3_Feed[Emissions intensity]), IF(_xlpm.result="", 0, _xlpm.result))</f>
        <v>0.111</v>
      </c>
      <c r="U120" s="15" t="str" cm="1">
        <f t="array" ref="U120:U129">IFERROR(INDEX(Table_Input_FeedBlends[Ingredient 3 (select)], _xlfn.SEQUENCE(10)), "")</f>
        <v>Canola oil</v>
      </c>
      <c r="V120" s="15" t="str" cm="1">
        <f t="array" ref="V120:V129">IFERROR(INDEX(Table_Input_FeedBlends[Ingredient 3 source region], _xlfn.SEQUENCE(10)), "")</f>
        <v>Australia</v>
      </c>
      <c r="W120" s="15" cm="1">
        <f t="array" ref="W120:W129">IFERROR(INDEX(Table_Input_FeedBlends[Ingredient 3 percent], _xlfn.SEQUENCE(10)), "")</f>
        <v>0.12</v>
      </c>
      <c r="X120" s="15" cm="1">
        <f t="array" ref="X120">_xlfn.LET(_xlpm.result, Common_InputFunctions.Utility_LookupValueInTableTwoColumns(U120, V120, Table_SourceData_Scope3_Feed[Product], Table_SourceData_Scope3_Feed[Region of origin], Table_SourceData_Scope3_Feed[Emissions intensity]), IF(_xlpm.result="", 0, _xlpm.result))</f>
        <v>0.87</v>
      </c>
      <c r="Y120" s="15" t="str" cm="1">
        <f t="array" ref="Y120:Y129">IFERROR(INDEX(Table_Input_FeedBlends[Ingredient 4 (select)], _xlfn.SEQUENCE(10)), "")</f>
        <v>Molasses</v>
      </c>
      <c r="Z120" s="15" t="str" cm="1">
        <f t="array" ref="Z120:Z129">IFERROR(INDEX(Table_Input_FeedBlends[Ingredient 4 source region], _xlfn.SEQUENCE(10)), "")</f>
        <v>QLD</v>
      </c>
      <c r="AA120" s="15" cm="1">
        <f t="array" ref="AA120:AA129">IFERROR(INDEX(Table_Input_FeedBlends[Ingredient 4 percent], _xlfn.SEQUENCE(10)), "")</f>
        <v>0.05</v>
      </c>
      <c r="AB120" s="15" cm="1">
        <f t="array" ref="AB120">_xlfn.LET(_xlpm.result, Common_InputFunctions.Utility_LookupValueInTableTwoColumns(Y120, Z120, Table_SourceData_Scope3_Feed[Product], Table_SourceData_Scope3_Feed[Region of origin], Table_SourceData_Scope3_Feed[Emissions intensity]), IF(_xlpm.result="", 0, _xlpm.result))</f>
        <v>0.184</v>
      </c>
    </row>
    <row r="121" spans="1:28" ht="20.100000000000001" customHeight="1" x14ac:dyDescent="0.25">
      <c r="A121"/>
      <c r="D121" s="15">
        <v>0</v>
      </c>
      <c r="E121" s="15">
        <v>3456</v>
      </c>
      <c r="F121" s="15">
        <f t="shared" si="0"/>
        <v>4.6000000000000006E-2</v>
      </c>
      <c r="G121" s="247" cm="1">
        <f t="array" ref="G121">Scope3_Equations.VEERG_15_2_1_1__1_EmissionsFromPurchasedFeedVariation(E121,F121)</f>
        <v>0.15897600000000003</v>
      </c>
      <c r="H121" s="75">
        <v>0.03</v>
      </c>
      <c r="I121" s="247" cm="1">
        <f t="array" ref="I121">Scope3_Equations.VEERG_15_2_1_1__1_EmissionsFromPurchasedFeedVariation(E121,IF(H121,H121, F121))</f>
        <v>0.10367999999999999</v>
      </c>
      <c r="J121" s="33"/>
      <c r="K121" s="13"/>
      <c r="L121" s="33"/>
      <c r="M121" s="15" t="str">
        <v>Lucerne hay</v>
      </c>
      <c r="N121" s="15" t="str">
        <v>Australia</v>
      </c>
      <c r="O121" s="15">
        <v>0.2</v>
      </c>
      <c r="P121" s="15" cm="1">
        <f t="array" ref="P121">_xlfn.LET(_xlpm.result, Common_InputFunctions.Utility_LookupValueInTableTwoColumns(M121, N121, Table_SourceData_Scope3_Feed[Product], Table_SourceData_Scope3_Feed[Region of origin], Table_SourceData_Scope3_Feed[Emissions intensity]), IF(_xlpm.result="", 0, _xlpm.result))</f>
        <v>0.11700000000000001</v>
      </c>
      <c r="Q121" s="15" t="str">
        <v>Lucerne hay</v>
      </c>
      <c r="R121" s="15" t="str">
        <v>NSW</v>
      </c>
      <c r="S121" s="15">
        <v>0.2</v>
      </c>
      <c r="T121" s="15" cm="1">
        <f t="array" ref="T121">_xlfn.LET(_xlpm.result, Common_InputFunctions.Utility_LookupValueInTableTwoColumns(Q121, R121, Table_SourceData_Scope3_Feed[Product], Table_SourceData_Scope3_Feed[Region of origin], Table_SourceData_Scope3_Feed[Emissions intensity]), IF(_xlpm.result="", 0, _xlpm.result))</f>
        <v>0.113</v>
      </c>
      <c r="U121" s="15">
        <v>0</v>
      </c>
      <c r="V121" s="15">
        <v>0</v>
      </c>
      <c r="W121" s="15">
        <v>0</v>
      </c>
      <c r="X121" s="15"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15">
        <v>0</v>
      </c>
      <c r="Z121" s="15">
        <v>0</v>
      </c>
      <c r="AA121" s="15">
        <v>0</v>
      </c>
      <c r="AB121" s="15"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1:28" ht="20.100000000000001" customHeight="1" x14ac:dyDescent="0.25">
      <c r="A122"/>
      <c r="D122" s="15" t="str">
        <v>Hay bales in paddock</v>
      </c>
      <c r="E122" s="15">
        <v>300</v>
      </c>
      <c r="F122" s="15">
        <f t="shared" si="0"/>
        <v>0.27800000000000002</v>
      </c>
      <c r="G122" s="247" cm="1">
        <f t="array" ref="G122">Scope3_Equations.VEERG_15_2_1_1__1_EmissionsFromPurchasedFeedVariation(E122,F122)</f>
        <v>8.3400000000000002E-2</v>
      </c>
      <c r="H122" s="75">
        <v>0.14000000000000001</v>
      </c>
      <c r="I122" s="247" cm="1">
        <f t="array" ref="I122">Scope3_Equations.VEERG_15_2_1_1__1_EmissionsFromPurchasedFeedVariation(E122,IF(H122,H122, F122))</f>
        <v>4.200000000000001E-2</v>
      </c>
      <c r="J122" s="33"/>
      <c r="K122" s="13"/>
      <c r="L122" s="33"/>
      <c r="M122" s="15" t="str">
        <v>Wheat grain</v>
      </c>
      <c r="N122" s="15" t="str">
        <v>SA</v>
      </c>
      <c r="O122" s="15">
        <v>0.8</v>
      </c>
      <c r="P122" s="15" cm="1">
        <f t="array" ref="P122">_xlfn.LET(_xlpm.result, Common_InputFunctions.Utility_LookupValueInTableTwoColumns(M122, N122, Table_SourceData_Scope3_Feed[Product], Table_SourceData_Scope3_Feed[Region of origin], Table_SourceData_Scope3_Feed[Emissions intensity]), IF(_xlpm.result="", 0, _xlpm.result))</f>
        <v>0.24099999999999999</v>
      </c>
      <c r="Q122" s="15" t="str">
        <v>Soybean meal</v>
      </c>
      <c r="R122" s="15" t="str">
        <v>Brazil</v>
      </c>
      <c r="S122" s="15">
        <v>0.2</v>
      </c>
      <c r="T122" s="15" cm="1">
        <f t="array" ref="T122">_xlfn.LET(_xlpm.result, Common_InputFunctions.Utility_LookupValueInTableTwoColumns(Q122, R122, Table_SourceData_Scope3_Feed[Product], Table_SourceData_Scope3_Feed[Region of origin], Table_SourceData_Scope3_Feed[Emissions intensity]), IF(_xlpm.result="", 0, _xlpm.result))</f>
        <v>0.42599999999999999</v>
      </c>
      <c r="U122" s="15">
        <v>0</v>
      </c>
      <c r="V122" s="15">
        <v>0</v>
      </c>
      <c r="W122" s="15">
        <v>0</v>
      </c>
      <c r="X122" s="15"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15">
        <v>0</v>
      </c>
      <c r="Z122" s="15">
        <v>0</v>
      </c>
      <c r="AA122" s="15">
        <v>0</v>
      </c>
      <c r="AB122" s="15"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1:28" ht="20.100000000000001" customHeight="1" x14ac:dyDescent="0.25">
      <c r="A123"/>
      <c r="D123" s="15">
        <v>0</v>
      </c>
      <c r="E123" s="15">
        <v>500</v>
      </c>
      <c r="F123" s="15">
        <f t="shared" si="0"/>
        <v>0.34499999999999997</v>
      </c>
      <c r="G123" s="247" cm="1">
        <f t="array" ref="G123">Scope3_Equations.VEERG_15_2_1_1__1_EmissionsFromPurchasedFeedVariation(E123,F123)</f>
        <v>0.17250000000000001</v>
      </c>
      <c r="H123" s="75"/>
      <c r="I123" s="247" cm="1">
        <f t="array" ref="I123">Scope3_Equations.VEERG_15_2_1_1__1_EmissionsFromPurchasedFeedVariation(E123,IF(H123,H123, F123))</f>
        <v>0.17250000000000001</v>
      </c>
      <c r="J123" s="33"/>
      <c r="K123" s="13"/>
      <c r="L123" s="33"/>
      <c r="M123" s="15" t="str">
        <v>Pasture hay</v>
      </c>
      <c r="N123" s="15" t="str">
        <v>VIC</v>
      </c>
      <c r="O123" s="15">
        <v>1</v>
      </c>
      <c r="P123" s="15" cm="1">
        <f t="array" ref="P123">_xlfn.LET(_xlpm.result, Common_InputFunctions.Utility_LookupValueInTableTwoColumns(M123, N123, Table_SourceData_Scope3_Feed[Product], Table_SourceData_Scope3_Feed[Region of origin], Table_SourceData_Scope3_Feed[Emissions intensity]), IF(_xlpm.result="", 0, _xlpm.result))</f>
        <v>0.34499999999999997</v>
      </c>
      <c r="Q123" s="15">
        <v>0</v>
      </c>
      <c r="R123" s="15">
        <v>0</v>
      </c>
      <c r="S123" s="15">
        <v>0</v>
      </c>
      <c r="T123" s="15"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15">
        <v>0</v>
      </c>
      <c r="V123" s="15">
        <v>0</v>
      </c>
      <c r="W123" s="15">
        <v>0</v>
      </c>
      <c r="X123" s="15"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15">
        <v>0</v>
      </c>
      <c r="Z123" s="15">
        <v>0</v>
      </c>
      <c r="AA123" s="15">
        <v>0</v>
      </c>
      <c r="AB123" s="15"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1:28" ht="20.100000000000001" customHeight="1" x14ac:dyDescent="0.25">
      <c r="A124"/>
      <c r="D124" s="15">
        <v>0</v>
      </c>
      <c r="E124" s="15">
        <v>0</v>
      </c>
      <c r="F124" s="15">
        <f t="shared" si="0"/>
        <v>0</v>
      </c>
      <c r="G124" s="247" cm="1">
        <f t="array" ref="G124">Scope3_Equations.VEERG_15_2_1_1__1_EmissionsFromPurchasedFeedVariation(E124,F124)</f>
        <v>0</v>
      </c>
      <c r="H124" s="75"/>
      <c r="I124" s="247" cm="1">
        <f t="array" ref="I124">Scope3_Equations.VEERG_15_2_1_1__1_EmissionsFromPurchasedFeedVariation(E124,IF(H124,H124, F124))</f>
        <v>0</v>
      </c>
      <c r="J124" s="33"/>
      <c r="K124" s="13"/>
      <c r="L124" s="33"/>
      <c r="M124" s="15">
        <v>0</v>
      </c>
      <c r="N124" s="15">
        <v>0</v>
      </c>
      <c r="O124" s="15">
        <v>0</v>
      </c>
      <c r="P124" s="15"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15">
        <v>0</v>
      </c>
      <c r="R124" s="15">
        <v>0</v>
      </c>
      <c r="S124" s="15">
        <v>0</v>
      </c>
      <c r="T124" s="15"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15">
        <v>0</v>
      </c>
      <c r="V124" s="15">
        <v>0</v>
      </c>
      <c r="W124" s="15">
        <v>0</v>
      </c>
      <c r="X124" s="15"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15">
        <v>0</v>
      </c>
      <c r="Z124" s="15">
        <v>0</v>
      </c>
      <c r="AA124" s="15">
        <v>0</v>
      </c>
      <c r="AB124" s="15"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1:28" ht="20.100000000000001" customHeight="1" x14ac:dyDescent="0.25">
      <c r="A125"/>
      <c r="D125" s="15">
        <v>0</v>
      </c>
      <c r="E125" s="15">
        <v>0</v>
      </c>
      <c r="F125" s="15">
        <f t="shared" si="0"/>
        <v>0</v>
      </c>
      <c r="G125" s="247" cm="1">
        <f t="array" ref="G125">Scope3_Equations.VEERG_15_2_1_1__1_EmissionsFromPurchasedFeedVariation(E125,F125)</f>
        <v>0</v>
      </c>
      <c r="H125" s="75"/>
      <c r="I125" s="247" cm="1">
        <f t="array" ref="I125">Scope3_Equations.VEERG_15_2_1_1__1_EmissionsFromPurchasedFeedVariation(E125,IF(H125,H125, F125))</f>
        <v>0</v>
      </c>
      <c r="J125" s="33"/>
      <c r="K125" s="13"/>
      <c r="L125" s="33"/>
      <c r="M125" s="15">
        <v>0</v>
      </c>
      <c r="N125" s="15">
        <v>0</v>
      </c>
      <c r="O125" s="15">
        <v>0</v>
      </c>
      <c r="P125" s="15"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15">
        <v>0</v>
      </c>
      <c r="R125" s="15">
        <v>0</v>
      </c>
      <c r="S125" s="15">
        <v>0</v>
      </c>
      <c r="T125" s="15"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15">
        <v>0</v>
      </c>
      <c r="V125" s="15">
        <v>0</v>
      </c>
      <c r="W125" s="15">
        <v>0</v>
      </c>
      <c r="X125" s="15"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15">
        <v>0</v>
      </c>
      <c r="Z125" s="15">
        <v>0</v>
      </c>
      <c r="AA125" s="15">
        <v>0</v>
      </c>
      <c r="AB125" s="15"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1:28" ht="20.100000000000001" customHeight="1" x14ac:dyDescent="0.25">
      <c r="A126"/>
      <c r="D126" s="15">
        <v>0</v>
      </c>
      <c r="E126" s="15">
        <v>0</v>
      </c>
      <c r="F126" s="15">
        <f t="shared" si="0"/>
        <v>0</v>
      </c>
      <c r="G126" s="247" cm="1">
        <f t="array" ref="G126">Scope3_Equations.VEERG_15_2_1_1__1_EmissionsFromPurchasedFeedVariation(E126,F126)</f>
        <v>0</v>
      </c>
      <c r="H126" s="75"/>
      <c r="I126" s="247" cm="1">
        <f t="array" ref="I126">Scope3_Equations.VEERG_15_2_1_1__1_EmissionsFromPurchasedFeedVariation(E126,IF(H126,H126, F126))</f>
        <v>0</v>
      </c>
      <c r="J126" s="33"/>
      <c r="K126" s="13"/>
      <c r="L126" s="33"/>
      <c r="M126" s="15">
        <v>0</v>
      </c>
      <c r="N126" s="15">
        <v>0</v>
      </c>
      <c r="O126" s="15">
        <v>0</v>
      </c>
      <c r="P126" s="15"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15">
        <v>0</v>
      </c>
      <c r="R126" s="15">
        <v>0</v>
      </c>
      <c r="S126" s="15">
        <v>0</v>
      </c>
      <c r="T126" s="15"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15">
        <v>0</v>
      </c>
      <c r="V126" s="15">
        <v>0</v>
      </c>
      <c r="W126" s="15">
        <v>0</v>
      </c>
      <c r="X126" s="15"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15">
        <v>0</v>
      </c>
      <c r="Z126" s="15">
        <v>0</v>
      </c>
      <c r="AA126" s="15">
        <v>0</v>
      </c>
      <c r="AB126" s="15"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1:28" ht="20.100000000000001" customHeight="1" x14ac:dyDescent="0.25">
      <c r="A127"/>
      <c r="D127" s="15">
        <v>0</v>
      </c>
      <c r="E127" s="15">
        <v>0</v>
      </c>
      <c r="F127" s="15">
        <f t="shared" si="0"/>
        <v>0</v>
      </c>
      <c r="G127" s="247" cm="1">
        <f t="array" ref="G127">Scope3_Equations.VEERG_15_2_1_1__1_EmissionsFromPurchasedFeedVariation(E127,F127)</f>
        <v>0</v>
      </c>
      <c r="H127" s="75"/>
      <c r="I127" s="247" cm="1">
        <f t="array" ref="I127">Scope3_Equations.VEERG_15_2_1_1__1_EmissionsFromPurchasedFeedVariation(E127,IF(H127,H127, F127))</f>
        <v>0</v>
      </c>
      <c r="J127" s="33"/>
      <c r="K127" s="13"/>
      <c r="L127" s="33"/>
      <c r="M127" s="15">
        <v>0</v>
      </c>
      <c r="N127" s="15">
        <v>0</v>
      </c>
      <c r="O127" s="15">
        <v>0</v>
      </c>
      <c r="P127" s="15"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15">
        <v>0</v>
      </c>
      <c r="R127" s="15">
        <v>0</v>
      </c>
      <c r="S127" s="15">
        <v>0</v>
      </c>
      <c r="T127" s="15"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15">
        <v>0</v>
      </c>
      <c r="V127" s="15">
        <v>0</v>
      </c>
      <c r="W127" s="15">
        <v>0</v>
      </c>
      <c r="X127" s="15"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15">
        <v>0</v>
      </c>
      <c r="Z127" s="15">
        <v>0</v>
      </c>
      <c r="AA127" s="15">
        <v>0</v>
      </c>
      <c r="AB127" s="15"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1:28" ht="20.100000000000001" customHeight="1" x14ac:dyDescent="0.25">
      <c r="A128"/>
      <c r="D128" s="15">
        <v>0</v>
      </c>
      <c r="E128" s="15">
        <v>0</v>
      </c>
      <c r="F128" s="15">
        <f t="shared" si="0"/>
        <v>0</v>
      </c>
      <c r="G128" s="247" cm="1">
        <f t="array" ref="G128">Scope3_Equations.VEERG_15_2_1_1__1_EmissionsFromPurchasedFeedVariation(E128,F128)</f>
        <v>0</v>
      </c>
      <c r="H128" s="75"/>
      <c r="I128" s="247" cm="1">
        <f t="array" ref="I128">Scope3_Equations.VEERG_15_2_1_1__1_EmissionsFromPurchasedFeedVariation(E128,IF(H128,H128, F128))</f>
        <v>0</v>
      </c>
      <c r="J128" s="33"/>
      <c r="K128" s="13"/>
      <c r="L128" s="33"/>
      <c r="M128" s="15">
        <v>0</v>
      </c>
      <c r="N128" s="15">
        <v>0</v>
      </c>
      <c r="O128" s="15">
        <v>0</v>
      </c>
      <c r="P128" s="15"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15">
        <v>0</v>
      </c>
      <c r="R128" s="15">
        <v>0</v>
      </c>
      <c r="S128" s="15">
        <v>0</v>
      </c>
      <c r="T128" s="15"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15">
        <v>0</v>
      </c>
      <c r="V128" s="15">
        <v>0</v>
      </c>
      <c r="W128" s="15">
        <v>0</v>
      </c>
      <c r="X128" s="15"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15">
        <v>0</v>
      </c>
      <c r="Z128" s="15">
        <v>0</v>
      </c>
      <c r="AA128" s="15">
        <v>0</v>
      </c>
      <c r="AB128" s="15"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1:28" ht="20.100000000000001" customHeight="1" x14ac:dyDescent="0.25">
      <c r="A129"/>
      <c r="D129" s="15">
        <v>0</v>
      </c>
      <c r="E129" s="15">
        <v>0</v>
      </c>
      <c r="F129" s="15">
        <f t="shared" si="0"/>
        <v>0</v>
      </c>
      <c r="G129" s="247" cm="1">
        <f t="array" ref="G129">Scope3_Equations.VEERG_15_2_1_1__1_EmissionsFromPurchasedFeedVariation(E129,F129)</f>
        <v>0</v>
      </c>
      <c r="H129" s="75"/>
      <c r="I129" s="247" cm="1">
        <f t="array" ref="I129">Scope3_Equations.VEERG_15_2_1_1__1_EmissionsFromPurchasedFeedVariation(E129,IF(H129,H129, F129))</f>
        <v>0</v>
      </c>
      <c r="J129" s="33"/>
      <c r="K129" s="13"/>
      <c r="L129" s="33"/>
      <c r="M129" s="15">
        <v>0</v>
      </c>
      <c r="N129" s="15">
        <v>0</v>
      </c>
      <c r="O129" s="15">
        <v>0</v>
      </c>
      <c r="P129" s="15"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15">
        <v>0</v>
      </c>
      <c r="R129" s="15">
        <v>0</v>
      </c>
      <c r="S129" s="15">
        <v>0</v>
      </c>
      <c r="T129" s="15"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15">
        <v>0</v>
      </c>
      <c r="V129" s="15">
        <v>0</v>
      </c>
      <c r="W129" s="15">
        <v>0</v>
      </c>
      <c r="X129" s="15"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15">
        <v>0</v>
      </c>
      <c r="Z129" s="15">
        <v>0</v>
      </c>
      <c r="AA129" s="15">
        <v>0</v>
      </c>
      <c r="AB129" s="15"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0" spans="1:28" ht="20.100000000000001" customHeight="1" x14ac:dyDescent="0.25">
      <c r="A130"/>
    </row>
    <row r="131" spans="1:28" ht="20.100000000000001" customHeight="1" x14ac:dyDescent="0.25">
      <c r="A131"/>
      <c r="D131" s="92" t="s">
        <v>1319</v>
      </c>
      <c r="E131" s="88">
        <f>SUM(G120:G129)</f>
        <v>0.61015200000000003</v>
      </c>
      <c r="F131" s="93" t="str">
        <f>$E$105</f>
        <v>t CO2e</v>
      </c>
    </row>
    <row r="132" spans="1:28" ht="20.100000000000001" customHeight="1" x14ac:dyDescent="0.25">
      <c r="A132"/>
      <c r="D132" s="92" t="s">
        <v>1322</v>
      </c>
      <c r="E132" s="88">
        <f>SUM(I120:I129)</f>
        <v>0.36618000000000001</v>
      </c>
      <c r="F132" s="93" t="str">
        <f>$E$105</f>
        <v>t CO2e</v>
      </c>
    </row>
    <row r="133" spans="1:28" ht="20.100000000000001" customHeight="1" x14ac:dyDescent="0.25">
      <c r="A133"/>
    </row>
    <row r="134" spans="1:28" ht="20.100000000000001" customHeight="1" x14ac:dyDescent="0.25">
      <c r="A134"/>
    </row>
    <row r="135" spans="1:28" ht="20.100000000000001" customHeight="1" x14ac:dyDescent="0.25">
      <c r="A135"/>
      <c r="D135" s="263" t="s">
        <v>1254</v>
      </c>
    </row>
    <row r="136" spans="1:28" ht="20.100000000000001" customHeight="1" x14ac:dyDescent="0.25">
      <c r="A136"/>
      <c r="D136" s="81" t="s">
        <v>131</v>
      </c>
      <c r="E136" s="81" t="s">
        <v>1346</v>
      </c>
      <c r="F136" s="123" t="s">
        <v>1347</v>
      </c>
      <c r="G136" s="123" t="s">
        <v>1319</v>
      </c>
      <c r="H136" s="81" t="s">
        <v>1348</v>
      </c>
      <c r="I136" s="123" t="s">
        <v>1322</v>
      </c>
      <c r="J136" s="81" t="s">
        <v>1323</v>
      </c>
      <c r="K136" s="81" t="s">
        <v>1324</v>
      </c>
      <c r="L136" s="81" t="s">
        <v>1325</v>
      </c>
    </row>
    <row r="137" spans="1:28" ht="20.100000000000001" customHeight="1" x14ac:dyDescent="0.25">
      <c r="A137"/>
      <c r="D137" s="15" t="str">
        <f>'Input - Livestock farm Inputs'!D12</f>
        <v>Feed for chickens</v>
      </c>
      <c r="E137" s="15">
        <f>IFERROR(X_Cell_FarmInputs_FeedRations_Chickens, 0)</f>
        <v>100</v>
      </c>
      <c r="F137" s="15" cm="1">
        <f t="array" ref="F137">Common_InputFunctions.Utility_LookupValueInTableNumber(D137,Table_SourceData_Scope3_MixedRations[Product],Table_SourceData_Scope3_MixedRations[Emissions intensity])</f>
        <v>0.59399999999999997</v>
      </c>
      <c r="G137" s="247" cm="1">
        <f t="array" ref="G137">Scope3_Equations.VEERG_15_2_1_1__1_EmissionsFromPurchasedFeedVariation(E137,F137)</f>
        <v>5.9400000000000001E-2</v>
      </c>
      <c r="H137" s="75">
        <v>0.5</v>
      </c>
      <c r="I137" s="247" cm="1">
        <f t="array" ref="I137">Scope3_Equations.VEERG_15_2_1_1__1_EmissionsFromPurchasedFeedVariation(E137,IF(H137,H137, F137))</f>
        <v>0.05</v>
      </c>
      <c r="J137" s="33"/>
      <c r="K137" s="13"/>
      <c r="L137" s="33"/>
    </row>
    <row r="138" spans="1:28" ht="20.100000000000001" customHeight="1" x14ac:dyDescent="0.25">
      <c r="A138"/>
      <c r="D138" s="15" t="str">
        <f>'Input - Livestock farm Inputs'!D13</f>
        <v>Feed for dairy calves</v>
      </c>
      <c r="E138" s="15">
        <f>IFERROR(X_Cell_FarmInputs_FeedRations_DairyCalves, 0)</f>
        <v>100</v>
      </c>
      <c r="F138" s="15" cm="1">
        <f t="array" ref="F138">Common_InputFunctions.Utility_LookupValueInTableNumber(D138,Table_SourceData_Scope3_MixedRations[Product],Table_SourceData_Scope3_MixedRations[Emissions intensity])</f>
        <v>0.41899999999999998</v>
      </c>
      <c r="G138" s="247" cm="1">
        <f t="array" ref="G138">Scope3_Equations.VEERG_15_2_1_1__1_EmissionsFromPurchasedFeedVariation(E138,F138)</f>
        <v>4.19E-2</v>
      </c>
      <c r="H138" s="75">
        <v>0.4</v>
      </c>
      <c r="I138" s="247" cm="1">
        <f t="array" ref="I138">Scope3_Equations.VEERG_15_2_1_1__1_EmissionsFromPurchasedFeedVariation(E138,IF(H138,H138, F138))</f>
        <v>0.04</v>
      </c>
      <c r="J138" s="33"/>
      <c r="K138" s="13"/>
      <c r="L138" s="33"/>
    </row>
    <row r="139" spans="1:28" ht="20.100000000000001" customHeight="1" x14ac:dyDescent="0.25">
      <c r="A139"/>
      <c r="D139" s="15" t="str">
        <f>'Input - Livestock farm Inputs'!D14</f>
        <v>Feed for dairy cows</v>
      </c>
      <c r="E139" s="15">
        <f>IFERROR(X_Cell_FarmInputs_FeedRations_DairyCows, 0)</f>
        <v>100</v>
      </c>
      <c r="F139" s="15" cm="1">
        <f t="array" ref="F139">Common_InputFunctions.Utility_LookupValueInTableNumber(D139,Table_SourceData_Scope3_MixedRations[Product],Table_SourceData_Scope3_MixedRations[Emissions intensity])</f>
        <v>0.33300000000000002</v>
      </c>
      <c r="G139" s="247" cm="1">
        <f t="array" ref="G139">Scope3_Equations.VEERG_15_2_1_1__1_EmissionsFromPurchasedFeedVariation(E139,F139)</f>
        <v>3.3300000000000003E-2</v>
      </c>
      <c r="H139" s="75">
        <v>0</v>
      </c>
      <c r="I139" s="247" cm="1">
        <f t="array" ref="I139">Scope3_Equations.VEERG_15_2_1_1__1_EmissionsFromPurchasedFeedVariation(E139,IF(H139,H139, F139))</f>
        <v>3.3300000000000003E-2</v>
      </c>
      <c r="J139" s="33"/>
      <c r="K139" s="13"/>
      <c r="L139" s="33"/>
    </row>
    <row r="140" spans="1:28" ht="20.100000000000001" customHeight="1" x14ac:dyDescent="0.25">
      <c r="A140"/>
      <c r="D140" s="15" t="str">
        <f>'Input - Livestock farm Inputs'!D15</f>
        <v>Feed for pigs</v>
      </c>
      <c r="E140" s="15">
        <f>IFERROR(X_Cell_FarmInputs_FeedRations_Pigs, 0)</f>
        <v>100</v>
      </c>
      <c r="F140" s="15" cm="1">
        <f t="array" ref="F140">Common_InputFunctions.Utility_LookupValueInTableNumber(D140,Table_SourceData_Scope3_MixedRations[Product],Table_SourceData_Scope3_MixedRations[Emissions intensity])</f>
        <v>0.40300000000000002</v>
      </c>
      <c r="G140" s="247" cm="1">
        <f t="array" ref="G140">Scope3_Equations.VEERG_15_2_1_1__1_EmissionsFromPurchasedFeedVariation(E140,F140)</f>
        <v>4.0300000000000002E-2</v>
      </c>
      <c r="H140" s="75">
        <v>0</v>
      </c>
      <c r="I140" s="247" cm="1">
        <f t="array" ref="I140">Scope3_Equations.VEERG_15_2_1_1__1_EmissionsFromPurchasedFeedVariation(E140,IF(H140,H140, F140))</f>
        <v>4.0300000000000002E-2</v>
      </c>
      <c r="J140" s="33"/>
      <c r="K140" s="13"/>
      <c r="L140" s="33"/>
    </row>
    <row r="141" spans="1:28" ht="20.100000000000001" customHeight="1" x14ac:dyDescent="0.25">
      <c r="A141"/>
    </row>
    <row r="142" spans="1:28" ht="20.100000000000001" customHeight="1" x14ac:dyDescent="0.25">
      <c r="A142"/>
      <c r="D142" s="92" t="s">
        <v>1319</v>
      </c>
      <c r="E142" s="88">
        <f>SUM(G137:G140)</f>
        <v>0.1749</v>
      </c>
      <c r="F142" s="93" t="str">
        <f>$E$105</f>
        <v>t CO2e</v>
      </c>
    </row>
    <row r="143" spans="1:28" ht="20.100000000000001" customHeight="1" x14ac:dyDescent="0.25">
      <c r="A143"/>
      <c r="D143" s="92" t="s">
        <v>1322</v>
      </c>
      <c r="E143" s="88">
        <f>SUM(I137:I140)</f>
        <v>0.1636</v>
      </c>
      <c r="F143" s="93" t="str">
        <f>$E$105</f>
        <v>t CO2e</v>
      </c>
    </row>
    <row r="144" spans="1:28" ht="20.100000000000001" customHeight="1" x14ac:dyDescent="0.25">
      <c r="A144"/>
    </row>
    <row r="145" spans="1:12" ht="20.100000000000001" customHeight="1" x14ac:dyDescent="0.25">
      <c r="A145"/>
    </row>
    <row r="146" spans="1:12" ht="20.100000000000001" customHeight="1" x14ac:dyDescent="0.25">
      <c r="A146"/>
      <c r="D146" s="263" t="s">
        <v>1357</v>
      </c>
    </row>
    <row r="147" spans="1:12" ht="20.100000000000001" customHeight="1" x14ac:dyDescent="0.25">
      <c r="A147"/>
      <c r="D147" s="81" t="s">
        <v>131</v>
      </c>
      <c r="E147" s="81" t="s">
        <v>1346</v>
      </c>
      <c r="F147" s="123" t="s">
        <v>1347</v>
      </c>
      <c r="G147" s="123" t="s">
        <v>1319</v>
      </c>
      <c r="H147" s="81" t="s">
        <v>1348</v>
      </c>
      <c r="I147" s="123" t="s">
        <v>1322</v>
      </c>
      <c r="J147" s="81" t="s">
        <v>1323</v>
      </c>
      <c r="K147" s="81" t="s">
        <v>1324</v>
      </c>
      <c r="L147" s="81" t="s">
        <v>1325</v>
      </c>
    </row>
    <row r="148" spans="1:12" ht="20.100000000000001" customHeight="1" x14ac:dyDescent="0.25">
      <c r="A148"/>
      <c r="D148" s="15"/>
      <c r="E148" s="15">
        <f>IFERROR(X_Cell_Input_AquacultureInput_SardinesSouthAustralia, 0)</f>
        <v>0</v>
      </c>
      <c r="F148" s="15" cm="1">
        <f t="array" ref="F148">Common_InputFunctions.Utility_LookupValueInTableNumber("Sardines (whole)" &amp;"SA", Table_SourceData_Scope3_FishFeedAndBait[Product]&amp;Table_SourceData_Scope3_FishFeedAndBait[Region of origin], Table_SourceData_Scope3_FishFeedAndBait[Emissions intensity])</f>
        <v>0.376</v>
      </c>
      <c r="G148" s="247" cm="1">
        <f t="array" ref="G148">Scope3_Equations.VEERG_15_2_1_1__1_EmissionsFromPurchasedFeedVariation(E148,F148)</f>
        <v>0</v>
      </c>
      <c r="H148" s="75">
        <v>0.2</v>
      </c>
      <c r="I148" s="247" cm="1">
        <f t="array" ref="I148">Scope3_Equations.VEERG_15_2_1_1__1_EmissionsFromPurchasedFeedVariation(E148,IF(H148,H148, F148))</f>
        <v>0</v>
      </c>
      <c r="J148" s="33"/>
      <c r="K148" s="33"/>
      <c r="L148" s="33"/>
    </row>
    <row r="149" spans="1:12" ht="20.100000000000001" customHeight="1" x14ac:dyDescent="0.25">
      <c r="A149"/>
      <c r="D149" s="15"/>
      <c r="E149" s="15">
        <f>IFERROR(X_Cell_Input_AquacultureInput_SardinesAustralia, 0)</f>
        <v>0</v>
      </c>
      <c r="F149" s="15"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247" cm="1">
        <f t="array" ref="G149">Scope3_Equations.VEERG_15_2_1_1__1_EmissionsFromPurchasedFeedVariation(E149,F149)</f>
        <v>0</v>
      </c>
      <c r="H149" s="75">
        <v>0</v>
      </c>
      <c r="I149" s="247" cm="1">
        <f t="array" ref="I149">Scope3_Equations.VEERG_15_2_1_1__1_EmissionsFromPurchasedFeedVariation(E149,IF(H149,H149, F149))</f>
        <v>0</v>
      </c>
      <c r="J149" s="33"/>
      <c r="K149" s="33"/>
      <c r="L149" s="33"/>
    </row>
    <row r="150" spans="1:12" ht="20.100000000000001" customHeight="1" x14ac:dyDescent="0.25">
      <c r="A150"/>
      <c r="D150" s="15"/>
      <c r="E150" s="15">
        <f>IFERROR(X_Cell_Input_AquacultureInput_LowAnimalProteinFormulatedFeed, 0)</f>
        <v>0</v>
      </c>
      <c r="F150" s="15" cm="1">
        <f t="array" ref="F150">Common_InputFunctions.Utility_LookupValueInTableNumber(D150&amp;"Australia", Table_SourceData_Scope3_FishFeedAndBait[Product]&amp;Table_SourceData_Scope3_FishFeedAndBait[Region of origin], Table_SourceData_Scope3_FishFeedAndBait[Emissions intensity])</f>
        <v>0</v>
      </c>
      <c r="G150" s="247" cm="1">
        <f t="array" ref="G150">Scope3_Equations.VEERG_15_2_1_1__1_EmissionsFromPurchasedFeedVariation(E150,F150)</f>
        <v>0</v>
      </c>
      <c r="H150" s="75">
        <v>0</v>
      </c>
      <c r="I150" s="247" cm="1">
        <f t="array" ref="I150">Scope3_Equations.VEERG_15_2_1_1__1_EmissionsFromPurchasedFeedVariation(E150,IF(H150,H150, F150))</f>
        <v>0</v>
      </c>
      <c r="J150" s="33"/>
      <c r="K150" s="33"/>
      <c r="L150" s="33"/>
    </row>
    <row r="151" spans="1:12" ht="20.100000000000001" customHeight="1" x14ac:dyDescent="0.25">
      <c r="A151"/>
      <c r="D151" s="15"/>
      <c r="E151" s="15">
        <f>IFERROR(X_Cell_Input_AquacultureInput_Squid, 0)</f>
        <v>0</v>
      </c>
      <c r="F151" s="15" cm="1">
        <f t="array" ref="F151">Common_InputFunctions.Utility_LookupValueInTableNumber(D151&amp;"Australia", Table_SourceData_Scope3_FishFeedAndBait[Product]&amp;Table_SourceData_Scope3_FishFeedAndBait[Region of origin], Table_SourceData_Scope3_FishFeedAndBait[Emissions intensity])</f>
        <v>0</v>
      </c>
      <c r="G151" s="247" cm="1">
        <f t="array" ref="G151">Scope3_Equations.VEERG_15_2_1_1__1_EmissionsFromPurchasedFeedVariation(E151,F151)</f>
        <v>0</v>
      </c>
      <c r="H151" s="75">
        <v>0</v>
      </c>
      <c r="I151" s="247" cm="1">
        <f t="array" ref="I151">Scope3_Equations.VEERG_15_2_1_1__1_EmissionsFromPurchasedFeedVariation(E151,IF(H151,H151, F151))</f>
        <v>0</v>
      </c>
      <c r="J151" s="33"/>
      <c r="K151" s="33"/>
      <c r="L151" s="33"/>
    </row>
    <row r="152" spans="1:12" ht="20.100000000000001" customHeight="1" x14ac:dyDescent="0.25">
      <c r="A152"/>
      <c r="D152" s="15"/>
      <c r="E152" s="15">
        <f>IFERROR(X_Cell_Input_AquacultureInput_WholeFish, 0)</f>
        <v>0</v>
      </c>
      <c r="F152" s="15" cm="1">
        <f t="array" ref="F152">Common_InputFunctions.Utility_LookupValueInTableNumber(D152&amp;"Australia", Table_SourceData_Scope3_FishFeedAndBait[Product]&amp;Table_SourceData_Scope3_FishFeedAndBait[Region of origin], Table_SourceData_Scope3_FishFeedAndBait[Emissions intensity])</f>
        <v>0</v>
      </c>
      <c r="G152" s="247" cm="1">
        <f t="array" ref="G152">Scope3_Equations.VEERG_15_2_1_1__1_EmissionsFromPurchasedFeedVariation(E152,F152)</f>
        <v>0</v>
      </c>
      <c r="H152" s="75">
        <v>0</v>
      </c>
      <c r="I152" s="247" cm="1">
        <f t="array" ref="I152">Scope3_Equations.VEERG_15_2_1_1__1_EmissionsFromPurchasedFeedVariation(E152,IF(H152,H152, F152))</f>
        <v>0</v>
      </c>
      <c r="J152" s="33"/>
      <c r="K152" s="33"/>
      <c r="L152" s="33"/>
    </row>
    <row r="153" spans="1:12" ht="20.100000000000001" customHeight="1" x14ac:dyDescent="0.25">
      <c r="A153"/>
      <c r="D153" s="15"/>
      <c r="E153" s="15">
        <f>IFERROR(X_Cell_Input_AquacultureInput_CustomBait, 0)</f>
        <v>0</v>
      </c>
      <c r="F153" s="15" cm="1">
        <f t="array" ref="F153">Common_InputFunctions.Utility_LookupValueInTableNumber(D153&amp;"Australia", Table_SourceData_Scope3_FishFeedAndBait[Product]&amp;Table_SourceData_Scope3_FishFeedAndBait[Region of origin], Table_SourceData_Scope3_FishFeedAndBait[Emissions intensity])</f>
        <v>0</v>
      </c>
      <c r="G153" s="247" cm="1">
        <f t="array" ref="G153">Scope3_Equations.VEERG_15_2_1_1__1_EmissionsFromPurchasedFeedVariation(E153,F153)</f>
        <v>0</v>
      </c>
      <c r="H153" s="75">
        <v>0</v>
      </c>
      <c r="I153" s="247" cm="1">
        <f t="array" ref="I153">Scope3_Equations.VEERG_15_2_1_1__1_EmissionsFromPurchasedFeedVariation(E153,IF(H153,H153, F153))</f>
        <v>0</v>
      </c>
      <c r="J153" s="33"/>
      <c r="K153" s="33"/>
      <c r="L153" s="33"/>
    </row>
    <row r="154" spans="1:12" ht="20.100000000000001" customHeight="1" x14ac:dyDescent="0.25">
      <c r="A154"/>
    </row>
    <row r="155" spans="1:12" ht="20.100000000000001" customHeight="1" x14ac:dyDescent="0.25">
      <c r="A155"/>
      <c r="D155" s="92" t="s">
        <v>1319</v>
      </c>
      <c r="E155" s="88">
        <f>SUM(G148:G153)</f>
        <v>0</v>
      </c>
      <c r="F155" s="93" t="str">
        <f>$E$105</f>
        <v>t CO2e</v>
      </c>
    </row>
    <row r="156" spans="1:12" ht="20.100000000000001" customHeight="1" x14ac:dyDescent="0.25">
      <c r="A156"/>
      <c r="D156" s="92" t="s">
        <v>1322</v>
      </c>
      <c r="E156" s="88">
        <f>SUM(I148:I153)</f>
        <v>0</v>
      </c>
      <c r="F156" s="93" t="str">
        <f>$E$105</f>
        <v>t CO2e</v>
      </c>
    </row>
    <row r="157" spans="1:12" ht="20.100000000000001" customHeight="1" x14ac:dyDescent="0.25">
      <c r="A157"/>
    </row>
    <row r="158" spans="1:12" ht="20.100000000000001" customHeight="1" x14ac:dyDescent="0.25">
      <c r="A158"/>
    </row>
    <row r="159" spans="1:12" ht="20.100000000000001" customHeight="1" x14ac:dyDescent="0.25">
      <c r="A159"/>
      <c r="D159" s="87" t="s">
        <v>1319</v>
      </c>
      <c r="E159" s="90">
        <f>E131+E142+E155</f>
        <v>0.78505200000000008</v>
      </c>
      <c r="F159" s="89" t="str">
        <f>$E$105</f>
        <v>t CO2e</v>
      </c>
    </row>
    <row r="160" spans="1:12" ht="20.100000000000001" customHeight="1" x14ac:dyDescent="0.25">
      <c r="A160"/>
      <c r="D160" s="87" t="s">
        <v>1322</v>
      </c>
      <c r="E160" s="90">
        <f>E132+E143+E156</f>
        <v>0.52978000000000003</v>
      </c>
      <c r="F160" s="89" t="str">
        <f>$E$105</f>
        <v>t CO2e</v>
      </c>
    </row>
    <row r="161" spans="3:41" ht="20.100000000000001" customHeight="1" x14ac:dyDescent="0.25"/>
    <row r="162" spans="3:41" ht="20.100000000000001" customHeight="1" x14ac:dyDescent="0.25"/>
    <row r="163" spans="3:41" ht="20.100000000000001" customHeight="1" x14ac:dyDescent="0.25">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row>
    <row r="164" spans="3:41" ht="20.100000000000001" customHeight="1" x14ac:dyDescent="0.25">
      <c r="D164" s="2" t="str" cm="1">
        <f t="array" ref="D164">Scope3_Equations.VEERG_15_3_1_1__1_EmissionsFromPurchasedMineralSupplements_Title()</f>
        <v>Total emissions from purchased mineral supplements</v>
      </c>
    </row>
    <row r="165" spans="3:41" ht="20.100000000000001" customHeight="1" x14ac:dyDescent="0.25">
      <c r="D165" s="17" t="str" cm="1">
        <f t="array" ref="D165">Scope3_Equations.VEERG_15_3_1_1__1_EmissionsFromPurchasedMineralSupplements_Source()</f>
        <v>VEERG 2026: 15.3.1.1, Equation (1)</v>
      </c>
    </row>
    <row r="166" spans="3:41" ht="20.100000000000001" customHeight="1" x14ac:dyDescent="0.25">
      <c r="D166" s="117" t="s">
        <v>382</v>
      </c>
      <c r="E166" s="117" t="str" cm="1">
        <f t="array" aca="1" ref="E166" ca="1">Common_InputFunctions.Utility_DisplayFunctionName(G177)</f>
        <v>=Scope3_Equations.VEERG_15_3_1_1__1_EmissionsFromPurchasedMineralSupplementsVariation</v>
      </c>
    </row>
    <row r="167" spans="3:41" ht="20.100000000000001" customHeight="1" x14ac:dyDescent="0.25"/>
    <row r="168" spans="3:41" ht="20.100000000000001" customHeight="1" x14ac:dyDescent="0.25">
      <c r="F168" s="25" t="str" cm="1">
        <f t="array" ref="F168">Scope3_Equations.VEERG_15_3_1_1__1_EmissionsFromPurchasedMineralSupplements_Variation()</f>
        <v>VARIATION ON SOURCE: Input Q_j in kg instead of t to match EF units. Multiply by 10^-3 to convert kg CO2e to t CO2e.</v>
      </c>
      <c r="H168" s="117"/>
    </row>
    <row r="169" spans="3:41" ht="20.100000000000001" customHeight="1" x14ac:dyDescent="0.25">
      <c r="D169" s="76" t="s">
        <v>383</v>
      </c>
      <c r="E169" s="1" t="str" cm="1">
        <f t="array" ref="E169">Scope3_Equations.VEERG_15_3_1_1__1_EmissionsFromPurchasedMineralSupplements_Variable()</f>
        <v>E</v>
      </c>
    </row>
    <row r="170" spans="3:41" ht="20.100000000000001" customHeight="1" x14ac:dyDescent="0.25">
      <c r="D170" s="76" t="s">
        <v>118</v>
      </c>
      <c r="E170" s="9" t="str" cm="1">
        <f t="array" ref="E170">Scope3_Equations.VEERG_15_3_1_1__1_EmissionsFromPurchasedMineralSupplements_Unit()</f>
        <v>t CO2e</v>
      </c>
    </row>
    <row r="171" spans="3:41" ht="20.100000000000001" customHeight="1" x14ac:dyDescent="0.25"/>
    <row r="172" spans="3:41" ht="20.100000000000001" customHeight="1" x14ac:dyDescent="0.25">
      <c r="D172" s="119" t="str" cm="1">
        <f t="array" ref="D172:E174">_xlfn.CHOOSECOLS(Scope3_Equations.VEERG_15_3_1_1__1_EmissionsFromPurchasedMineralSupplements_ArgumentsVariation(),1,2)</f>
        <v>Q_m</v>
      </c>
      <c r="E172" s="124" t="str">
        <v>total quantity of mineral supplement type m used</v>
      </c>
      <c r="F172" s="125"/>
      <c r="G172" s="119" t="str" cm="1">
        <f t="array" ref="G172:H174">_xlfn.CHOOSECOLS(Scope3_Equations.VEERG_15_3_1_1__1_EmissionsFromPurchasedMineralSupplements_ArgumentsVariation(),3,4)</f>
        <v>kg</v>
      </c>
      <c r="H172" s="272" t="str">
        <v>Input</v>
      </c>
    </row>
    <row r="173" spans="3:41" ht="20.100000000000001" customHeight="1" x14ac:dyDescent="0.25">
      <c r="D173" s="119" t="str">
        <v>EF_m</v>
      </c>
      <c r="E173" s="124" t="str">
        <v>emission factor of purchased mineral supplement</v>
      </c>
      <c r="F173" s="125"/>
      <c r="G173" s="119" t="str">
        <v>kg CO2e/kg</v>
      </c>
      <c r="H173" s="272" t="str">
        <v>Constant</v>
      </c>
    </row>
    <row r="174" spans="3:41" ht="20.100000000000001" customHeight="1" x14ac:dyDescent="0.25">
      <c r="D174" s="119" t="str">
        <v>m</v>
      </c>
      <c r="E174" s="124" t="str">
        <v>mineral supplement type</v>
      </c>
      <c r="F174" s="125"/>
      <c r="G174" s="119" t="str">
        <v/>
      </c>
      <c r="H174" s="127" t="str">
        <v>Input</v>
      </c>
    </row>
    <row r="175" spans="3:41" ht="20.100000000000001" customHeight="1" x14ac:dyDescent="0.25"/>
    <row r="176" spans="3:41" ht="20.100000000000001" customHeight="1" x14ac:dyDescent="0.25">
      <c r="D176" s="81" t="s">
        <v>131</v>
      </c>
      <c r="E176" s="81" t="s">
        <v>1358</v>
      </c>
      <c r="F176" s="123" t="s">
        <v>1359</v>
      </c>
      <c r="G176" s="123" t="s">
        <v>1319</v>
      </c>
      <c r="H176" s="81" t="s">
        <v>1360</v>
      </c>
      <c r="I176" s="123" t="s">
        <v>1322</v>
      </c>
      <c r="J176" s="81" t="s">
        <v>1323</v>
      </c>
      <c r="K176" s="81" t="s">
        <v>1324</v>
      </c>
      <c r="L176" s="81" t="s">
        <v>1325</v>
      </c>
    </row>
    <row r="177" spans="3:41" ht="20.100000000000001" customHeight="1" x14ac:dyDescent="0.25">
      <c r="D177" s="15" t="str">
        <f>'Input - Livestock farm Inputs'!D7</f>
        <v>Lick block, dry season mix</v>
      </c>
      <c r="E177" s="15">
        <f>IFERROR(X_Cell_FarmInputs_LickBlocks_DrySeasonMix, 0)</f>
        <v>100</v>
      </c>
      <c r="F177" s="15" cm="1">
        <f t="array" ref="F177">Common_InputFunctions.Utility_LookupValueInTableNumber(D177,Table_SourceData_Scope3_LickBlocks[Product],Table_SourceData_Scope3_LickBlocks[Emissions intensity])</f>
        <v>0.88100000000000001</v>
      </c>
      <c r="G177" s="247" cm="1">
        <f t="array" ref="G177">Scope3_Equations.VEERG_15_3_1_1__1_EmissionsFromPurchasedMineralSupplementsVariation(E177,F177)</f>
        <v>8.8099999999999998E-2</v>
      </c>
      <c r="H177" s="75">
        <v>0.8</v>
      </c>
      <c r="I177" s="247" cm="1">
        <f t="array" ref="I177">Scope3_Equations.VEERG_15_3_1_1__1_EmissionsFromPurchasedMineralSupplementsVariation(E177,IF(H177, H177, F177))</f>
        <v>0.08</v>
      </c>
      <c r="J177" s="33"/>
      <c r="K177" s="13"/>
      <c r="L177" s="33"/>
    </row>
    <row r="178" spans="3:41" ht="20.100000000000001" customHeight="1" x14ac:dyDescent="0.25">
      <c r="D178" s="15" t="str">
        <f>'Input - Livestock farm Inputs'!D8</f>
        <v>Lick block, mineral</v>
      </c>
      <c r="E178" s="15">
        <f>IFERROR(X_Cell_FarmInputs_LickBlocks_Mineral, 0)</f>
        <v>100</v>
      </c>
      <c r="F178" s="15" cm="1">
        <f t="array" ref="F178">Common_InputFunctions.Utility_LookupValueInTableNumber(D178,Table_SourceData_Scope3_LickBlocks[Product],Table_SourceData_Scope3_LickBlocks[Emissions intensity])</f>
        <v>0.67700000000000005</v>
      </c>
      <c r="G178" s="247" cm="1">
        <f t="array" ref="G178">Scope3_Equations.VEERG_15_3_1_1__1_EmissionsFromPurchasedMineralSupplementsVariation(E178,F178)</f>
        <v>6.770000000000001E-2</v>
      </c>
      <c r="H178" s="75">
        <v>0.6</v>
      </c>
      <c r="I178" s="247" cm="1">
        <f t="array" ref="I178">Scope3_Equations.VEERG_15_3_1_1__1_EmissionsFromPurchasedMineralSupplementsVariation(E178,IF(H178, H178, F178))</f>
        <v>0.06</v>
      </c>
      <c r="J178" s="33"/>
      <c r="K178" s="13"/>
      <c r="L178" s="33"/>
    </row>
    <row r="179" spans="3:41" ht="20.100000000000001" customHeight="1" x14ac:dyDescent="0.25">
      <c r="D179" s="15" t="str">
        <f>'Input - Livestock farm Inputs'!D9</f>
        <v>Lick block, weaner</v>
      </c>
      <c r="E179" s="15">
        <f>IFERROR(X_Cell_FarmInputs_LickBlocks_Weaner, 0)</f>
        <v>100</v>
      </c>
      <c r="F179" s="15" cm="1">
        <f t="array" ref="F179">Common_InputFunctions.Utility_LookupValueInTableNumber(D179,Table_SourceData_Scope3_LickBlocks[Product],Table_SourceData_Scope3_LickBlocks[Emissions intensity])</f>
        <v>0.23100000000000001</v>
      </c>
      <c r="G179" s="247" cm="1">
        <f t="array" ref="G179">Scope3_Equations.VEERG_15_3_1_1__1_EmissionsFromPurchasedMineralSupplementsVariation(E179,F179)</f>
        <v>2.3100000000000002E-2</v>
      </c>
      <c r="H179" s="75">
        <v>0.2</v>
      </c>
      <c r="I179" s="247" cm="1">
        <f t="array" ref="I179">Scope3_Equations.VEERG_15_3_1_1__1_EmissionsFromPurchasedMineralSupplementsVariation(E179,IF(H179, H179, F179))</f>
        <v>0.02</v>
      </c>
      <c r="J179" s="33"/>
      <c r="K179" s="13"/>
      <c r="L179" s="33"/>
    </row>
    <row r="180" spans="3:41" ht="20.100000000000001" customHeight="1" x14ac:dyDescent="0.25"/>
    <row r="181" spans="3:41" ht="20.100000000000001" customHeight="1" x14ac:dyDescent="0.25">
      <c r="D181" s="87" t="s">
        <v>1319</v>
      </c>
      <c r="E181" s="90">
        <f>SUM(G177:G179)</f>
        <v>0.1789</v>
      </c>
      <c r="F181" s="89" t="str">
        <f>$E$170</f>
        <v>t CO2e</v>
      </c>
    </row>
    <row r="182" spans="3:41" ht="20.100000000000001" customHeight="1" x14ac:dyDescent="0.25">
      <c r="D182" s="87" t="s">
        <v>1322</v>
      </c>
      <c r="E182" s="90">
        <f>SUM(I177:I179)</f>
        <v>0.16</v>
      </c>
      <c r="F182" s="89" t="str">
        <f>$E$170</f>
        <v>t CO2e</v>
      </c>
    </row>
    <row r="183" spans="3:41" ht="20.100000000000001" customHeight="1" x14ac:dyDescent="0.25"/>
    <row r="184" spans="3:41" ht="20.100000000000001" customHeight="1" x14ac:dyDescent="0.25"/>
    <row r="185" spans="3:41" ht="20.100000000000001" customHeight="1" x14ac:dyDescent="0.25">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row>
    <row r="186" spans="3:41" ht="20.100000000000001" customHeight="1" x14ac:dyDescent="0.25">
      <c r="D186" s="2" t="str" cm="1">
        <f t="array" ref="D186">Scope3_Equations.VEERG_15_4_1_1__X_EmissionFactorFromPurchasedFertiliserComponents_Title()</f>
        <v>Emission factor for fertiliser product derived from components</v>
      </c>
    </row>
    <row r="187" spans="3:41" ht="20.100000000000001" customHeight="1" x14ac:dyDescent="0.25">
      <c r="D187" s="17" t="str" cm="1">
        <f t="array" ref="D187">Scope3_Equations.VEERG_15_4_1_1__X_EmissionFactorFromPurchasedFertiliserComponents_Source()</f>
        <v>GAF</v>
      </c>
    </row>
    <row r="188" spans="3:41" ht="20.100000000000001" customHeight="1" x14ac:dyDescent="0.25">
      <c r="D188" s="25" t="str" cm="1">
        <f t="array" ref="D188">Scope3_Equations.VEERG_15_4_1_1__X_EmissionFactorFromPurchasedFertiliserComponents_Variation()</f>
        <v>VARIATION ON SOURCE: This equation is added to calculate an EF value from fertiliser components that can be used in 15.4.1.1 (1)</v>
      </c>
    </row>
    <row r="189" spans="3:41" ht="20.100000000000001" customHeight="1" x14ac:dyDescent="0.25">
      <c r="D189" s="117" t="s">
        <v>382</v>
      </c>
      <c r="E189" s="117" t="str" cm="1">
        <f t="array" aca="1" ref="E189" ca="1">Common_InputFunctions.Utility_DisplayFunctionName(F236)</f>
        <v>=Scope3_Equations.VEERG_15_4_1_1__X_EmissionFactorFromPurchasedFertiliserComponents</v>
      </c>
    </row>
    <row r="190" spans="3:41" ht="20.100000000000001" customHeight="1" x14ac:dyDescent="0.25"/>
    <row r="191" spans="3:41" ht="20.100000000000001" customHeight="1" x14ac:dyDescent="0.25"/>
    <row r="192" spans="3:41" ht="20.100000000000001" customHeight="1" x14ac:dyDescent="0.25">
      <c r="D192" s="76" t="s">
        <v>383</v>
      </c>
      <c r="E192" s="1" t="str" cm="1">
        <f t="array" ref="E192">Scope3_Equations.VEERG_15_4_1_1__X_EmissionFactorFromPurchasedFertiliserComponents_Variable()</f>
        <v>EF_f</v>
      </c>
    </row>
    <row r="193" spans="4:8" ht="20.100000000000001" customHeight="1" x14ac:dyDescent="0.25">
      <c r="D193" s="76" t="s">
        <v>118</v>
      </c>
      <c r="E193" s="9" t="str" cm="1">
        <f t="array" ref="E193">Scope3_Equations.VEERG_15_4_1_1__X_EmissionFactorFromPurchasedFertiliserComponents_Unit()</f>
        <v>kg CO2e/kg fertiliser</v>
      </c>
    </row>
    <row r="194" spans="4:8" ht="20.100000000000001" customHeight="1" x14ac:dyDescent="0.25"/>
    <row r="195" spans="4:8" ht="20.100000000000001" customHeight="1" x14ac:dyDescent="0.25">
      <c r="D195" s="119" t="str" cm="1">
        <f t="array" ref="D195:E198">_xlfn.CHOOSECOLS(Scope3_Equations.VEERG_15_4_1_1__X_EmissionFactorFromPurchasedFertiliserComponents_Arguments(),1,2)</f>
        <v>F_cf</v>
      </c>
      <c r="E195" s="124" t="str">
        <v>fraction of component c contained within the inorganic fertiliser f</v>
      </c>
      <c r="F195" s="125"/>
      <c r="G195" s="119" t="str" cm="1">
        <f t="array" ref="G195:H198">_xlfn.CHOOSECOLS(Scope3_Equations.VEERG_15_4_1_1__X_EmissionFactorFromPurchasedFertiliserComponents_Arguments(),3,4)</f>
        <v>wt%</v>
      </c>
      <c r="H195" s="272" t="str">
        <v>Input</v>
      </c>
    </row>
    <row r="196" spans="4:8" ht="20.100000000000001" customHeight="1" x14ac:dyDescent="0.25">
      <c r="D196" s="119" t="str">
        <v>EF_c</v>
      </c>
      <c r="E196" s="124" t="str">
        <v>emission factor for the production of component c</v>
      </c>
      <c r="F196" s="125"/>
      <c r="G196" s="119" t="str">
        <v>kg CO2e/kg component</v>
      </c>
      <c r="H196" s="127" t="str">
        <v>Constant</v>
      </c>
    </row>
    <row r="197" spans="4:8" ht="20.100000000000001" customHeight="1" x14ac:dyDescent="0.25">
      <c r="D197" s="119" t="str">
        <v>c</v>
      </c>
      <c r="E197" s="124" t="str">
        <v>fertiliser component</v>
      </c>
      <c r="F197" s="125"/>
      <c r="G197" s="119" t="str">
        <v/>
      </c>
      <c r="H197" s="272" t="str">
        <v>Input</v>
      </c>
    </row>
    <row r="198" spans="4:8" ht="20.100000000000001" customHeight="1" x14ac:dyDescent="0.25">
      <c r="D198" s="119" t="str">
        <v>f</v>
      </c>
      <c r="E198" s="124" t="str">
        <v>inorganic fertiliser type</v>
      </c>
      <c r="F198" s="125"/>
      <c r="G198" s="119" t="str">
        <v/>
      </c>
      <c r="H198" s="272" t="str">
        <v>Input</v>
      </c>
    </row>
    <row r="199" spans="4:8" ht="20.100000000000001" customHeight="1" x14ac:dyDescent="0.25"/>
    <row r="200" spans="4:8" ht="20.100000000000001" customHeight="1" x14ac:dyDescent="0.25"/>
    <row r="201" spans="4:8" ht="20.100000000000001" customHeight="1" x14ac:dyDescent="0.25">
      <c r="D201" s="2" t="str" cm="1">
        <f t="array" ref="D201">Scope3_Equations.VEERG_15_4_1_1__1_EmissionsFromPurchasedFertiliser_Title()</f>
        <v>Emissions from purchased fertiliser</v>
      </c>
    </row>
    <row r="202" spans="4:8" ht="20.100000000000001" customHeight="1" x14ac:dyDescent="0.25">
      <c r="D202" s="17" t="str" cm="1">
        <f t="array" ref="D202">Scope3_Equations.VEERG_15_4_1_1__1_EmissionsFromPurchasedFertiliser_Source()</f>
        <v>VEERG 2026: 15.4.1.1, Equation (1)</v>
      </c>
    </row>
    <row r="203" spans="4:8" ht="20.100000000000001" customHeight="1" x14ac:dyDescent="0.25">
      <c r="D203" s="117" t="s">
        <v>382</v>
      </c>
      <c r="E203" s="117" t="str" cm="1">
        <f t="array" aca="1" ref="E203" ca="1">Common_InputFunctions.Utility_DisplayFunctionName(G236)</f>
        <v>=Scope3_Equations.VEERG_15_4_1_1__1_EmissionsFromPurchasedFertiliser</v>
      </c>
    </row>
    <row r="204" spans="4:8" ht="20.100000000000001" customHeight="1" x14ac:dyDescent="0.25"/>
    <row r="205" spans="4:8" ht="20.100000000000001" customHeight="1" x14ac:dyDescent="0.25"/>
    <row r="206" spans="4:8" ht="20.100000000000001" customHeight="1" x14ac:dyDescent="0.25">
      <c r="D206" s="76" t="s">
        <v>383</v>
      </c>
      <c r="E206" s="1" t="str" cm="1">
        <f t="array" ref="E206">Scope3_Equations.VEERG_15_4_1_1__1_EmissionsFromPurchasedFertiliser_Variable()</f>
        <v>E</v>
      </c>
    </row>
    <row r="207" spans="4:8" ht="20.100000000000001" customHeight="1" x14ac:dyDescent="0.25">
      <c r="D207" s="76" t="s">
        <v>118</v>
      </c>
      <c r="E207" s="9" t="str" cm="1">
        <f t="array" ref="E207">Scope3_Equations.VEERG_15_4_1_1__1_EmissionsFromPurchasedFertiliser_Unit()</f>
        <v>t CO2e</v>
      </c>
    </row>
    <row r="208" spans="4:8" ht="20.100000000000001" customHeight="1" x14ac:dyDescent="0.25"/>
    <row r="209" spans="4:8" ht="20.100000000000001" customHeight="1" x14ac:dyDescent="0.25">
      <c r="D209" s="119" t="str" cm="1">
        <f t="array" ref="D209:E212">_xlfn.CHOOSECOLS(Scope3_Equations.VEERG_15_4_1_1__1_EmissionsFromPurchasedFertiliser_Arguments(),1,2)</f>
        <v>TM_jf</v>
      </c>
      <c r="E209" s="119" t="str">
        <v>quantity of inorganic fertiliser type f purchased and applied to production system j</v>
      </c>
      <c r="F209" s="119"/>
      <c r="G209" s="119" t="str" cm="1">
        <f t="array" ref="G209:H212">_xlfn.CHOOSECOLS(Scope3_Equations.VEERG_15_4_1_1__1_EmissionsFromPurchasedFertiliser_Arguments(),3,4)</f>
        <v>kg</v>
      </c>
      <c r="H209" s="272" t="str">
        <v>Input</v>
      </c>
    </row>
    <row r="210" spans="4:8" ht="20.100000000000001" customHeight="1" x14ac:dyDescent="0.25">
      <c r="D210" s="119" t="str">
        <v>EF_f</v>
      </c>
      <c r="E210" s="119" t="str">
        <v>emission factor of purchased inorganic fertiliser</v>
      </c>
      <c r="F210" s="119"/>
      <c r="G210" s="119" t="str">
        <v>kg CO2e/kg</v>
      </c>
      <c r="H210" s="127" t="str">
        <v>Constant</v>
      </c>
    </row>
    <row r="211" spans="4:8" ht="20.100000000000001" customHeight="1" x14ac:dyDescent="0.25">
      <c r="D211" s="119" t="str">
        <v>j</v>
      </c>
      <c r="E211" s="124" t="str">
        <v>production system</v>
      </c>
      <c r="F211" s="125"/>
      <c r="G211" s="119" t="str">
        <v/>
      </c>
      <c r="H211" s="272" t="str">
        <v>Input</v>
      </c>
    </row>
    <row r="212" spans="4:8" ht="20.100000000000001" customHeight="1" x14ac:dyDescent="0.25">
      <c r="D212" s="119" t="str">
        <v>f</v>
      </c>
      <c r="E212" s="124" t="str">
        <v>inorganic fertiliser type</v>
      </c>
      <c r="F212" s="125"/>
      <c r="G212" s="119" t="str">
        <v/>
      </c>
      <c r="H212" s="272" t="str">
        <v>Input</v>
      </c>
    </row>
    <row r="213" spans="4:8" ht="20.100000000000001" customHeight="1" x14ac:dyDescent="0.25"/>
    <row r="214" spans="4:8" ht="20.100000000000001" customHeight="1" x14ac:dyDescent="0.25"/>
    <row r="215" spans="4:8" ht="20.100000000000001" customHeight="1" x14ac:dyDescent="0.25">
      <c r="D215" s="2" t="str" cm="1">
        <f t="array" ref="D215">Scope3_Equations.VEERG_15_4_1_1__2_EmissionsFromPurchasedFertiliserComponents_Title()</f>
        <v>Emissions from purchased fertiliser components</v>
      </c>
    </row>
    <row r="216" spans="4:8" ht="20.100000000000001" customHeight="1" x14ac:dyDescent="0.25">
      <c r="D216" s="17" t="str" cm="1">
        <f t="array" ref="D216">Scope3_Equations.VEERG_15_4_1_1__2_EmissionsFromPurchasedFertiliserComponents_Source()</f>
        <v>VEERG 2026: 15.4.1.1, Equation (2)</v>
      </c>
    </row>
    <row r="217" spans="4:8" ht="20.100000000000001" customHeight="1" x14ac:dyDescent="0.25">
      <c r="D217" s="25" t="str" cm="1">
        <f t="array" ref="D217">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18" spans="4:8" ht="20.100000000000001" customHeight="1" x14ac:dyDescent="0.25">
      <c r="D218" s="117" t="s">
        <v>382</v>
      </c>
      <c r="E218" s="117" t="str" cm="1">
        <f t="array" aca="1" ref="E218" ca="1">Common_InputFunctions.Utility_DisplayFunctionName(H236)</f>
        <v>=Scope3_Equations.VEERG_15_4_1_1__2_EmissionsFromPurchasedFertiliserComponentsVariation</v>
      </c>
    </row>
    <row r="219" spans="4:8" ht="20.100000000000001" customHeight="1" x14ac:dyDescent="0.25"/>
    <row r="220" spans="4:8" ht="20.100000000000001" customHeight="1" x14ac:dyDescent="0.25"/>
    <row r="221" spans="4:8" ht="20.100000000000001" customHeight="1" x14ac:dyDescent="0.25">
      <c r="D221" s="76" t="s">
        <v>383</v>
      </c>
      <c r="E221" s="1" t="str" cm="1">
        <f t="array" ref="E221">Scope3_Equations.VEERG_15_4_1_1__2_EmissionsFromPurchasedFertiliserComponents_Variable()</f>
        <v>E</v>
      </c>
    </row>
    <row r="222" spans="4:8" ht="20.100000000000001" customHeight="1" x14ac:dyDescent="0.25">
      <c r="D222" s="76" t="s">
        <v>118</v>
      </c>
      <c r="E222" s="9" t="str" cm="1">
        <f t="array" ref="E222">Scope3_Equations.VEERG_15_4_1_1__2_EmissionsFromPurchasedFertiliserComponents_Unit()</f>
        <v>t CO2e</v>
      </c>
    </row>
    <row r="223" spans="4:8" ht="20.100000000000001" customHeight="1" x14ac:dyDescent="0.25"/>
    <row r="224" spans="4:8" ht="20.100000000000001" customHeight="1" x14ac:dyDescent="0.25">
      <c r="D224" s="119" t="str" cm="1">
        <f t="array" ref="D224:E229">_xlfn.CHOOSECOLS(Scope3_Equations.VEERG_15_4_1_1__2_EmissionsFromPurchasedFertiliserComponents_Arguments(),1,2)</f>
        <v>F_cf</v>
      </c>
      <c r="E224" s="124" t="str">
        <v>fraction of component c contained within the inorganic fertiliser f</v>
      </c>
      <c r="F224" s="125"/>
      <c r="G224" s="119" t="str" cm="1">
        <f t="array" ref="G224:H229">_xlfn.CHOOSECOLS(Scope3_Equations.VEERG_15_4_1_1__2_EmissionsFromPurchasedFertiliserComponents_Arguments(),3,4)</f>
        <v>wt%</v>
      </c>
      <c r="H224" s="272" t="str">
        <v>Input</v>
      </c>
    </row>
    <row r="225" spans="4:40" ht="20.100000000000001" customHeight="1" x14ac:dyDescent="0.25">
      <c r="D225" s="119" t="str">
        <v>TM_jf</v>
      </c>
      <c r="E225" s="124" t="str">
        <v>quantity of inorganic fertiliser type f purchased and applied to production system j</v>
      </c>
      <c r="F225" s="125"/>
      <c r="G225" s="119" t="str">
        <v>kg</v>
      </c>
      <c r="H225" s="127" t="str">
        <v>Input</v>
      </c>
    </row>
    <row r="226" spans="4:40" ht="20.100000000000001" customHeight="1" x14ac:dyDescent="0.25">
      <c r="D226" s="119" t="str">
        <v>EF_c</v>
      </c>
      <c r="E226" s="124" t="str">
        <v>emission factor for the production of component c</v>
      </c>
      <c r="F226" s="125"/>
      <c r="G226" s="119" t="str">
        <v>kg CO2e/kg component</v>
      </c>
      <c r="H226" s="127" t="str">
        <v>Constant</v>
      </c>
    </row>
    <row r="227" spans="4:40" ht="20.100000000000001" customHeight="1" x14ac:dyDescent="0.25">
      <c r="D227" s="119" t="str">
        <v>c</v>
      </c>
      <c r="E227" s="124" t="str">
        <v>fertiliser component</v>
      </c>
      <c r="F227" s="125"/>
      <c r="G227" s="119" t="str">
        <v/>
      </c>
      <c r="H227" s="272" t="str">
        <v>Input</v>
      </c>
    </row>
    <row r="228" spans="4:40" ht="20.100000000000001" customHeight="1" x14ac:dyDescent="0.25">
      <c r="D228" s="119" t="str">
        <v>f</v>
      </c>
      <c r="E228" s="124" t="str">
        <v>inorganic fertiliser type</v>
      </c>
      <c r="F228" s="125"/>
      <c r="G228" s="119" t="str">
        <v/>
      </c>
      <c r="H228" s="272" t="str">
        <v>Input</v>
      </c>
    </row>
    <row r="229" spans="4:40" ht="20.100000000000001" customHeight="1" x14ac:dyDescent="0.25">
      <c r="D229" s="119" t="str">
        <v>j</v>
      </c>
      <c r="E229" s="124" t="str">
        <v>production system</v>
      </c>
      <c r="F229" s="125"/>
      <c r="G229" s="119" t="str">
        <v/>
      </c>
      <c r="H229" s="272" t="str">
        <v>Input</v>
      </c>
    </row>
    <row r="230" spans="4:40" ht="20.100000000000001" customHeight="1" x14ac:dyDescent="0.25"/>
    <row r="231" spans="4:40" ht="20.100000000000001" customHeight="1" x14ac:dyDescent="0.25">
      <c r="D231" s="263" t="s">
        <v>1361</v>
      </c>
    </row>
    <row r="232" spans="4:40" ht="20.100000000000001" customHeight="1" x14ac:dyDescent="0.25"/>
    <row r="233" spans="4:40" ht="20.100000000000001" customHeight="1" x14ac:dyDescent="0.25">
      <c r="D233" s="35" t="s">
        <v>1362</v>
      </c>
      <c r="E233" s="37"/>
      <c r="F233" s="38"/>
    </row>
    <row r="234" spans="4:40" ht="20.100000000000001" customHeight="1" x14ac:dyDescent="0.25"/>
    <row r="235" spans="4:40" ht="20.100000000000001" customHeight="1" x14ac:dyDescent="0.25">
      <c r="D235" s="81" t="s">
        <v>131</v>
      </c>
      <c r="E235" s="81" t="s">
        <v>1363</v>
      </c>
      <c r="F235" s="123" t="s">
        <v>1364</v>
      </c>
      <c r="G235" s="123" t="s">
        <v>1365</v>
      </c>
      <c r="H235" s="123" t="s">
        <v>1366</v>
      </c>
      <c r="I235" s="81" t="s">
        <v>1367</v>
      </c>
      <c r="J235" s="123" t="s">
        <v>1368</v>
      </c>
      <c r="K235" s="123" t="s">
        <v>1369</v>
      </c>
      <c r="L235" s="81" t="s">
        <v>1323</v>
      </c>
      <c r="M235" s="81" t="s">
        <v>1324</v>
      </c>
      <c r="N235" s="81" t="s">
        <v>1325</v>
      </c>
      <c r="O235" s="123" t="s">
        <v>695</v>
      </c>
      <c r="P235" s="123" t="s">
        <v>696</v>
      </c>
      <c r="Q235" s="123" t="s">
        <v>680</v>
      </c>
      <c r="R235" s="123" t="s">
        <v>681</v>
      </c>
      <c r="S235" s="123" t="s">
        <v>1370</v>
      </c>
      <c r="T235" s="81" t="s">
        <v>1371</v>
      </c>
      <c r="U235" s="123" t="s">
        <v>682</v>
      </c>
      <c r="V235" s="123" t="s">
        <v>683</v>
      </c>
      <c r="W235" s="123" t="s">
        <v>1372</v>
      </c>
      <c r="X235" s="81" t="s">
        <v>1373</v>
      </c>
      <c r="Y235" s="123" t="s">
        <v>684</v>
      </c>
      <c r="Z235" s="123" t="s">
        <v>685</v>
      </c>
      <c r="AA235" s="123" t="s">
        <v>1374</v>
      </c>
      <c r="AB235" s="81" t="s">
        <v>1375</v>
      </c>
      <c r="AC235" s="123" t="s">
        <v>686</v>
      </c>
      <c r="AD235" s="123" t="s">
        <v>687</v>
      </c>
      <c r="AE235" s="123" t="s">
        <v>1376</v>
      </c>
      <c r="AF235" s="81" t="s">
        <v>1377</v>
      </c>
      <c r="AG235" s="123" t="s">
        <v>688</v>
      </c>
      <c r="AH235" s="123" t="s">
        <v>689</v>
      </c>
      <c r="AI235" s="123" t="s">
        <v>1378</v>
      </c>
      <c r="AJ235" s="81" t="s">
        <v>1379</v>
      </c>
      <c r="AK235" s="123" t="s">
        <v>690</v>
      </c>
      <c r="AL235" s="123" t="s">
        <v>691</v>
      </c>
      <c r="AM235" s="123" t="s">
        <v>1380</v>
      </c>
      <c r="AN235" s="81" t="s">
        <v>1381</v>
      </c>
    </row>
    <row r="236" spans="4:40" ht="20.100000000000001" customHeight="1" x14ac:dyDescent="0.25">
      <c r="D236" s="15" t="str" cm="1">
        <f t="array" ref="D236:D245">IFERROR(INDEX(Table_Input_InorganicFertiliser_Brands[Product (select)], _xlfn.SEQUENCE(10)), "")</f>
        <v>Urea</v>
      </c>
      <c r="E236" s="15" cm="1">
        <f t="array" ref="E236:E245">IFERROR(INDEX(Table_Input_InorganicFertiliser_Brands[Total applied (kg)], _xlfn.SEQUENCE(10)), 0)</f>
        <v>100000</v>
      </c>
      <c r="F236" s="15" cm="1">
        <f t="array" ref="F236">Scope3_Equations.VEERG_15_4_1_1__X_EmissionFactorFromPurchasedFertiliserComponents(R236,S236)+
Scope3_Equations.VEERG_15_4_1_1__X_EmissionFactorFromPurchasedFertiliserComponents(V236,W236)+
Scope3_Equations.VEERG_15_4_1_1__X_EmissionFactorFromPurchasedFertiliserComponents(Z236,AA236)+
Scope3_Equations.VEERG_15_4_1_1__X_EmissionFactorFromPurchasedFertiliserComponents(AD236,AE236)+
Scope3_Equations.VEERG_15_4_1_1__X_EmissionFactorFromPurchasedFertiliserComponents(AH236,AI236)+
Scope3_Equations.VEERG_15_4_1_1__X_EmissionFactorFromPurchasedFertiliserComponents(AL236,AM236)</f>
        <v>0.96799999999999997</v>
      </c>
      <c r="G236" s="247" cm="1">
        <f t="array" ref="G236">Scope3_Equations.VEERG_15_4_1_1__1_EmissionsFromPurchasedFertiliser(E236,F236)</f>
        <v>96.8</v>
      </c>
      <c r="H236" s="15" cm="1">
        <f t="array" ref="H236">Scope3_Equations.VEERG_15_4_1_1__2_EmissionsFromPurchasedFertiliserComponentsVariation(R236, $E236,S236)+
Scope3_Equations.VEERG_15_4_1_1__2_EmissionsFromPurchasedFertiliserComponentsVariation(V236, $E236,W236)+
Scope3_Equations.VEERG_15_4_1_1__2_EmissionsFromPurchasedFertiliserComponentsVariation(Z236, $E236,AA236)+
Scope3_Equations.VEERG_15_4_1_1__2_EmissionsFromPurchasedFertiliserComponentsVariation(AD236, $E236,AE236)+
Scope3_Equations.VEERG_15_4_1_1__2_EmissionsFromPurchasedFertiliserComponentsVariation(AH236, $E236,AI236)+
Scope3_Equations.VEERG_15_4_1_1__2_EmissionsFromPurchasedFertiliserComponentsVariation(AL236, $E236,AM236)</f>
        <v>96.8</v>
      </c>
      <c r="I236" s="75">
        <v>0.4</v>
      </c>
      <c r="J236" s="247" cm="1">
        <f t="array" ref="J236">Scope3_Equations.VEERG_15_4_1_1__1_EmissionsFromPurchasedFertiliser(E236,I236)</f>
        <v>40</v>
      </c>
      <c r="K236" s="247" cm="1">
        <f t="array" ref="K236">Scope3_Equations.VEERG_15_4_1_1__2_EmissionsFromPurchasedFertiliserComponentsVariation(R236, $E236,IF(T236,T236,S236))+
Scope3_Equations.VEERG_15_4_1_1__2_EmissionsFromPurchasedFertiliserComponentsVariation(V236, $E236,IF(X236,X236,W236))+
Scope3_Equations.VEERG_15_4_1_1__2_EmissionsFromPurchasedFertiliserComponentsVariation(Z236, $E236,IF(AB236,AB236,AA236))+
Scope3_Equations.VEERG_15_4_1_1__2_EmissionsFromPurchasedFertiliserComponentsVariation(AD236, $E236,IF(AF236,AF236,AE236))+
Scope3_Equations.VEERG_15_4_1_1__2_EmissionsFromPurchasedFertiliserComponentsVariation(AH236, $E236,IF(AJ236,AJ236,AI236))+
Scope3_Equations.VEERG_15_4_1_1__2_EmissionsFromPurchasedFertiliserComponentsVariation(AL236, $E236,IF(AN236,AN236,AM236))</f>
        <v>90</v>
      </c>
      <c r="L236" s="33"/>
      <c r="M236" s="13"/>
      <c r="N236" s="259"/>
      <c r="O236" s="15" t="str" cm="1">
        <f t="array" ref="O236:O245">IFERROR(INDEX(Table_Input_InorganicFertiliser_Brands[Urea source], _xlfn.SEQUENCE(10)), "")</f>
        <v/>
      </c>
      <c r="P236" s="15" t="str" cm="1">
        <f t="array" ref="P236:P245">IFERROR(INDEX(Table_Input_InorganicFertiliser_Brands[Ammonia source], _xlfn.SEQUENCE(10)), "")</f>
        <v/>
      </c>
      <c r="Q236" s="15" t="str" cm="1">
        <f t="array" ref="Q236:Q245">IFERROR(INDEX(Table_Input_InorganicFertiliser_Brands[Ingredient 1], _xlfn.SEQUENCE(10)), "")</f>
        <v>Urea</v>
      </c>
      <c r="R236" s="15" cm="1">
        <f t="array" ref="R236:R245">IFERROR(INDEX(_xlfn.LET(_xlpm.result, Table_Input_InorganicFertiliser_Brands[Ingredient 1 percent], IF(_xlpm.result="", 0, _xlpm.result)), _xlfn.SEQUENCE(10)), 0)</f>
        <v>1</v>
      </c>
      <c r="S236" s="15"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0.96799999999999997</v>
      </c>
      <c r="T236" s="75">
        <v>0.9</v>
      </c>
      <c r="U236" s="15" t="str" cm="1">
        <f t="array" ref="U236:U245">IFERROR(INDEX(Table_Input_InorganicFertiliser_Brands[Ingredient 2], _xlfn.SEQUENCE(10)), "")</f>
        <v/>
      </c>
      <c r="V236" s="15" cm="1">
        <f t="array" ref="V236:V245">IFERROR(INDEX(_xlfn.LET(_xlpm.result, Table_Input_InorganicFertiliser_Brands[Ingredient 2 percent], IF(_xlpm.result="", 0, _xlpm.result)), _xlfn.SEQUENCE(10)), 0)</f>
        <v>0</v>
      </c>
      <c r="W236" s="15"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75">
        <v>0.9</v>
      </c>
      <c r="Y236" s="15" t="str" cm="1">
        <f t="array" ref="Y236:Y245">IFERROR(INDEX(Table_Input_InorganicFertiliser_Brands[Ingredient 3], _xlfn.SEQUENCE(10)), "")</f>
        <v/>
      </c>
      <c r="Z236" s="15" cm="1">
        <f t="array" ref="Z236:Z245">IFERROR(INDEX(_xlfn.LET(_xlpm.result, Table_Input_InorganicFertiliser_Brands[Ingredient 3 percent], IF(_xlpm.result="", 0, _xlpm.result)), _xlfn.SEQUENCE(10)), 0)</f>
        <v>0</v>
      </c>
      <c r="AA236" s="15"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75">
        <v>4</v>
      </c>
      <c r="AC236" s="15" t="str" cm="1">
        <f t="array" ref="AC236:AC245">IFERROR(INDEX(Table_Input_InorganicFertiliser_Brands[Ingredient 4], _xlfn.SEQUENCE(10)), "")</f>
        <v/>
      </c>
      <c r="AD236" s="15" cm="1">
        <f t="array" ref="AD236:AD245">IFERROR(INDEX(_xlfn.LET(_xlpm.result, Table_Input_InorganicFertiliser_Brands[Ingredient 4 percent], IF(_xlpm.result="", 0, _xlpm.result)), _xlfn.SEQUENCE(10)), 0)</f>
        <v>0</v>
      </c>
      <c r="AE236" s="15"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75">
        <v>0</v>
      </c>
      <c r="AG236" s="15" t="str" cm="1">
        <f t="array" ref="AG236:AG245">IFERROR(INDEX(Table_Input_InorganicFertiliser_Brands[Ingredient 5], _xlfn.SEQUENCE(10)), "")</f>
        <v/>
      </c>
      <c r="AH236" s="15" cm="1">
        <f t="array" ref="AH236:AH245">IFERROR(INDEX(_xlfn.LET(_xlpm.result, Table_Input_InorganicFertiliser_Brands[Ingredient 5 percent], IF(_xlpm.result="", 0, _xlpm.result)), _xlfn.SEQUENCE(10)), 0)</f>
        <v>0</v>
      </c>
      <c r="AI236" s="15"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75">
        <v>0</v>
      </c>
      <c r="AK236" s="15" t="str" cm="1">
        <f t="array" ref="AK236:AK245">IFERROR(INDEX(Table_Input_InorganicFertiliser_Brands[Ingredient 6], _xlfn.SEQUENCE(10)), "")</f>
        <v/>
      </c>
      <c r="AL236" s="15" cm="1">
        <f t="array" ref="AL236:AL245">IFERROR(INDEX(_xlfn.LET(_xlpm.result, Table_Input_InorganicFertiliser_Brands[Ingredient 6 percent], IF(_xlpm.result="", 0, _xlpm.result)), _xlfn.SEQUENCE(10)), 0)</f>
        <v>0</v>
      </c>
      <c r="AM236" s="15"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75"/>
    </row>
    <row r="237" spans="4:40" ht="20.100000000000001" customHeight="1" x14ac:dyDescent="0.25">
      <c r="D237" s="15" t="str">
        <v>Boost-It</v>
      </c>
      <c r="E237" s="15">
        <v>100000</v>
      </c>
      <c r="F237" s="15"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
Scope3_Equations.VEERG_15_4_1_1__X_EmissionFactorFromPurchasedFertiliserComponents(AH237,AI237)+
Scope3_Equations.VEERG_15_4_1_1__X_EmissionFactorFromPurchasedFertiliserComponents(AL237,AM237)</f>
        <v>0.9161833519999999</v>
      </c>
      <c r="G237" s="247" cm="1">
        <f t="array" ref="G237">Scope3_Equations.VEERG_15_4_1_1__1_EmissionsFromPurchasedFertiliser(E237,F237)</f>
        <v>91.61833519999999</v>
      </c>
      <c r="H237" s="15"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
Scope3_Equations.VEERG_15_4_1_1__2_EmissionsFromPurchasedFertiliserComponentsVariation(AH237, $E237,AI237)+
Scope3_Equations.VEERG_15_4_1_1__2_EmissionsFromPurchasedFertiliserComponentsVariation(AL237, $E237,AM237)</f>
        <v>91.61833519999999</v>
      </c>
      <c r="I237" s="75">
        <v>0.9</v>
      </c>
      <c r="J237" s="247" cm="1">
        <f t="array" ref="J237">Scope3_Equations.VEERG_15_4_1_1__1_EmissionsFromPurchasedFertiliser(E237,I237)</f>
        <v>90</v>
      </c>
      <c r="K237" s="247"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
Scope3_Equations.VEERG_15_4_1_1__2_EmissionsFromPurchasedFertiliserComponentsVariation(AH237, $E237,IF(AJ237,AJ237,AI237))+
Scope3_Equations.VEERG_15_4_1_1__2_EmissionsFromPurchasedFertiliserComponentsVariation(AL237, $E237,IF(AN237,AN237,AM237))</f>
        <v>91.61833519999999</v>
      </c>
      <c r="L237" s="33"/>
      <c r="M237" s="13"/>
      <c r="N237" s="33"/>
      <c r="O237" s="15" t="str">
        <v/>
      </c>
      <c r="P237" s="15" t="str">
        <v/>
      </c>
      <c r="Q237" s="15" t="str">
        <v>Urea</v>
      </c>
      <c r="R237" s="15">
        <v>0.52173899999999995</v>
      </c>
      <c r="S237" s="1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0.96799999999999997</v>
      </c>
      <c r="T237" s="75"/>
      <c r="U237" s="15" t="str">
        <v>Potassium - Generic</v>
      </c>
      <c r="V237" s="15">
        <v>0.08</v>
      </c>
      <c r="W237" s="1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0.90900000000000003</v>
      </c>
      <c r="X237" s="75"/>
      <c r="Y237" s="15" t="str">
        <v>Sulfur - Generic</v>
      </c>
      <c r="Z237" s="15">
        <v>5.2999999999999999E-2</v>
      </c>
      <c r="AA237" s="1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2.5</v>
      </c>
      <c r="AB237" s="75"/>
      <c r="AC237" s="15" t="str">
        <v>Phosphorus - Generic</v>
      </c>
      <c r="AD237" s="15">
        <v>5.1999999999999998E-2</v>
      </c>
      <c r="AE237" s="1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3.96</v>
      </c>
      <c r="AF237" s="75"/>
      <c r="AG237" s="15" t="str">
        <v>Magnesium</v>
      </c>
      <c r="AH237" s="15">
        <v>1.2999999999999999E-2</v>
      </c>
      <c r="AI237" s="15"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75"/>
      <c r="AK237" s="15" t="str">
        <v>Zinc</v>
      </c>
      <c r="AL237" s="15">
        <v>2E-3</v>
      </c>
      <c r="AM237" s="15"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75"/>
    </row>
    <row r="238" spans="4:40" ht="20.100000000000001" customHeight="1" x14ac:dyDescent="0.25">
      <c r="D238" s="15" t="str">
        <v>Cal-Gran 50/50</v>
      </c>
      <c r="E238" s="15">
        <v>100000</v>
      </c>
      <c r="F238" s="15"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
Scope3_Equations.VEERG_15_4_1_1__X_EmissionFactorFromPurchasedFertiliserComponents(AH238,AI238)+
Scope3_Equations.VEERG_15_4_1_1__X_EmissionFactorFromPurchasedFertiliserComponents(AL238,AM238)</f>
        <v>0.8781199999999999</v>
      </c>
      <c r="G238" s="247" cm="1">
        <f t="array" ref="G238">Scope3_Equations.VEERG_15_4_1_1__1_EmissionsFromPurchasedFertiliser(E238,F238)</f>
        <v>87.811999999999983</v>
      </c>
      <c r="H238" s="15"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
Scope3_Equations.VEERG_15_4_1_1__2_EmissionsFromPurchasedFertiliserComponentsVariation(AH238, $E238,AI238)+
Scope3_Equations.VEERG_15_4_1_1__2_EmissionsFromPurchasedFertiliserComponentsVariation(AL238, $E238,AM238)</f>
        <v>87.811999999999998</v>
      </c>
      <c r="I238" s="75">
        <v>0.4</v>
      </c>
      <c r="J238" s="247" cm="1">
        <f t="array" ref="J238">Scope3_Equations.VEERG_15_4_1_1__1_EmissionsFromPurchasedFertiliser(E238,I238)</f>
        <v>40</v>
      </c>
      <c r="K238" s="247"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
Scope3_Equations.VEERG_15_4_1_1__2_EmissionsFromPurchasedFertiliserComponentsVariation(AH238, $E238,IF(AJ238,AJ238,AI238))+
Scope3_Equations.VEERG_15_4_1_1__2_EmissionsFromPurchasedFertiliserComponentsVariation(AL238, $E238,IF(AN238,AN238,AM238))</f>
        <v>87.811999999999998</v>
      </c>
      <c r="L238" s="33"/>
      <c r="M238" s="13"/>
      <c r="N238" s="33"/>
      <c r="O238" s="15" t="str">
        <v/>
      </c>
      <c r="P238" s="15" t="str">
        <v/>
      </c>
      <c r="Q238" s="15" t="str">
        <v>Nitrogen - Nitrate</v>
      </c>
      <c r="R238" s="15">
        <v>5.5E-2</v>
      </c>
      <c r="S238" s="1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5.47</v>
      </c>
      <c r="T238" s="75"/>
      <c r="U238" s="15" t="str">
        <v>Nitrogen - Ammoniacal</v>
      </c>
      <c r="V238" s="15">
        <v>0.124</v>
      </c>
      <c r="W238" s="1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2.83</v>
      </c>
      <c r="X238" s="75"/>
      <c r="Y238" s="15" t="str">
        <v>Potassium - Generic</v>
      </c>
      <c r="Z238" s="15">
        <v>0.15</v>
      </c>
      <c r="AA238" s="1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0.90900000000000003</v>
      </c>
      <c r="AB238" s="75"/>
      <c r="AC238" s="15" t="str">
        <v>Sulfur - Generic</v>
      </c>
      <c r="AD238" s="15">
        <v>3.5999999999999997E-2</v>
      </c>
      <c r="AE238" s="1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2.5</v>
      </c>
      <c r="AF238" s="75"/>
      <c r="AG238" s="15" t="str">
        <v>Calcium</v>
      </c>
      <c r="AH238" s="15">
        <v>4.3999999999999997E-2</v>
      </c>
      <c r="AI238" s="15"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75"/>
      <c r="AK238" s="15" t="str">
        <v/>
      </c>
      <c r="AL238" s="15">
        <v>0</v>
      </c>
      <c r="AM238" s="15"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75"/>
    </row>
    <row r="239" spans="4:40" ht="20.100000000000001" customHeight="1" x14ac:dyDescent="0.25">
      <c r="D239" s="15">
        <v>0</v>
      </c>
      <c r="E239" s="15">
        <v>0</v>
      </c>
      <c r="F239" s="15"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
Scope3_Equations.VEERG_15_4_1_1__X_EmissionFactorFromPurchasedFertiliserComponents(AH239,AI239)+
Scope3_Equations.VEERG_15_4_1_1__X_EmissionFactorFromPurchasedFertiliserComponents(AL239,AM239)</f>
        <v>0</v>
      </c>
      <c r="G239" s="247" cm="1">
        <f t="array" ref="G239">Scope3_Equations.VEERG_15_4_1_1__1_EmissionsFromPurchasedFertiliser(E239,F239)</f>
        <v>0</v>
      </c>
      <c r="H239" s="15"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
Scope3_Equations.VEERG_15_4_1_1__2_EmissionsFromPurchasedFertiliserComponentsVariation(AH239, $E239,AI239)+
Scope3_Equations.VEERG_15_4_1_1__2_EmissionsFromPurchasedFertiliserComponentsVariation(AL239, $E239,AM239)</f>
        <v>0</v>
      </c>
      <c r="I239" s="75"/>
      <c r="J239" s="247" cm="1">
        <f t="array" ref="J239">Scope3_Equations.VEERG_15_4_1_1__1_EmissionsFromPurchasedFertiliser(E239,I239)</f>
        <v>0</v>
      </c>
      <c r="K239" s="247"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
Scope3_Equations.VEERG_15_4_1_1__2_EmissionsFromPurchasedFertiliserComponentsVariation(AH239, $E239,IF(AJ239,AJ239,AI239))+
Scope3_Equations.VEERG_15_4_1_1__2_EmissionsFromPurchasedFertiliserComponentsVariation(AL239, $E239,IF(AN239,AN239,AM239))</f>
        <v>0</v>
      </c>
      <c r="L239" s="33"/>
      <c r="M239" s="13"/>
      <c r="N239" s="33"/>
      <c r="O239" s="15" t="str">
        <v/>
      </c>
      <c r="P239" s="15" t="str">
        <v/>
      </c>
      <c r="Q239" s="15" t="str">
        <v/>
      </c>
      <c r="R239" s="15">
        <v>0</v>
      </c>
      <c r="S239" s="1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75"/>
      <c r="U239" s="15" t="str">
        <v/>
      </c>
      <c r="V239" s="15">
        <v>0</v>
      </c>
      <c r="W239" s="1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75"/>
      <c r="Y239" s="15" t="str">
        <v/>
      </c>
      <c r="Z239" s="15">
        <v>0</v>
      </c>
      <c r="AA239" s="1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75"/>
      <c r="AC239" s="15" t="str">
        <v/>
      </c>
      <c r="AD239" s="15">
        <v>0</v>
      </c>
      <c r="AE239" s="1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75"/>
      <c r="AG239" s="15" t="str">
        <v/>
      </c>
      <c r="AH239" s="15">
        <v>0</v>
      </c>
      <c r="AI239" s="15"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75"/>
      <c r="AK239" s="15" t="str">
        <v/>
      </c>
      <c r="AL239" s="15">
        <v>0</v>
      </c>
      <c r="AM239" s="15"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75"/>
    </row>
    <row r="240" spans="4:40" ht="20.100000000000001" customHeight="1" x14ac:dyDescent="0.25">
      <c r="D240" s="15">
        <v>0</v>
      </c>
      <c r="E240" s="15">
        <v>0</v>
      </c>
      <c r="F240" s="15"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
Scope3_Equations.VEERG_15_4_1_1__X_EmissionFactorFromPurchasedFertiliserComponents(AH240,AI240)+
Scope3_Equations.VEERG_15_4_1_1__X_EmissionFactorFromPurchasedFertiliserComponents(AL240,AM240)</f>
        <v>0</v>
      </c>
      <c r="G240" s="247" cm="1">
        <f t="array" ref="G240">Scope3_Equations.VEERG_15_4_1_1__1_EmissionsFromPurchasedFertiliser(E240,F240)</f>
        <v>0</v>
      </c>
      <c r="H240" s="15"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
Scope3_Equations.VEERG_15_4_1_1__2_EmissionsFromPurchasedFertiliserComponentsVariation(AH240, $E240,AI240)+
Scope3_Equations.VEERG_15_4_1_1__2_EmissionsFromPurchasedFertiliserComponentsVariation(AL240, $E240,AM240)</f>
        <v>0</v>
      </c>
      <c r="I240" s="75"/>
      <c r="J240" s="247" cm="1">
        <f t="array" ref="J240">Scope3_Equations.VEERG_15_4_1_1__1_EmissionsFromPurchasedFertiliser(E240,I240)</f>
        <v>0</v>
      </c>
      <c r="K240" s="247"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
Scope3_Equations.VEERG_15_4_1_1__2_EmissionsFromPurchasedFertiliserComponentsVariation(AH240, $E240,IF(AJ240,AJ240,AI240))+
Scope3_Equations.VEERG_15_4_1_1__2_EmissionsFromPurchasedFertiliserComponentsVariation(AL240, $E240,IF(AN240,AN240,AM240))</f>
        <v>0</v>
      </c>
      <c r="L240" s="33"/>
      <c r="M240" s="13"/>
      <c r="N240" s="33"/>
      <c r="O240" s="15" t="str">
        <v/>
      </c>
      <c r="P240" s="15" t="str">
        <v/>
      </c>
      <c r="Q240" s="15" t="str">
        <v/>
      </c>
      <c r="R240" s="15">
        <v>0</v>
      </c>
      <c r="S240" s="1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75"/>
      <c r="U240" s="15" t="str">
        <v/>
      </c>
      <c r="V240" s="15">
        <v>0</v>
      </c>
      <c r="W240" s="1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75"/>
      <c r="Y240" s="15" t="str">
        <v/>
      </c>
      <c r="Z240" s="15">
        <v>0</v>
      </c>
      <c r="AA240" s="1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75"/>
      <c r="AC240" s="15" t="str">
        <v/>
      </c>
      <c r="AD240" s="15">
        <v>0</v>
      </c>
      <c r="AE240" s="1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75"/>
      <c r="AG240" s="15" t="str">
        <v/>
      </c>
      <c r="AH240" s="15">
        <v>0</v>
      </c>
      <c r="AI240" s="15"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75"/>
      <c r="AK240" s="15" t="str">
        <v/>
      </c>
      <c r="AL240" s="15">
        <v>0</v>
      </c>
      <c r="AM240" s="15"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75"/>
    </row>
    <row r="241" spans="4:40" ht="20.100000000000001" customHeight="1" x14ac:dyDescent="0.25">
      <c r="D241" s="15">
        <v>0</v>
      </c>
      <c r="E241" s="15">
        <v>0</v>
      </c>
      <c r="F241" s="15"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
Scope3_Equations.VEERG_15_4_1_1__X_EmissionFactorFromPurchasedFertiliserComponents(AH241,AI241)+
Scope3_Equations.VEERG_15_4_1_1__X_EmissionFactorFromPurchasedFertiliserComponents(AL241,AM241)</f>
        <v>0</v>
      </c>
      <c r="G241" s="247" cm="1">
        <f t="array" ref="G241">Scope3_Equations.VEERG_15_4_1_1__1_EmissionsFromPurchasedFertiliser(E241,F241)</f>
        <v>0</v>
      </c>
      <c r="H241" s="15"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
Scope3_Equations.VEERG_15_4_1_1__2_EmissionsFromPurchasedFertiliserComponentsVariation(AH241, $E241,AI241)+
Scope3_Equations.VEERG_15_4_1_1__2_EmissionsFromPurchasedFertiliserComponentsVariation(AL241, $E241,AM241)</f>
        <v>0</v>
      </c>
      <c r="I241" s="75"/>
      <c r="J241" s="247" cm="1">
        <f t="array" ref="J241">Scope3_Equations.VEERG_15_4_1_1__1_EmissionsFromPurchasedFertiliser(E241,I241)</f>
        <v>0</v>
      </c>
      <c r="K241" s="247"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
Scope3_Equations.VEERG_15_4_1_1__2_EmissionsFromPurchasedFertiliserComponentsVariation(AH241, $E241,IF(AJ241,AJ241,AI241))+
Scope3_Equations.VEERG_15_4_1_1__2_EmissionsFromPurchasedFertiliserComponentsVariation(AL241, $E241,IF(AN241,AN241,AM241))</f>
        <v>0</v>
      </c>
      <c r="L241" s="33"/>
      <c r="M241" s="13"/>
      <c r="N241" s="33"/>
      <c r="O241" s="15" t="str">
        <v/>
      </c>
      <c r="P241" s="15" t="str">
        <v/>
      </c>
      <c r="Q241" s="15" t="str">
        <v/>
      </c>
      <c r="R241" s="15">
        <v>0</v>
      </c>
      <c r="S241" s="1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75"/>
      <c r="U241" s="15" t="str">
        <v/>
      </c>
      <c r="V241" s="15">
        <v>0</v>
      </c>
      <c r="W241" s="1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75"/>
      <c r="Y241" s="15" t="str">
        <v/>
      </c>
      <c r="Z241" s="15">
        <v>0</v>
      </c>
      <c r="AA241" s="1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75"/>
      <c r="AC241" s="15" t="str">
        <v/>
      </c>
      <c r="AD241" s="15">
        <v>0</v>
      </c>
      <c r="AE241" s="1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75"/>
      <c r="AG241" s="15" t="str">
        <v/>
      </c>
      <c r="AH241" s="15">
        <v>0</v>
      </c>
      <c r="AI241" s="15"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75"/>
      <c r="AK241" s="15" t="str">
        <v/>
      </c>
      <c r="AL241" s="15">
        <v>0</v>
      </c>
      <c r="AM241" s="15"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75"/>
    </row>
    <row r="242" spans="4:40" ht="20.100000000000001" customHeight="1" x14ac:dyDescent="0.25">
      <c r="D242" s="15">
        <v>0</v>
      </c>
      <c r="E242" s="15">
        <v>0</v>
      </c>
      <c r="F242" s="15"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
Scope3_Equations.VEERG_15_4_1_1__X_EmissionFactorFromPurchasedFertiliserComponents(AH242,AI242)+
Scope3_Equations.VEERG_15_4_1_1__X_EmissionFactorFromPurchasedFertiliserComponents(AL242,AM242)</f>
        <v>0</v>
      </c>
      <c r="G242" s="247" cm="1">
        <f t="array" ref="G242">Scope3_Equations.VEERG_15_4_1_1__1_EmissionsFromPurchasedFertiliser(E242,F242)</f>
        <v>0</v>
      </c>
      <c r="H242" s="15"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
Scope3_Equations.VEERG_15_4_1_1__2_EmissionsFromPurchasedFertiliserComponentsVariation(AH242, $E242,AI242)+
Scope3_Equations.VEERG_15_4_1_1__2_EmissionsFromPurchasedFertiliserComponentsVariation(AL242, $E242,AM242)</f>
        <v>0</v>
      </c>
      <c r="I242" s="75"/>
      <c r="J242" s="247" cm="1">
        <f t="array" ref="J242">Scope3_Equations.VEERG_15_4_1_1__1_EmissionsFromPurchasedFertiliser(E242,I242)</f>
        <v>0</v>
      </c>
      <c r="K242" s="247"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
Scope3_Equations.VEERG_15_4_1_1__2_EmissionsFromPurchasedFertiliserComponentsVariation(AH242, $E242,IF(AJ242,AJ242,AI242))+
Scope3_Equations.VEERG_15_4_1_1__2_EmissionsFromPurchasedFertiliserComponentsVariation(AL242, $E242,IF(AN242,AN242,AM242))</f>
        <v>0</v>
      </c>
      <c r="L242" s="33"/>
      <c r="M242" s="13"/>
      <c r="N242" s="33"/>
      <c r="O242" s="15" t="str">
        <v/>
      </c>
      <c r="P242" s="15" t="str">
        <v/>
      </c>
      <c r="Q242" s="15" t="str">
        <v/>
      </c>
      <c r="R242" s="15">
        <v>0</v>
      </c>
      <c r="S242" s="1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75"/>
      <c r="U242" s="15" t="str">
        <v/>
      </c>
      <c r="V242" s="15">
        <v>0</v>
      </c>
      <c r="W242" s="1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75"/>
      <c r="Y242" s="15" t="str">
        <v/>
      </c>
      <c r="Z242" s="15">
        <v>0</v>
      </c>
      <c r="AA242" s="1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75"/>
      <c r="AC242" s="15" t="str">
        <v/>
      </c>
      <c r="AD242" s="15">
        <v>0</v>
      </c>
      <c r="AE242" s="1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75"/>
      <c r="AG242" s="15" t="str">
        <v/>
      </c>
      <c r="AH242" s="15">
        <v>0</v>
      </c>
      <c r="AI242" s="15"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75"/>
      <c r="AK242" s="15" t="str">
        <v/>
      </c>
      <c r="AL242" s="15">
        <v>0</v>
      </c>
      <c r="AM242" s="15"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75"/>
    </row>
    <row r="243" spans="4:40" ht="20.100000000000001" customHeight="1" x14ac:dyDescent="0.25">
      <c r="D243" s="15">
        <v>0</v>
      </c>
      <c r="E243" s="15">
        <v>0</v>
      </c>
      <c r="F243" s="15"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
Scope3_Equations.VEERG_15_4_1_1__X_EmissionFactorFromPurchasedFertiliserComponents(AH243,AI243)+
Scope3_Equations.VEERG_15_4_1_1__X_EmissionFactorFromPurchasedFertiliserComponents(AL243,AM243)</f>
        <v>0</v>
      </c>
      <c r="G243" s="247" cm="1">
        <f t="array" ref="G243">Scope3_Equations.VEERG_15_4_1_1__1_EmissionsFromPurchasedFertiliser(E243,F243)</f>
        <v>0</v>
      </c>
      <c r="H243" s="15"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
Scope3_Equations.VEERG_15_4_1_1__2_EmissionsFromPurchasedFertiliserComponentsVariation(AH243, $E243,AI243)+
Scope3_Equations.VEERG_15_4_1_1__2_EmissionsFromPurchasedFertiliserComponentsVariation(AL243, $E243,AM243)</f>
        <v>0</v>
      </c>
      <c r="I243" s="75"/>
      <c r="J243" s="247" cm="1">
        <f t="array" ref="J243">Scope3_Equations.VEERG_15_4_1_1__1_EmissionsFromPurchasedFertiliser(E243,I243)</f>
        <v>0</v>
      </c>
      <c r="K243" s="247"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
Scope3_Equations.VEERG_15_4_1_1__2_EmissionsFromPurchasedFertiliserComponentsVariation(AH243, $E243,IF(AJ243,AJ243,AI243))+
Scope3_Equations.VEERG_15_4_1_1__2_EmissionsFromPurchasedFertiliserComponentsVariation(AL243, $E243,IF(AN243,AN243,AM243))</f>
        <v>0</v>
      </c>
      <c r="L243" s="33"/>
      <c r="M243" s="13"/>
      <c r="N243" s="33"/>
      <c r="O243" s="15" t="str">
        <v/>
      </c>
      <c r="P243" s="15" t="str">
        <v/>
      </c>
      <c r="Q243" s="15" t="str">
        <v/>
      </c>
      <c r="R243" s="15">
        <v>0</v>
      </c>
      <c r="S243" s="1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75"/>
      <c r="U243" s="15" t="str">
        <v/>
      </c>
      <c r="V243" s="15">
        <v>0</v>
      </c>
      <c r="W243" s="1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75"/>
      <c r="Y243" s="15" t="str">
        <v/>
      </c>
      <c r="Z243" s="15">
        <v>0</v>
      </c>
      <c r="AA243" s="1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75"/>
      <c r="AC243" s="15" t="str">
        <v/>
      </c>
      <c r="AD243" s="15">
        <v>0</v>
      </c>
      <c r="AE243" s="1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75"/>
      <c r="AG243" s="15" t="str">
        <v/>
      </c>
      <c r="AH243" s="15">
        <v>0</v>
      </c>
      <c r="AI243" s="15"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75"/>
      <c r="AK243" s="15" t="str">
        <v/>
      </c>
      <c r="AL243" s="15">
        <v>0</v>
      </c>
      <c r="AM243" s="15"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75"/>
    </row>
    <row r="244" spans="4:40" ht="20.100000000000001" customHeight="1" x14ac:dyDescent="0.25">
      <c r="D244" s="15">
        <v>0</v>
      </c>
      <c r="E244" s="15">
        <v>0</v>
      </c>
      <c r="F244" s="15"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
Scope3_Equations.VEERG_15_4_1_1__X_EmissionFactorFromPurchasedFertiliserComponents(AH244,AI244)+
Scope3_Equations.VEERG_15_4_1_1__X_EmissionFactorFromPurchasedFertiliserComponents(AL244,AM244)</f>
        <v>0</v>
      </c>
      <c r="G244" s="247" cm="1">
        <f t="array" ref="G244">Scope3_Equations.VEERG_15_4_1_1__1_EmissionsFromPurchasedFertiliser(E244,F244)</f>
        <v>0</v>
      </c>
      <c r="H244" s="15"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
Scope3_Equations.VEERG_15_4_1_1__2_EmissionsFromPurchasedFertiliserComponentsVariation(AH244, $E244,AI244)+
Scope3_Equations.VEERG_15_4_1_1__2_EmissionsFromPurchasedFertiliserComponentsVariation(AL244, $E244,AM244)</f>
        <v>0</v>
      </c>
      <c r="I244" s="75"/>
      <c r="J244" s="247" cm="1">
        <f t="array" ref="J244">Scope3_Equations.VEERG_15_4_1_1__1_EmissionsFromPurchasedFertiliser(E244,I244)</f>
        <v>0</v>
      </c>
      <c r="K244" s="247"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
Scope3_Equations.VEERG_15_4_1_1__2_EmissionsFromPurchasedFertiliserComponentsVariation(AH244, $E244,IF(AJ244,AJ244,AI244))+
Scope3_Equations.VEERG_15_4_1_1__2_EmissionsFromPurchasedFertiliserComponentsVariation(AL244, $E244,IF(AN244,AN244,AM244))</f>
        <v>0</v>
      </c>
      <c r="L244" s="33"/>
      <c r="M244" s="13"/>
      <c r="N244" s="33"/>
      <c r="O244" s="15" t="str">
        <v/>
      </c>
      <c r="P244" s="15" t="str">
        <v/>
      </c>
      <c r="Q244" s="15" t="str">
        <v/>
      </c>
      <c r="R244" s="15">
        <v>0</v>
      </c>
      <c r="S244" s="1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75"/>
      <c r="U244" s="15" t="str">
        <v/>
      </c>
      <c r="V244" s="15">
        <v>0</v>
      </c>
      <c r="W244" s="1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75"/>
      <c r="Y244" s="15" t="str">
        <v/>
      </c>
      <c r="Z244" s="15">
        <v>0</v>
      </c>
      <c r="AA244" s="1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75"/>
      <c r="AC244" s="15" t="str">
        <v/>
      </c>
      <c r="AD244" s="15">
        <v>0</v>
      </c>
      <c r="AE244" s="1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75"/>
      <c r="AG244" s="15" t="str">
        <v/>
      </c>
      <c r="AH244" s="15">
        <v>0</v>
      </c>
      <c r="AI244" s="15"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75"/>
      <c r="AK244" s="15" t="str">
        <v/>
      </c>
      <c r="AL244" s="15">
        <v>0</v>
      </c>
      <c r="AM244" s="15"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75"/>
    </row>
    <row r="245" spans="4:40" ht="20.100000000000001" customHeight="1" x14ac:dyDescent="0.25">
      <c r="D245" s="15">
        <v>0</v>
      </c>
      <c r="E245" s="15">
        <v>0</v>
      </c>
      <c r="F245" s="15"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
Scope3_Equations.VEERG_15_4_1_1__X_EmissionFactorFromPurchasedFertiliserComponents(AH245,AI245)+
Scope3_Equations.VEERG_15_4_1_1__X_EmissionFactorFromPurchasedFertiliserComponents(AL245,AM245)</f>
        <v>0</v>
      </c>
      <c r="G245" s="247" cm="1">
        <f t="array" ref="G245">Scope3_Equations.VEERG_15_4_1_1__1_EmissionsFromPurchasedFertiliser(E245,F245)</f>
        <v>0</v>
      </c>
      <c r="H245" s="15"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
Scope3_Equations.VEERG_15_4_1_1__2_EmissionsFromPurchasedFertiliserComponentsVariation(AH245, $E245,AI245)+
Scope3_Equations.VEERG_15_4_1_1__2_EmissionsFromPurchasedFertiliserComponentsVariation(AL245, $E245,AM245)</f>
        <v>0</v>
      </c>
      <c r="I245" s="75"/>
      <c r="J245" s="247" cm="1">
        <f t="array" ref="J245">Scope3_Equations.VEERG_15_4_1_1__1_EmissionsFromPurchasedFertiliser(E245,I245)</f>
        <v>0</v>
      </c>
      <c r="K245" s="247"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
Scope3_Equations.VEERG_15_4_1_1__2_EmissionsFromPurchasedFertiliserComponentsVariation(AH245, $E245,IF(AJ245,AJ245,AI245))+
Scope3_Equations.VEERG_15_4_1_1__2_EmissionsFromPurchasedFertiliserComponentsVariation(AL245, $E245,IF(AN245,AN245,AM245))</f>
        <v>0</v>
      </c>
      <c r="L245" s="33"/>
      <c r="M245" s="13"/>
      <c r="N245" s="33"/>
      <c r="O245" s="15" t="str">
        <v/>
      </c>
      <c r="P245" s="15" t="str">
        <v/>
      </c>
      <c r="Q245" s="15" t="str">
        <v/>
      </c>
      <c r="R245" s="15">
        <v>0</v>
      </c>
      <c r="S245" s="1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75"/>
      <c r="U245" s="15" t="str">
        <v/>
      </c>
      <c r="V245" s="15">
        <v>0</v>
      </c>
      <c r="W245" s="1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75"/>
      <c r="Y245" s="15" t="str">
        <v/>
      </c>
      <c r="Z245" s="15">
        <v>0</v>
      </c>
      <c r="AA245" s="1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75"/>
      <c r="AC245" s="15" t="str">
        <v/>
      </c>
      <c r="AD245" s="15">
        <v>0</v>
      </c>
      <c r="AE245" s="1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75"/>
      <c r="AG245" s="15" t="str">
        <v/>
      </c>
      <c r="AH245" s="15">
        <v>0</v>
      </c>
      <c r="AI245" s="15"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75"/>
      <c r="AK245" s="15" t="str">
        <v/>
      </c>
      <c r="AL245" s="15">
        <v>0</v>
      </c>
      <c r="AM245" s="15"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75"/>
    </row>
    <row r="246" spans="4:40" ht="20.100000000000001" customHeight="1" x14ac:dyDescent="0.25"/>
    <row r="247" spans="4:40" ht="20.100000000000001" customHeight="1" x14ac:dyDescent="0.25">
      <c r="D247" s="263" t="s">
        <v>1382</v>
      </c>
    </row>
    <row r="248" spans="4:40" ht="20.100000000000001" customHeight="1" x14ac:dyDescent="0.25"/>
    <row r="249" spans="4:40" ht="20.100000000000001" customHeight="1" x14ac:dyDescent="0.25">
      <c r="D249" s="35" t="s">
        <v>1383</v>
      </c>
      <c r="E249" s="37"/>
      <c r="F249" s="38"/>
    </row>
    <row r="250" spans="4:40" ht="20.100000000000001" customHeight="1" x14ac:dyDescent="0.25"/>
    <row r="251" spans="4:40" ht="20.100000000000001" customHeight="1" x14ac:dyDescent="0.25">
      <c r="D251" s="81" t="s">
        <v>1345</v>
      </c>
      <c r="E251" s="81" t="s">
        <v>1363</v>
      </c>
      <c r="F251" s="123" t="s">
        <v>1364</v>
      </c>
      <c r="G251" s="123" t="s">
        <v>1365</v>
      </c>
      <c r="H251" s="123" t="s">
        <v>1366</v>
      </c>
      <c r="I251" s="81" t="s">
        <v>1367</v>
      </c>
      <c r="J251" s="123" t="s">
        <v>1368</v>
      </c>
      <c r="K251" s="123" t="s">
        <v>1369</v>
      </c>
      <c r="L251" s="81" t="s">
        <v>1323</v>
      </c>
      <c r="M251" s="81" t="s">
        <v>1324</v>
      </c>
      <c r="N251" s="81" t="s">
        <v>1325</v>
      </c>
      <c r="O251" s="123" t="s">
        <v>695</v>
      </c>
      <c r="P251" s="123" t="s">
        <v>696</v>
      </c>
      <c r="Q251" s="123" t="s">
        <v>680</v>
      </c>
      <c r="R251" s="123" t="s">
        <v>681</v>
      </c>
      <c r="S251" s="123" t="s">
        <v>1370</v>
      </c>
      <c r="T251" s="81" t="s">
        <v>1371</v>
      </c>
      <c r="U251" s="123" t="s">
        <v>682</v>
      </c>
      <c r="V251" s="123" t="s">
        <v>683</v>
      </c>
      <c r="W251" s="123" t="s">
        <v>1372</v>
      </c>
      <c r="X251" s="81" t="s">
        <v>1373</v>
      </c>
      <c r="Y251" s="123" t="s">
        <v>684</v>
      </c>
      <c r="Z251" s="123" t="s">
        <v>685</v>
      </c>
      <c r="AA251" s="123" t="s">
        <v>1374</v>
      </c>
      <c r="AB251" s="81" t="s">
        <v>1375</v>
      </c>
      <c r="AC251" s="123" t="s">
        <v>686</v>
      </c>
      <c r="AD251" s="123" t="s">
        <v>687</v>
      </c>
      <c r="AE251" s="123" t="s">
        <v>1376</v>
      </c>
      <c r="AF251" s="81" t="s">
        <v>1377</v>
      </c>
    </row>
    <row r="252" spans="4:40" ht="20.100000000000001" customHeight="1" x14ac:dyDescent="0.25">
      <c r="D252" s="15" t="str" cm="1">
        <f t="array" ref="D252:D261">IFERROR(INDEX(Table_Input_InorganicFertiliser_Custom[Custom blend name], _xlfn.SEQUENCE(10)), "")</f>
        <v>My first custom blend</v>
      </c>
      <c r="E252" s="15" cm="1">
        <f t="array" ref="E252:E261">IFERROR(INDEX(Table_Input_InorganicFertiliser_Custom[Total applied (kg)], _xlfn.SEQUENCE(10)), 0)</f>
        <v>100000</v>
      </c>
      <c r="F252" s="15" cm="1">
        <f t="array" ref="F252">Scope3_Equations.VEERG_15_4_1_1__X_EmissionFactorFromPurchasedFertiliserComponents(R252,S252)+
Scope3_Equations.VEERG_15_4_1_1__X_EmissionFactorFromPurchasedFertiliserComponents(V252,W252)+
Scope3_Equations.VEERG_15_4_1_1__X_EmissionFactorFromPurchasedFertiliserComponents(Z252,AA252)+
Scope3_Equations.VEERG_15_4_1_1__X_EmissionFactorFromPurchasedFertiliserComponents(AD252,AE252)</f>
        <v>1.7707999999999999</v>
      </c>
      <c r="G252" s="247" cm="1">
        <f t="array" ref="G252">Scope3_Equations.VEERG_15_4_1_1__1_EmissionsFromPurchasedFertiliser(E252,F252)</f>
        <v>177.08</v>
      </c>
      <c r="H252" s="15" cm="1">
        <f t="array" ref="H252">Scope3_Equations.VEERG_15_4_1_1__2_EmissionsFromPurchasedFertiliserComponentsVariation(R252, $E252,S252)+
Scope3_Equations.VEERG_15_4_1_1__2_EmissionsFromPurchasedFertiliserComponentsVariation(V252, $E252,W252)+
Scope3_Equations.VEERG_15_4_1_1__2_EmissionsFromPurchasedFertiliserComponentsVariation(Z252, $E252,AA252)+
Scope3_Equations.VEERG_15_4_1_1__2_EmissionsFromPurchasedFertiliserComponentsVariation(AD252, $E252,AE252)</f>
        <v>177.08</v>
      </c>
      <c r="I252" s="75">
        <v>0.4</v>
      </c>
      <c r="J252" s="247" cm="1">
        <f t="array" ref="J252">Scope3_Equations.VEERG_15_4_1_1__1_EmissionsFromPurchasedFertiliser(E252,I252)</f>
        <v>40</v>
      </c>
      <c r="K252" s="247" cm="1">
        <f t="array" ref="K252">Scope3_Equations.VEERG_15_4_1_1__2_EmissionsFromPurchasedFertiliserComponentsVariation(R252, $E252,IF(T252,T252,S252))+
Scope3_Equations.VEERG_15_4_1_1__2_EmissionsFromPurchasedFertiliserComponentsVariation(V252, $E252,IF(X252,X252,W252))+
Scope3_Equations.VEERG_15_4_1_1__2_EmissionsFromPurchasedFertiliserComponentsVariation(Z252, $E252,IF(AB252,AB252,AA252))+
Scope3_Equations.VEERG_15_4_1_1__2_EmissionsFromPurchasedFertiliserComponentsVariation(AD252, $E252,IF(AF252,AF252,AE252))</f>
        <v>168</v>
      </c>
      <c r="L252" s="33"/>
      <c r="M252" s="13"/>
      <c r="N252" s="259"/>
      <c r="O252" s="15" t="str" cm="1">
        <f t="array" ref="O252:O261">_xlfn.LET(_xlpm.v, INDEX(Table_Input_InorganicFertiliser_Custom[Urea source (Select)], _xlfn.SEQUENCE(10)), IFERROR(IF(_xlpm.v=0, "", _xlpm.v), ""))</f>
        <v/>
      </c>
      <c r="P252" s="15" t="str" cm="1">
        <f t="array" ref="P252:P261">_xlfn.LET(_xlpm.v, INDEX(Table_Input_InorganicFertiliser_Custom[Ammonia source (select)], _xlfn.SEQUENCE(10)), IFERROR(IF(_xlpm.v=0, "", _xlpm.v), ""))</f>
        <v/>
      </c>
      <c r="Q252" s="15" t="str" cm="1">
        <f t="array" ref="Q252:Q261">IFERROR(INDEX(Table_Input_InorganicFertiliser_Custom[Ingredient 1 (select)], _xlfn.SEQUENCE(10)), "")</f>
        <v>Calcium nitrate</v>
      </c>
      <c r="R252" s="15" cm="1">
        <f t="array" ref="R252:R261">IFERROR(INDEX(_xlfn.LET(_xlpm.result, Table_Input_InorganicFertiliser_Custom[Ingredient 1 percent], IF(_xlpm.result="", 0, _xlpm.result)), _xlfn.SEQUENCE(10)), 0)</f>
        <v>0.5</v>
      </c>
      <c r="S252" s="15"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0.75</v>
      </c>
      <c r="T252" s="75">
        <v>0.9</v>
      </c>
      <c r="U252" s="15" t="str" cm="1">
        <f t="array" ref="U252:U261">IFERROR(INDEX(Table_Input_InorganicFertiliser_Custom[Ingredient 2], _xlfn.SEQUENCE(10)), "")</f>
        <v>Zinc - Generic</v>
      </c>
      <c r="V252" s="15" cm="1">
        <f t="array" ref="V252:V261">IFERROR(INDEX(_xlfn.LET(_xlpm.result, Table_Input_InorganicFertiliser_Custom[Ingredient 2 percent], IF(_xlpm.result="", 0, _xlpm.result)), _xlfn.SEQUENCE(10)), 0)</f>
        <v>0.2</v>
      </c>
      <c r="W252" s="15"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4.82</v>
      </c>
      <c r="X252" s="75">
        <v>0.9</v>
      </c>
      <c r="Y252" s="15" t="str" cm="1">
        <f t="array" ref="Y252:Y261">IFERROR(INDEX(Table_Input_InorganicFertiliser_Custom[Ingredient 3], _xlfn.SEQUENCE(10)), "")</f>
        <v>Potassium - Generic</v>
      </c>
      <c r="Z252" s="15" cm="1">
        <f t="array" ref="Z252:Z261">IFERROR(INDEX(_xlfn.LET(_xlpm.result, Table_Input_InorganicFertiliser_Custom[Ingredient 3 percent], IF(_xlpm.result="", 0, _xlpm.result)), _xlfn.SEQUENCE(10)), 0)</f>
        <v>0.2</v>
      </c>
      <c r="AA252" s="15"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0.90900000000000003</v>
      </c>
      <c r="AB252" s="75">
        <v>4</v>
      </c>
      <c r="AC252" s="15" t="str" cm="1">
        <f t="array" ref="AC252:AC261">IFERROR(INDEX(Table_Input_InorganicFertiliser_Custom[Ingredient 4], _xlfn.SEQUENCE(10)), "")</f>
        <v>Sulfur - Generic</v>
      </c>
      <c r="AD252" s="15" cm="1">
        <f t="array" ref="AD252:AD261">IFERROR(INDEX(_xlfn.LET(_xlpm.result, Table_Input_InorganicFertiliser_Custom[Ingredient 4 percent], IF(_xlpm.result="", 0, _xlpm.result)), _xlfn.SEQUENCE(10)), 0)</f>
        <v>0.1</v>
      </c>
      <c r="AE252" s="15"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2.5</v>
      </c>
      <c r="AF252" s="75">
        <v>0</v>
      </c>
    </row>
    <row r="253" spans="4:40" ht="20.100000000000001" customHeight="1" x14ac:dyDescent="0.25">
      <c r="D253" s="15" t="str">
        <v>My second custom blend</v>
      </c>
      <c r="E253" s="15">
        <v>100000</v>
      </c>
      <c r="F253" s="15" cm="1">
        <f t="array" ref="F253">Scope3_Equations.VEERG_15_4_1_1__X_EmissionFactorFromPurchasedFertiliserComponents(R253,S253)+
Scope3_Equations.VEERG_15_4_1_1__X_EmissionFactorFromPurchasedFertiliserComponents(V253,W253)+
Scope3_Equations.VEERG_15_4_1_1__X_EmissionFactorFromPurchasedFertiliserComponents(Z253,AA253)+
Scope3_Equations.VEERG_15_4_1_1__X_EmissionFactorFromPurchasedFertiliserComponents(AD253,AE253)</f>
        <v>0.96799999999999997</v>
      </c>
      <c r="G253" s="247" cm="1">
        <f t="array" ref="G253">Scope3_Equations.VEERG_15_4_1_1__1_EmissionsFromPurchasedFertiliser(E253,F253)</f>
        <v>96.8</v>
      </c>
      <c r="H253" s="15" cm="1">
        <f t="array" ref="H253">Scope3_Equations.VEERG_15_4_1_1__2_EmissionsFromPurchasedFertiliserComponentsVariation(R253, $E253,S253)+
Scope3_Equations.VEERG_15_4_1_1__2_EmissionsFromPurchasedFertiliserComponentsVariation(V253, $E253,W253)+
Scope3_Equations.VEERG_15_4_1_1__2_EmissionsFromPurchasedFertiliserComponentsVariation(Z253, $E253,AA253)+
Scope3_Equations.VEERG_15_4_1_1__2_EmissionsFromPurchasedFertiliserComponentsVariation(AD253, $E253,AE253)</f>
        <v>96.8</v>
      </c>
      <c r="I253" s="75">
        <v>0.9</v>
      </c>
      <c r="J253" s="247" cm="1">
        <f t="array" ref="J253">Scope3_Equations.VEERG_15_4_1_1__1_EmissionsFromPurchasedFertiliser(E253,I253)</f>
        <v>90</v>
      </c>
      <c r="K253" s="247" cm="1">
        <f t="array" ref="K253">Scope3_Equations.VEERG_15_4_1_1__2_EmissionsFromPurchasedFertiliserComponentsVariation(R253, $E253,IF(T253,T253,S253))+
Scope3_Equations.VEERG_15_4_1_1__2_EmissionsFromPurchasedFertiliserComponentsVariation(V253, $E253,IF(X253,X253,W253))+
Scope3_Equations.VEERG_15_4_1_1__2_EmissionsFromPurchasedFertiliserComponentsVariation(Z253, $E253,IF(AB253,AB253,AA253))+
Scope3_Equations.VEERG_15_4_1_1__2_EmissionsFromPurchasedFertiliserComponentsVariation(AD253, $E253,IF(AF253,AF253,AE253))</f>
        <v>96.8</v>
      </c>
      <c r="L253" s="33"/>
      <c r="M253" s="13"/>
      <c r="N253" s="33"/>
      <c r="O253" s="274" t="str">
        <v/>
      </c>
      <c r="P253" s="274" t="str">
        <v/>
      </c>
      <c r="Q253" s="15" t="str">
        <v>Urea</v>
      </c>
      <c r="R253" s="15">
        <v>1</v>
      </c>
      <c r="S253" s="15"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0.96799999999999997</v>
      </c>
      <c r="T253" s="75"/>
      <c r="U253" s="15">
        <v>0</v>
      </c>
      <c r="V253" s="15">
        <v>0</v>
      </c>
      <c r="W253" s="15"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75"/>
      <c r="Y253" s="15">
        <v>0</v>
      </c>
      <c r="Z253" s="15">
        <v>0</v>
      </c>
      <c r="AA253" s="15"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75"/>
      <c r="AC253" s="15">
        <v>0</v>
      </c>
      <c r="AD253" s="15">
        <v>0</v>
      </c>
      <c r="AE253" s="15"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75"/>
    </row>
    <row r="254" spans="4:40" ht="20.100000000000001" customHeight="1" x14ac:dyDescent="0.25">
      <c r="D254" s="15" t="str">
        <v>My third custom blend</v>
      </c>
      <c r="E254" s="15">
        <v>100000</v>
      </c>
      <c r="F254" s="15" cm="1">
        <f t="array" ref="F254">Scope3_Equations.VEERG_15_4_1_1__X_EmissionFactorFromPurchasedFertiliserComponents(R254,S254)+
Scope3_Equations.VEERG_15_4_1_1__X_EmissionFactorFromPurchasedFertiliserComponents(V254,W254)+
Scope3_Equations.VEERG_15_4_1_1__X_EmissionFactorFromPurchasedFertiliserComponents(Z254,AA254)+
Scope3_Equations.VEERG_15_4_1_1__X_EmissionFactorFromPurchasedFertiliserComponents(AD254,AE254)</f>
        <v>1.1599999999999999</v>
      </c>
      <c r="G254" s="247" cm="1">
        <f t="array" ref="G254">Scope3_Equations.VEERG_15_4_1_1__1_EmissionsFromPurchasedFertiliser(E254,F254)</f>
        <v>115.99999999999999</v>
      </c>
      <c r="H254" s="15" cm="1">
        <f t="array" ref="H254">Scope3_Equations.VEERG_15_4_1_1__2_EmissionsFromPurchasedFertiliserComponentsVariation(R254, $E254,S254)+
Scope3_Equations.VEERG_15_4_1_1__2_EmissionsFromPurchasedFertiliserComponentsVariation(V254, $E254,W254)+
Scope3_Equations.VEERG_15_4_1_1__2_EmissionsFromPurchasedFertiliserComponentsVariation(Z254, $E254,AA254)+
Scope3_Equations.VEERG_15_4_1_1__2_EmissionsFromPurchasedFertiliserComponentsVariation(AD254, $E254,AE254)</f>
        <v>115.99999999999999</v>
      </c>
      <c r="I254" s="75">
        <v>0.4</v>
      </c>
      <c r="J254" s="247" cm="1">
        <f t="array" ref="J254">Scope3_Equations.VEERG_15_4_1_1__1_EmissionsFromPurchasedFertiliser(E254,I254)</f>
        <v>40</v>
      </c>
      <c r="K254" s="247" cm="1">
        <f t="array" ref="K254">Scope3_Equations.VEERG_15_4_1_1__2_EmissionsFromPurchasedFertiliserComponentsVariation(R254, $E254,IF(T254,T254,S254))+
Scope3_Equations.VEERG_15_4_1_1__2_EmissionsFromPurchasedFertiliserComponentsVariation(V254, $E254,IF(X254,X254,W254))+
Scope3_Equations.VEERG_15_4_1_1__2_EmissionsFromPurchasedFertiliserComponentsVariation(Z254, $E254,IF(AB254,AB254,AA254))+
Scope3_Equations.VEERG_15_4_1_1__2_EmissionsFromPurchasedFertiliserComponentsVariation(AD254, $E254,IF(AF254,AF254,AE254))</f>
        <v>115.99999999999999</v>
      </c>
      <c r="L254" s="33"/>
      <c r="M254" s="13"/>
      <c r="N254" s="33"/>
      <c r="O254" s="274" t="str">
        <v/>
      </c>
      <c r="P254" s="274" t="str">
        <v/>
      </c>
      <c r="Q254" s="15" t="str">
        <v>Ammonia</v>
      </c>
      <c r="R254" s="15">
        <v>0.5</v>
      </c>
      <c r="S254" s="15"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2.3199999999999998</v>
      </c>
      <c r="T254" s="75"/>
      <c r="U254" s="15">
        <v>0</v>
      </c>
      <c r="V254" s="15">
        <v>0</v>
      </c>
      <c r="W254" s="15"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75"/>
      <c r="Y254" s="15">
        <v>0</v>
      </c>
      <c r="Z254" s="15">
        <v>0</v>
      </c>
      <c r="AA254" s="15"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75"/>
      <c r="AC254" s="15">
        <v>0</v>
      </c>
      <c r="AD254" s="15">
        <v>0</v>
      </c>
      <c r="AE254" s="15"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75"/>
    </row>
    <row r="255" spans="4:40" ht="20.100000000000001" customHeight="1" x14ac:dyDescent="0.25">
      <c r="D255" s="15">
        <v>0</v>
      </c>
      <c r="E255" s="15">
        <v>0</v>
      </c>
      <c r="F255" s="15" cm="1">
        <f t="array" ref="F255">Scope3_Equations.VEERG_15_4_1_1__X_EmissionFactorFromPurchasedFertiliserComponents(R255,S255)+
Scope3_Equations.VEERG_15_4_1_1__X_EmissionFactorFromPurchasedFertiliserComponents(V255,W255)+
Scope3_Equations.VEERG_15_4_1_1__X_EmissionFactorFromPurchasedFertiliserComponents(Z255,AA255)+
Scope3_Equations.VEERG_15_4_1_1__X_EmissionFactorFromPurchasedFertiliserComponents(AD255,AE255)</f>
        <v>0</v>
      </c>
      <c r="G255" s="247" cm="1">
        <f t="array" ref="G255">Scope3_Equations.VEERG_15_4_1_1__1_EmissionsFromPurchasedFertiliser(E255,F255)</f>
        <v>0</v>
      </c>
      <c r="H255" s="15" cm="1">
        <f t="array" ref="H255">Scope3_Equations.VEERG_15_4_1_1__2_EmissionsFromPurchasedFertiliserComponentsVariation(R255, $E255,S255)+
Scope3_Equations.VEERG_15_4_1_1__2_EmissionsFromPurchasedFertiliserComponentsVariation(V255, $E255,W255)+
Scope3_Equations.VEERG_15_4_1_1__2_EmissionsFromPurchasedFertiliserComponentsVariation(Z255, $E255,AA255)+
Scope3_Equations.VEERG_15_4_1_1__2_EmissionsFromPurchasedFertiliserComponentsVariation(AD255, $E255,AE255)</f>
        <v>0</v>
      </c>
      <c r="I255" s="75"/>
      <c r="J255" s="247" cm="1">
        <f t="array" ref="J255">Scope3_Equations.VEERG_15_4_1_1__1_EmissionsFromPurchasedFertiliser(E255,I255)</f>
        <v>0</v>
      </c>
      <c r="K255" s="247" cm="1">
        <f t="array" ref="K255">Scope3_Equations.VEERG_15_4_1_1__2_EmissionsFromPurchasedFertiliserComponentsVariation(R255, $E255,IF(T255,T255,S255))+
Scope3_Equations.VEERG_15_4_1_1__2_EmissionsFromPurchasedFertiliserComponentsVariation(V255, $E255,IF(X255,X255,W255))+
Scope3_Equations.VEERG_15_4_1_1__2_EmissionsFromPurchasedFertiliserComponentsVariation(Z255, $E255,IF(AB255,AB255,AA255))+
Scope3_Equations.VEERG_15_4_1_1__2_EmissionsFromPurchasedFertiliserComponentsVariation(AD255, $E255,IF(AF255,AF255,AE255))</f>
        <v>0</v>
      </c>
      <c r="L255" s="33"/>
      <c r="M255" s="13"/>
      <c r="N255" s="33"/>
      <c r="O255" s="274" t="str">
        <v/>
      </c>
      <c r="P255" s="274" t="str">
        <v/>
      </c>
      <c r="Q255" s="15">
        <v>0</v>
      </c>
      <c r="R255" s="15">
        <v>0</v>
      </c>
      <c r="S255" s="15"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75"/>
      <c r="U255" s="15">
        <v>0</v>
      </c>
      <c r="V255" s="15">
        <v>0</v>
      </c>
      <c r="W255" s="15"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75"/>
      <c r="Y255" s="15">
        <v>0</v>
      </c>
      <c r="Z255" s="15">
        <v>0</v>
      </c>
      <c r="AA255" s="15"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75"/>
      <c r="AC255" s="15">
        <v>0</v>
      </c>
      <c r="AD255" s="15">
        <v>0</v>
      </c>
      <c r="AE255" s="15"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75"/>
    </row>
    <row r="256" spans="4:40" ht="20.100000000000001" customHeight="1" x14ac:dyDescent="0.25">
      <c r="D256" s="15">
        <v>0</v>
      </c>
      <c r="E256" s="15">
        <v>0</v>
      </c>
      <c r="F256" s="15" cm="1">
        <f t="array" ref="F256">Scope3_Equations.VEERG_15_4_1_1__X_EmissionFactorFromPurchasedFertiliserComponents(R256,S256)+
Scope3_Equations.VEERG_15_4_1_1__X_EmissionFactorFromPurchasedFertiliserComponents(V256,W256)+
Scope3_Equations.VEERG_15_4_1_1__X_EmissionFactorFromPurchasedFertiliserComponents(Z256,AA256)+
Scope3_Equations.VEERG_15_4_1_1__X_EmissionFactorFromPurchasedFertiliserComponents(AD256,AE256)</f>
        <v>0</v>
      </c>
      <c r="G256" s="247" cm="1">
        <f t="array" ref="G256">Scope3_Equations.VEERG_15_4_1_1__1_EmissionsFromPurchasedFertiliser(E256,F256)</f>
        <v>0</v>
      </c>
      <c r="H256" s="15" cm="1">
        <f t="array" ref="H256">Scope3_Equations.VEERG_15_4_1_1__2_EmissionsFromPurchasedFertiliserComponentsVariation(R256, $E256,S256)+
Scope3_Equations.VEERG_15_4_1_1__2_EmissionsFromPurchasedFertiliserComponentsVariation(V256, $E256,W256)+
Scope3_Equations.VEERG_15_4_1_1__2_EmissionsFromPurchasedFertiliserComponentsVariation(Z256, $E256,AA256)+
Scope3_Equations.VEERG_15_4_1_1__2_EmissionsFromPurchasedFertiliserComponentsVariation(AD256, $E256,AE256)</f>
        <v>0</v>
      </c>
      <c r="I256" s="75"/>
      <c r="J256" s="247" cm="1">
        <f t="array" ref="J256">Scope3_Equations.VEERG_15_4_1_1__1_EmissionsFromPurchasedFertiliser(E256,I256)</f>
        <v>0</v>
      </c>
      <c r="K256" s="247" cm="1">
        <f t="array" ref="K256">Scope3_Equations.VEERG_15_4_1_1__2_EmissionsFromPurchasedFertiliserComponentsVariation(R256, $E256,IF(T256,T256,S256))+
Scope3_Equations.VEERG_15_4_1_1__2_EmissionsFromPurchasedFertiliserComponentsVariation(V256, $E256,IF(X256,X256,W256))+
Scope3_Equations.VEERG_15_4_1_1__2_EmissionsFromPurchasedFertiliserComponentsVariation(Z256, $E256,IF(AB256,AB256,AA256))+
Scope3_Equations.VEERG_15_4_1_1__2_EmissionsFromPurchasedFertiliserComponentsVariation(AD256, $E256,IF(AF256,AF256,AE256))</f>
        <v>0</v>
      </c>
      <c r="L256" s="33"/>
      <c r="M256" s="13"/>
      <c r="N256" s="33"/>
      <c r="O256" s="274" t="str">
        <v/>
      </c>
      <c r="P256" s="274" t="str">
        <v/>
      </c>
      <c r="Q256" s="15">
        <v>0</v>
      </c>
      <c r="R256" s="15">
        <v>0</v>
      </c>
      <c r="S256" s="15"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75"/>
      <c r="U256" s="15">
        <v>0</v>
      </c>
      <c r="V256" s="15">
        <v>0</v>
      </c>
      <c r="W256" s="15"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75"/>
      <c r="Y256" s="15">
        <v>0</v>
      </c>
      <c r="Z256" s="15">
        <v>0</v>
      </c>
      <c r="AA256" s="15"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75"/>
      <c r="AC256" s="15">
        <v>0</v>
      </c>
      <c r="AD256" s="15">
        <v>0</v>
      </c>
      <c r="AE256" s="15"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75"/>
    </row>
    <row r="257" spans="3:41" ht="20.100000000000001" customHeight="1" x14ac:dyDescent="0.25">
      <c r="D257" s="15">
        <v>0</v>
      </c>
      <c r="E257" s="15">
        <v>0</v>
      </c>
      <c r="F257" s="15" cm="1">
        <f t="array" ref="F257">Scope3_Equations.VEERG_15_4_1_1__X_EmissionFactorFromPurchasedFertiliserComponents(R257,S257)+
Scope3_Equations.VEERG_15_4_1_1__X_EmissionFactorFromPurchasedFertiliserComponents(V257,W257)+
Scope3_Equations.VEERG_15_4_1_1__X_EmissionFactorFromPurchasedFertiliserComponents(Z257,AA257)+
Scope3_Equations.VEERG_15_4_1_1__X_EmissionFactorFromPurchasedFertiliserComponents(AD257,AE257)</f>
        <v>0</v>
      </c>
      <c r="G257" s="247" cm="1">
        <f t="array" ref="G257">Scope3_Equations.VEERG_15_4_1_1__1_EmissionsFromPurchasedFertiliser(E257,F257)</f>
        <v>0</v>
      </c>
      <c r="H257" s="15" cm="1">
        <f t="array" ref="H257">Scope3_Equations.VEERG_15_4_1_1__2_EmissionsFromPurchasedFertiliserComponentsVariation(R257, $E257,S257)+
Scope3_Equations.VEERG_15_4_1_1__2_EmissionsFromPurchasedFertiliserComponentsVariation(V257, $E257,W257)+
Scope3_Equations.VEERG_15_4_1_1__2_EmissionsFromPurchasedFertiliserComponentsVariation(Z257, $E257,AA257)+
Scope3_Equations.VEERG_15_4_1_1__2_EmissionsFromPurchasedFertiliserComponentsVariation(AD257, $E257,AE257)</f>
        <v>0</v>
      </c>
      <c r="I257" s="75"/>
      <c r="J257" s="247" cm="1">
        <f t="array" ref="J257">Scope3_Equations.VEERG_15_4_1_1__1_EmissionsFromPurchasedFertiliser(E257,I257)</f>
        <v>0</v>
      </c>
      <c r="K257" s="247" cm="1">
        <f t="array" ref="K257">Scope3_Equations.VEERG_15_4_1_1__2_EmissionsFromPurchasedFertiliserComponentsVariation(R257, $E257,IF(T257,T257,S257))+
Scope3_Equations.VEERG_15_4_1_1__2_EmissionsFromPurchasedFertiliserComponentsVariation(V257, $E257,IF(X257,X257,W257))+
Scope3_Equations.VEERG_15_4_1_1__2_EmissionsFromPurchasedFertiliserComponentsVariation(Z257, $E257,IF(AB257,AB257,AA257))+
Scope3_Equations.VEERG_15_4_1_1__2_EmissionsFromPurchasedFertiliserComponentsVariation(AD257, $E257,IF(AF257,AF257,AE257))</f>
        <v>0</v>
      </c>
      <c r="L257" s="33"/>
      <c r="M257" s="13"/>
      <c r="N257" s="33"/>
      <c r="O257" s="274" t="str">
        <v/>
      </c>
      <c r="P257" s="274" t="str">
        <v/>
      </c>
      <c r="Q257" s="15">
        <v>0</v>
      </c>
      <c r="R257" s="15">
        <v>0</v>
      </c>
      <c r="S257" s="15"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75"/>
      <c r="U257" s="15">
        <v>0</v>
      </c>
      <c r="V257" s="15">
        <v>0</v>
      </c>
      <c r="W257" s="15"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75"/>
      <c r="Y257" s="15">
        <v>0</v>
      </c>
      <c r="Z257" s="15">
        <v>0</v>
      </c>
      <c r="AA257" s="15"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75"/>
      <c r="AC257" s="15">
        <v>0</v>
      </c>
      <c r="AD257" s="15">
        <v>0</v>
      </c>
      <c r="AE257" s="15"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75"/>
    </row>
    <row r="258" spans="3:41" ht="20.100000000000001" customHeight="1" x14ac:dyDescent="0.25">
      <c r="D258" s="15">
        <v>0</v>
      </c>
      <c r="E258" s="15">
        <v>0</v>
      </c>
      <c r="F258" s="15" cm="1">
        <f t="array" ref="F258">Scope3_Equations.VEERG_15_4_1_1__X_EmissionFactorFromPurchasedFertiliserComponents(R258,S258)+
Scope3_Equations.VEERG_15_4_1_1__X_EmissionFactorFromPurchasedFertiliserComponents(V258,W258)+
Scope3_Equations.VEERG_15_4_1_1__X_EmissionFactorFromPurchasedFertiliserComponents(Z258,AA258)+
Scope3_Equations.VEERG_15_4_1_1__X_EmissionFactorFromPurchasedFertiliserComponents(AD258,AE258)</f>
        <v>0</v>
      </c>
      <c r="G258" s="247" cm="1">
        <f t="array" ref="G258">Scope3_Equations.VEERG_15_4_1_1__1_EmissionsFromPurchasedFertiliser(E258,F258)</f>
        <v>0</v>
      </c>
      <c r="H258" s="15" cm="1">
        <f t="array" ref="H258">Scope3_Equations.VEERG_15_4_1_1__2_EmissionsFromPurchasedFertiliserComponentsVariation(R258, $E258,S258)+
Scope3_Equations.VEERG_15_4_1_1__2_EmissionsFromPurchasedFertiliserComponentsVariation(V258, $E258,W258)+
Scope3_Equations.VEERG_15_4_1_1__2_EmissionsFromPurchasedFertiliserComponentsVariation(Z258, $E258,AA258)+
Scope3_Equations.VEERG_15_4_1_1__2_EmissionsFromPurchasedFertiliserComponentsVariation(AD258, $E258,AE258)</f>
        <v>0</v>
      </c>
      <c r="I258" s="75"/>
      <c r="J258" s="247" cm="1">
        <f t="array" ref="J258">Scope3_Equations.VEERG_15_4_1_1__1_EmissionsFromPurchasedFertiliser(E258,I258)</f>
        <v>0</v>
      </c>
      <c r="K258" s="247" cm="1">
        <f t="array" ref="K258">Scope3_Equations.VEERG_15_4_1_1__2_EmissionsFromPurchasedFertiliserComponentsVariation(R258, $E258,IF(T258,T258,S258))+
Scope3_Equations.VEERG_15_4_1_1__2_EmissionsFromPurchasedFertiliserComponentsVariation(V258, $E258,IF(X258,X258,W258))+
Scope3_Equations.VEERG_15_4_1_1__2_EmissionsFromPurchasedFertiliserComponentsVariation(Z258, $E258,IF(AB258,AB258,AA258))+
Scope3_Equations.VEERG_15_4_1_1__2_EmissionsFromPurchasedFertiliserComponentsVariation(AD258, $E258,IF(AF258,AF258,AE258))</f>
        <v>0</v>
      </c>
      <c r="L258" s="33"/>
      <c r="M258" s="13"/>
      <c r="N258" s="33"/>
      <c r="O258" s="274" t="str">
        <v/>
      </c>
      <c r="P258" s="274" t="str">
        <v/>
      </c>
      <c r="Q258" s="15">
        <v>0</v>
      </c>
      <c r="R258" s="15">
        <v>0</v>
      </c>
      <c r="S258" s="15"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75"/>
      <c r="U258" s="15">
        <v>0</v>
      </c>
      <c r="V258" s="15">
        <v>0</v>
      </c>
      <c r="W258" s="15"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75"/>
      <c r="Y258" s="15">
        <v>0</v>
      </c>
      <c r="Z258" s="15">
        <v>0</v>
      </c>
      <c r="AA258" s="15"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75"/>
      <c r="AC258" s="15">
        <v>0</v>
      </c>
      <c r="AD258" s="15">
        <v>0</v>
      </c>
      <c r="AE258" s="15"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75"/>
    </row>
    <row r="259" spans="3:41" ht="20.100000000000001" customHeight="1" x14ac:dyDescent="0.25">
      <c r="D259" s="15">
        <v>0</v>
      </c>
      <c r="E259" s="15">
        <v>0</v>
      </c>
      <c r="F259" s="15" cm="1">
        <f t="array" ref="F259">Scope3_Equations.VEERG_15_4_1_1__X_EmissionFactorFromPurchasedFertiliserComponents(R259,S259)+
Scope3_Equations.VEERG_15_4_1_1__X_EmissionFactorFromPurchasedFertiliserComponents(V259,W259)+
Scope3_Equations.VEERG_15_4_1_1__X_EmissionFactorFromPurchasedFertiliserComponents(Z259,AA259)+
Scope3_Equations.VEERG_15_4_1_1__X_EmissionFactorFromPurchasedFertiliserComponents(AD259,AE259)</f>
        <v>0</v>
      </c>
      <c r="G259" s="247" cm="1">
        <f t="array" ref="G259">Scope3_Equations.VEERG_15_4_1_1__1_EmissionsFromPurchasedFertiliser(E259,F259)</f>
        <v>0</v>
      </c>
      <c r="H259" s="15" cm="1">
        <f t="array" ref="H259">Scope3_Equations.VEERG_15_4_1_1__2_EmissionsFromPurchasedFertiliserComponentsVariation(R259, $E259,S259)+
Scope3_Equations.VEERG_15_4_1_1__2_EmissionsFromPurchasedFertiliserComponentsVariation(V259, $E259,W259)+
Scope3_Equations.VEERG_15_4_1_1__2_EmissionsFromPurchasedFertiliserComponentsVariation(Z259, $E259,AA259)+
Scope3_Equations.VEERG_15_4_1_1__2_EmissionsFromPurchasedFertiliserComponentsVariation(AD259, $E259,AE259)</f>
        <v>0</v>
      </c>
      <c r="I259" s="75"/>
      <c r="J259" s="247" cm="1">
        <f t="array" ref="J259">Scope3_Equations.VEERG_15_4_1_1__1_EmissionsFromPurchasedFertiliser(E259,I259)</f>
        <v>0</v>
      </c>
      <c r="K259" s="247" cm="1">
        <f t="array" ref="K259">Scope3_Equations.VEERG_15_4_1_1__2_EmissionsFromPurchasedFertiliserComponentsVariation(R259, $E259,IF(T259,T259,S259))+
Scope3_Equations.VEERG_15_4_1_1__2_EmissionsFromPurchasedFertiliserComponentsVariation(V259, $E259,IF(X259,X259,W259))+
Scope3_Equations.VEERG_15_4_1_1__2_EmissionsFromPurchasedFertiliserComponentsVariation(Z259, $E259,IF(AB259,AB259,AA259))+
Scope3_Equations.VEERG_15_4_1_1__2_EmissionsFromPurchasedFertiliserComponentsVariation(AD259, $E259,IF(AF259,AF259,AE259))</f>
        <v>0</v>
      </c>
      <c r="L259" s="33"/>
      <c r="M259" s="13"/>
      <c r="N259" s="33"/>
      <c r="O259" s="274" t="str">
        <v/>
      </c>
      <c r="P259" s="274" t="str">
        <v/>
      </c>
      <c r="Q259" s="15">
        <v>0</v>
      </c>
      <c r="R259" s="15">
        <v>0</v>
      </c>
      <c r="S259" s="15"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75"/>
      <c r="U259" s="15">
        <v>0</v>
      </c>
      <c r="V259" s="15">
        <v>0</v>
      </c>
      <c r="W259" s="15"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75"/>
      <c r="Y259" s="15">
        <v>0</v>
      </c>
      <c r="Z259" s="15">
        <v>0</v>
      </c>
      <c r="AA259" s="15"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75"/>
      <c r="AC259" s="15">
        <v>0</v>
      </c>
      <c r="AD259" s="15">
        <v>0</v>
      </c>
      <c r="AE259" s="15"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75"/>
    </row>
    <row r="260" spans="3:41" ht="20.100000000000001" customHeight="1" x14ac:dyDescent="0.25">
      <c r="D260" s="15">
        <v>0</v>
      </c>
      <c r="E260" s="15">
        <v>0</v>
      </c>
      <c r="F260" s="15" cm="1">
        <f t="array" ref="F260">Scope3_Equations.VEERG_15_4_1_1__X_EmissionFactorFromPurchasedFertiliserComponents(R260,S260)+
Scope3_Equations.VEERG_15_4_1_1__X_EmissionFactorFromPurchasedFertiliserComponents(V260,W260)+
Scope3_Equations.VEERG_15_4_1_1__X_EmissionFactorFromPurchasedFertiliserComponents(Z260,AA260)+
Scope3_Equations.VEERG_15_4_1_1__X_EmissionFactorFromPurchasedFertiliserComponents(AD260,AE260)</f>
        <v>0</v>
      </c>
      <c r="G260" s="247" cm="1">
        <f t="array" ref="G260">Scope3_Equations.VEERG_15_4_1_1__1_EmissionsFromPurchasedFertiliser(E260,F260)</f>
        <v>0</v>
      </c>
      <c r="H260" s="15" cm="1">
        <f t="array" ref="H260">Scope3_Equations.VEERG_15_4_1_1__2_EmissionsFromPurchasedFertiliserComponentsVariation(R260, $E260,S260)+
Scope3_Equations.VEERG_15_4_1_1__2_EmissionsFromPurchasedFertiliserComponentsVariation(V260, $E260,W260)+
Scope3_Equations.VEERG_15_4_1_1__2_EmissionsFromPurchasedFertiliserComponentsVariation(Z260, $E260,AA260)+
Scope3_Equations.VEERG_15_4_1_1__2_EmissionsFromPurchasedFertiliserComponentsVariation(AD260, $E260,AE260)</f>
        <v>0</v>
      </c>
      <c r="I260" s="75"/>
      <c r="J260" s="247" cm="1">
        <f t="array" ref="J260">Scope3_Equations.VEERG_15_4_1_1__1_EmissionsFromPurchasedFertiliser(E260,I260)</f>
        <v>0</v>
      </c>
      <c r="K260" s="247" cm="1">
        <f t="array" ref="K260">Scope3_Equations.VEERG_15_4_1_1__2_EmissionsFromPurchasedFertiliserComponentsVariation(R260, $E260,IF(T260,T260,S260))+
Scope3_Equations.VEERG_15_4_1_1__2_EmissionsFromPurchasedFertiliserComponentsVariation(V260, $E260,IF(X260,X260,W260))+
Scope3_Equations.VEERG_15_4_1_1__2_EmissionsFromPurchasedFertiliserComponentsVariation(Z260, $E260,IF(AB260,AB260,AA260))+
Scope3_Equations.VEERG_15_4_1_1__2_EmissionsFromPurchasedFertiliserComponentsVariation(AD260, $E260,IF(AF260,AF260,AE260))</f>
        <v>0</v>
      </c>
      <c r="L260" s="33"/>
      <c r="M260" s="13"/>
      <c r="N260" s="33"/>
      <c r="O260" s="274" t="str">
        <v/>
      </c>
      <c r="P260" s="274" t="str">
        <v/>
      </c>
      <c r="Q260" s="15">
        <v>0</v>
      </c>
      <c r="R260" s="15">
        <v>0</v>
      </c>
      <c r="S260" s="15"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75"/>
      <c r="U260" s="15">
        <v>0</v>
      </c>
      <c r="V260" s="15">
        <v>0</v>
      </c>
      <c r="W260" s="15"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75"/>
      <c r="Y260" s="15">
        <v>0</v>
      </c>
      <c r="Z260" s="15">
        <v>0</v>
      </c>
      <c r="AA260" s="15"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75"/>
      <c r="AC260" s="15">
        <v>0</v>
      </c>
      <c r="AD260" s="15">
        <v>0</v>
      </c>
      <c r="AE260" s="15"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75"/>
    </row>
    <row r="261" spans="3:41" ht="20.100000000000001" customHeight="1" x14ac:dyDescent="0.25">
      <c r="D261" s="15">
        <v>0</v>
      </c>
      <c r="E261" s="15">
        <v>0</v>
      </c>
      <c r="F261" s="15" cm="1">
        <f t="array" ref="F261">Scope3_Equations.VEERG_15_4_1_1__X_EmissionFactorFromPurchasedFertiliserComponents(R261,S261)+
Scope3_Equations.VEERG_15_4_1_1__X_EmissionFactorFromPurchasedFertiliserComponents(V261,W261)+
Scope3_Equations.VEERG_15_4_1_1__X_EmissionFactorFromPurchasedFertiliserComponents(Z261,AA261)+
Scope3_Equations.VEERG_15_4_1_1__X_EmissionFactorFromPurchasedFertiliserComponents(AD261,AE261)</f>
        <v>0</v>
      </c>
      <c r="G261" s="247" cm="1">
        <f t="array" ref="G261">Scope3_Equations.VEERG_15_4_1_1__1_EmissionsFromPurchasedFertiliser(E261,F261)</f>
        <v>0</v>
      </c>
      <c r="H261" s="15" cm="1">
        <f t="array" ref="H261">Scope3_Equations.VEERG_15_4_1_1__2_EmissionsFromPurchasedFertiliserComponentsVariation(R261, $E261,S261)+
Scope3_Equations.VEERG_15_4_1_1__2_EmissionsFromPurchasedFertiliserComponentsVariation(V261, $E261,W261)+
Scope3_Equations.VEERG_15_4_1_1__2_EmissionsFromPurchasedFertiliserComponentsVariation(Z261, $E261,AA261)+
Scope3_Equations.VEERG_15_4_1_1__2_EmissionsFromPurchasedFertiliserComponentsVariation(AD261, $E261,AE261)</f>
        <v>0</v>
      </c>
      <c r="I261" s="75"/>
      <c r="J261" s="247" cm="1">
        <f t="array" ref="J261">Scope3_Equations.VEERG_15_4_1_1__1_EmissionsFromPurchasedFertiliser(E261,I261)</f>
        <v>0</v>
      </c>
      <c r="K261" s="247" cm="1">
        <f t="array" ref="K261">Scope3_Equations.VEERG_15_4_1_1__2_EmissionsFromPurchasedFertiliserComponentsVariation(R261, $E261,IF(T261,T261,S261))+
Scope3_Equations.VEERG_15_4_1_1__2_EmissionsFromPurchasedFertiliserComponentsVariation(V261, $E261,IF(X261,X261,W261))+
Scope3_Equations.VEERG_15_4_1_1__2_EmissionsFromPurchasedFertiliserComponentsVariation(Z261, $E261,IF(AB261,AB261,AA261))+
Scope3_Equations.VEERG_15_4_1_1__2_EmissionsFromPurchasedFertiliserComponentsVariation(AD261, $E261,IF(AF261,AF261,AE261))</f>
        <v>0</v>
      </c>
      <c r="L261" s="33"/>
      <c r="M261" s="13"/>
      <c r="N261" s="33"/>
      <c r="O261" s="274" t="str">
        <v/>
      </c>
      <c r="P261" s="274" t="str">
        <v/>
      </c>
      <c r="Q261" s="15">
        <v>0</v>
      </c>
      <c r="R261" s="15">
        <v>0</v>
      </c>
      <c r="S261" s="15"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75"/>
      <c r="U261" s="15">
        <v>0</v>
      </c>
      <c r="V261" s="15">
        <v>0</v>
      </c>
      <c r="W261" s="15"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75"/>
      <c r="Y261" s="15">
        <v>0</v>
      </c>
      <c r="Z261" s="15">
        <v>0</v>
      </c>
      <c r="AA261" s="15"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75"/>
      <c r="AC261" s="15">
        <v>0</v>
      </c>
      <c r="AD261" s="15">
        <v>0</v>
      </c>
      <c r="AE261" s="15"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75"/>
    </row>
    <row r="262" spans="3:41" ht="20.100000000000001" customHeight="1" x14ac:dyDescent="0.25"/>
    <row r="263" spans="3:41" ht="20.100000000000001" customHeight="1" x14ac:dyDescent="0.25">
      <c r="D263" s="275" t="s">
        <v>1384</v>
      </c>
      <c r="E263" s="90">
        <f>SUM(G236:G245)+SUM(G252:G261)</f>
        <v>666.11033520000001</v>
      </c>
      <c r="F263" s="89" t="str">
        <f>$E$170</f>
        <v>t CO2e</v>
      </c>
    </row>
    <row r="264" spans="3:41" ht="20.100000000000001" customHeight="1" x14ac:dyDescent="0.25">
      <c r="D264" s="275" t="s">
        <v>1385</v>
      </c>
      <c r="E264" s="90">
        <f>SUM(J236:J245)+SUM(J252:J261)</f>
        <v>340</v>
      </c>
      <c r="F264" s="89" t="str">
        <f>$E$170</f>
        <v>t CO2e</v>
      </c>
    </row>
    <row r="266" spans="3:41" ht="20.25" x14ac:dyDescent="0.25">
      <c r="D266" s="275" t="s">
        <v>1386</v>
      </c>
      <c r="E266" s="90">
        <f>SUM(H236:H245)+SUM(H252:H261)</f>
        <v>666.11033520000001</v>
      </c>
      <c r="F266" s="89" t="str">
        <f>$E$170</f>
        <v>t CO2e</v>
      </c>
    </row>
    <row r="267" spans="3:41" ht="20.25" x14ac:dyDescent="0.25">
      <c r="D267" s="275" t="s">
        <v>1387</v>
      </c>
      <c r="E267" s="90">
        <f>SUM(K236:K245)+SUM(K252:K261)</f>
        <v>650.23033520000001</v>
      </c>
      <c r="F267" s="89" t="str">
        <f>$E$170</f>
        <v>t CO2e</v>
      </c>
    </row>
    <row r="270" spans="3:41" x14ac:dyDescent="0.25">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c r="AA270" s="88"/>
      <c r="AB270" s="88"/>
      <c r="AC270" s="88"/>
      <c r="AD270" s="88"/>
      <c r="AE270" s="88"/>
      <c r="AF270" s="88"/>
      <c r="AG270" s="88"/>
      <c r="AH270" s="88"/>
      <c r="AI270" s="88"/>
      <c r="AJ270" s="88"/>
      <c r="AK270" s="88"/>
      <c r="AL270" s="88"/>
      <c r="AM270" s="88"/>
      <c r="AN270" s="88"/>
      <c r="AO270" s="88"/>
    </row>
    <row r="271" spans="3:41" ht="23.25" x14ac:dyDescent="0.25">
      <c r="D271" s="2" t="str" cm="1">
        <f t="array" ref="D271">Scope3_Equations.VEERG_15_5_1_1__1_EmissionsFromPurchasedAgrichemicals_Title()</f>
        <v>Total emissions from purchased agrichemicals</v>
      </c>
    </row>
    <row r="272" spans="3:41" x14ac:dyDescent="0.25">
      <c r="D272" s="17" t="str" cm="1">
        <f t="array" ref="D272">Scope3_Equations.VEERG_15_5_1_1__1_EmissionsFromPurchasedAgrichemicals_Source()</f>
        <v>VEERG 2026: 15.5.1.1, Equation (1)</v>
      </c>
    </row>
    <row r="273" spans="4:9" x14ac:dyDescent="0.25">
      <c r="D273" s="117" t="s">
        <v>382</v>
      </c>
      <c r="E273" s="117" t="str" cm="1">
        <f t="array" aca="1" ref="E273" ca="1">Common_InputFunctions.Utility_DisplayFunctionName(G285)</f>
        <v>=Scope3_Equations.VEERG_15_5_1_1__1_EmissionsFromPurchasedAgrichemicals</v>
      </c>
    </row>
    <row r="277" spans="4:9" x14ac:dyDescent="0.25">
      <c r="D277" s="76" t="s">
        <v>383</v>
      </c>
      <c r="E277" s="1" t="str" cm="1">
        <f t="array" ref="E277">Scope3_Equations.VEERG_15_5_1_1__1_EmissionsFromPurchasedAgrichemicals_Variable()</f>
        <v>E</v>
      </c>
    </row>
    <row r="278" spans="4:9" x14ac:dyDescent="0.25">
      <c r="D278" s="76" t="s">
        <v>118</v>
      </c>
      <c r="E278" s="9" t="str" cm="1">
        <f t="array" ref="E278">Scope3_Equations.VEERG_15_5_1_1__1_EmissionsFromPurchasedAgrichemicals_Unit()</f>
        <v>t CO2e</v>
      </c>
    </row>
    <row r="280" spans="4:9" x14ac:dyDescent="0.25">
      <c r="D280" s="119" t="str" cm="1">
        <f t="array" ref="D280:E282">_xlfn.CHOOSECOLS(Scope3_Equations.VEERG_15_5_1_1__1_EmissionsFromPurchasedAgrichemicals_Arguments(),1,2)</f>
        <v>Q_h</v>
      </c>
      <c r="E280" s="124" t="str">
        <v>quantity of active ingredients in agrichemical type h purchased and applied to soils</v>
      </c>
      <c r="F280" s="125"/>
      <c r="G280" s="119" t="str" cm="1">
        <f t="array" ref="G280:H282">_xlfn.CHOOSECOLS(Scope3_Equations.VEERG_15_5_1_1__1_EmissionsFromPurchasedAgrichemicals_Arguments(),3,4)</f>
        <v>kg ai</v>
      </c>
      <c r="H280" s="272" t="str">
        <v>Input</v>
      </c>
    </row>
    <row r="281" spans="4:9" x14ac:dyDescent="0.25">
      <c r="D281" s="119" t="str">
        <v>EF_h</v>
      </c>
      <c r="E281" s="124" t="str">
        <v>emission factor for purchased agrichemical active ingredient</v>
      </c>
      <c r="F281" s="125"/>
      <c r="G281" s="119" t="str">
        <v>kg CO2e/kg ai</v>
      </c>
      <c r="H281" s="127" t="str">
        <v>Constant</v>
      </c>
    </row>
    <row r="282" spans="4:9" x14ac:dyDescent="0.25">
      <c r="D282" s="119" t="str">
        <v>h</v>
      </c>
      <c r="E282" s="124" t="str">
        <v>agrichemical type</v>
      </c>
      <c r="F282" s="125"/>
      <c r="G282" s="119" t="str">
        <v/>
      </c>
      <c r="H282" s="272" t="str">
        <v>Input</v>
      </c>
    </row>
    <row r="284" spans="4:9" ht="17.25" x14ac:dyDescent="0.25">
      <c r="D284" s="81" t="s">
        <v>1388</v>
      </c>
      <c r="E284" s="81" t="s">
        <v>679</v>
      </c>
      <c r="F284" s="123" t="s">
        <v>1389</v>
      </c>
      <c r="G284" s="123" t="s">
        <v>1319</v>
      </c>
      <c r="H284" s="81" t="s">
        <v>1390</v>
      </c>
      <c r="I284" s="123" t="s">
        <v>1322</v>
      </c>
    </row>
    <row r="285" spans="4:9" x14ac:dyDescent="0.25">
      <c r="D285" s="15" t="str" cm="1">
        <f t="array" ref="D285:D296">Table_SourceData_Scope3_Pesticides[Product]</f>
        <v>2,4-D</v>
      </c>
      <c r="E285" s="15">
        <f>SUMIF(Table_Input_Pesticides[Active ingredient 1 (select)],D285,Table_Input_Pesticides[Total active ingredient 1 (kg)])+
SUMIF(Table_Input_Pesticides[Active ingredient 2 (select)],D285,Table_Input_Pesticides[Total active ingredient 2 (kg)])+
SUMIF(Table_Input_Pesticides[Active ingredient 3 (select)],D285,Table_Input_Pesticides[Total active ingredient 3 (kg)])</f>
        <v>100</v>
      </c>
      <c r="F285" s="15" cm="1">
        <f t="array" ref="F285">Common_InputFunctions.Utility_LookupValueInTableNumber(D285,Table_SourceData_Scope3_Pesticides[Product],Table_SourceData_Scope3_Pesticides[Emissions intensity])</f>
        <v>5.2</v>
      </c>
      <c r="G285" s="15" cm="1">
        <f t="array" ref="G285">Scope3_Equations.VEERG_15_5_1_1__1_EmissionsFromPurchasedAgrichemicals($E285,F285)</f>
        <v>0.52</v>
      </c>
      <c r="H285" s="75">
        <v>5</v>
      </c>
      <c r="I285" s="15" cm="1">
        <f t="array" ref="I285">Scope3_Equations.VEERG_15_5_1_1__1_EmissionsFromPurchasedAgrichemicals($E285,IF(H285,H285,F285))</f>
        <v>0.5</v>
      </c>
    </row>
    <row r="286" spans="4:9" x14ac:dyDescent="0.25">
      <c r="D286" s="15" t="str">
        <v>Atrazine</v>
      </c>
      <c r="E286" s="15">
        <f>SUMIF(Table_Input_Pesticides[Active ingredient 1 (select)],D286,Table_Input_Pesticides[Total active ingredient 1 (kg)])+
SUMIF(Table_Input_Pesticides[Active ingredient 2 (select)],D286,Table_Input_Pesticides[Total active ingredient 2 (kg)])+
SUMIF(Table_Input_Pesticides[Active ingredient 3 (select)],D286,Table_Input_Pesticides[Total active ingredient 3 (kg)])</f>
        <v>0</v>
      </c>
      <c r="F286" s="15" cm="1">
        <f t="array" ref="F286">Common_InputFunctions.Utility_LookupValueInTableNumber(D286,Table_SourceData_Scope3_Pesticides[Product],Table_SourceData_Scope3_Pesticides[Emissions intensity])</f>
        <v>8.3800000000000008</v>
      </c>
      <c r="G286" s="15" cm="1">
        <f t="array" ref="G286">Scope3_Equations.VEERG_15_5_1_1__1_EmissionsFromPurchasedAgrichemicals($E286,F286)</f>
        <v>0</v>
      </c>
      <c r="H286" s="75">
        <v>8</v>
      </c>
      <c r="I286" s="15" cm="1">
        <f t="array" ref="I286">Scope3_Equations.VEERG_15_5_1_1__1_EmissionsFromPurchasedAgrichemicals($E286,IF(H286,H286,F286))</f>
        <v>0</v>
      </c>
    </row>
    <row r="287" spans="4:9" x14ac:dyDescent="0.25">
      <c r="D287" s="15" t="str">
        <v>Diuron</v>
      </c>
      <c r="E287" s="15">
        <f>SUMIF(Table_Input_Pesticides[Active ingredient 1 (select)],D287,Table_Input_Pesticides[Total active ingredient 1 (kg)])+
SUMIF(Table_Input_Pesticides[Active ingredient 2 (select)],D287,Table_Input_Pesticides[Total active ingredient 2 (kg)])+
SUMIF(Table_Input_Pesticides[Active ingredient 3 (select)],D287,Table_Input_Pesticides[Total active ingredient 3 (kg)])</f>
        <v>0</v>
      </c>
      <c r="F287" s="15" cm="1">
        <f t="array" ref="F287">Common_InputFunctions.Utility_LookupValueInTableNumber(D287,Table_SourceData_Scope3_Pesticides[Product],Table_SourceData_Scope3_Pesticides[Emissions intensity])</f>
        <v>8.8000000000000007</v>
      </c>
      <c r="G287" s="15" cm="1">
        <f t="array" ref="G287">Scope3_Equations.VEERG_15_5_1_1__1_EmissionsFromPurchasedAgrichemicals($E287,F287)</f>
        <v>0</v>
      </c>
      <c r="H287" s="75"/>
      <c r="I287" s="15" cm="1">
        <f t="array" ref="I287">Scope3_Equations.VEERG_15_5_1_1__1_EmissionsFromPurchasedAgrichemicals($E287,IF(H287,H287,F287))</f>
        <v>0</v>
      </c>
    </row>
    <row r="288" spans="4:9" x14ac:dyDescent="0.25">
      <c r="D288" s="15" t="str">
        <v>Glyphosate</v>
      </c>
      <c r="E288" s="15">
        <f>SUMIF(Table_Input_Pesticides[Active ingredient 1 (select)],D288,Table_Input_Pesticides[Total active ingredient 1 (kg)])+
SUMIF(Table_Input_Pesticides[Active ingredient 2 (select)],D288,Table_Input_Pesticides[Total active ingredient 2 (kg)])+
SUMIF(Table_Input_Pesticides[Active ingredient 3 (select)],D288,Table_Input_Pesticides[Total active ingredient 3 (kg)])</f>
        <v>100</v>
      </c>
      <c r="F288" s="15" cm="1">
        <f t="array" ref="F288">Common_InputFunctions.Utility_LookupValueInTableNumber(D288,Table_SourceData_Scope3_Pesticides[Product],Table_SourceData_Scope3_Pesticides[Emissions intensity])</f>
        <v>10.3</v>
      </c>
      <c r="G288" s="15" cm="1">
        <f t="array" ref="G288">Scope3_Equations.VEERG_15_5_1_1__1_EmissionsFromPurchasedAgrichemicals($E288,F288)</f>
        <v>1.03</v>
      </c>
      <c r="H288" s="75"/>
      <c r="I288" s="15" cm="1">
        <f t="array" ref="I288">Scope3_Equations.VEERG_15_5_1_1__1_EmissionsFromPurchasedAgrichemicals($E288,IF(H288,H288,F288))</f>
        <v>1.03</v>
      </c>
    </row>
    <row r="289" spans="3:41" x14ac:dyDescent="0.25">
      <c r="D289" s="15" t="str">
        <v>Mancozeb</v>
      </c>
      <c r="E289" s="15">
        <f>SUMIF(Table_Input_Pesticides[Active ingredient 1 (select)],D289,Table_Input_Pesticides[Total active ingredient 1 (kg)])+
SUMIF(Table_Input_Pesticides[Active ingredient 2 (select)],D289,Table_Input_Pesticides[Total active ingredient 2 (kg)])+
SUMIF(Table_Input_Pesticides[Active ingredient 3 (select)],D289,Table_Input_Pesticides[Total active ingredient 3 (kg)])</f>
        <v>0</v>
      </c>
      <c r="F289" s="15" cm="1">
        <f t="array" ref="F289">Common_InputFunctions.Utility_LookupValueInTableNumber(D289,Table_SourceData_Scope3_Pesticides[Product],Table_SourceData_Scope3_Pesticides[Emissions intensity])</f>
        <v>4.55</v>
      </c>
      <c r="G289" s="15" cm="1">
        <f t="array" ref="G289">Scope3_Equations.VEERG_15_5_1_1__1_EmissionsFromPurchasedAgrichemicals($E289,F289)</f>
        <v>0</v>
      </c>
      <c r="H289" s="75"/>
      <c r="I289" s="15" cm="1">
        <f t="array" ref="I289">Scope3_Equations.VEERG_15_5_1_1__1_EmissionsFromPurchasedAgrichemicals($E289,IF(H289,H289,F289))</f>
        <v>0</v>
      </c>
    </row>
    <row r="290" spans="3:41" x14ac:dyDescent="0.25">
      <c r="D290" s="15" t="str">
        <v>MCPA</v>
      </c>
      <c r="E290" s="15">
        <f>SUMIF(Table_Input_Pesticides[Active ingredient 1 (select)],D290,Table_Input_Pesticides[Total active ingredient 1 (kg)])+
SUMIF(Table_Input_Pesticides[Active ingredient 2 (select)],D290,Table_Input_Pesticides[Total active ingredient 2 (kg)])+
SUMIF(Table_Input_Pesticides[Active ingredient 3 (select)],D290,Table_Input_Pesticides[Total active ingredient 3 (kg)])</f>
        <v>0</v>
      </c>
      <c r="F290" s="15" cm="1">
        <f t="array" ref="F290">Common_InputFunctions.Utility_LookupValueInTableNumber(D290,Table_SourceData_Scope3_Pesticides[Product],Table_SourceData_Scope3_Pesticides[Emissions intensity])</f>
        <v>5.6</v>
      </c>
      <c r="G290" s="15" cm="1">
        <f t="array" ref="G290">Scope3_Equations.VEERG_15_5_1_1__1_EmissionsFromPurchasedAgrichemicals($E290,F290)</f>
        <v>0</v>
      </c>
      <c r="H290" s="75"/>
      <c r="I290" s="15" cm="1">
        <f t="array" ref="I290">Scope3_Equations.VEERG_15_5_1_1__1_EmissionsFromPurchasedAgrichemicals($E290,IF(H290,H290,F290))</f>
        <v>0</v>
      </c>
    </row>
    <row r="291" spans="3:41" x14ac:dyDescent="0.25">
      <c r="D291" s="15" t="str">
        <v>Metolachlor</v>
      </c>
      <c r="E291" s="15">
        <f>SUMIF(Table_Input_Pesticides[Active ingredient 1 (select)],D291,Table_Input_Pesticides[Total active ingredient 1 (kg)])+
SUMIF(Table_Input_Pesticides[Active ingredient 2 (select)],D291,Table_Input_Pesticides[Total active ingredient 2 (kg)])+
SUMIF(Table_Input_Pesticides[Active ingredient 3 (select)],D291,Table_Input_Pesticides[Total active ingredient 3 (kg)])</f>
        <v>100</v>
      </c>
      <c r="F291" s="15" cm="1">
        <f t="array" ref="F291">Common_InputFunctions.Utility_LookupValueInTableNumber(D291,Table_SourceData_Scope3_Pesticides[Product],Table_SourceData_Scope3_Pesticides[Emissions intensity])</f>
        <v>8.06</v>
      </c>
      <c r="G291" s="15" cm="1">
        <f t="array" ref="G291">Scope3_Equations.VEERG_15_5_1_1__1_EmissionsFromPurchasedAgrichemicals($E291,F291)</f>
        <v>0.80600000000000005</v>
      </c>
      <c r="H291" s="75"/>
      <c r="I291" s="15" cm="1">
        <f t="array" ref="I291">Scope3_Equations.VEERG_15_5_1_1__1_EmissionsFromPurchasedAgrichemicals($E291,IF(H291,H291,F291))</f>
        <v>0.80600000000000005</v>
      </c>
    </row>
    <row r="292" spans="3:41" x14ac:dyDescent="0.25">
      <c r="D292" s="15" t="str">
        <v>Metsulfuron-methyl</v>
      </c>
      <c r="E292" s="15">
        <f>SUMIF(Table_Input_Pesticides[Active ingredient 1 (select)],D292,Table_Input_Pesticides[Total active ingredient 1 (kg)])+
SUMIF(Table_Input_Pesticides[Active ingredient 2 (select)],D292,Table_Input_Pesticides[Total active ingredient 2 (kg)])+
SUMIF(Table_Input_Pesticides[Active ingredient 3 (select)],D292,Table_Input_Pesticides[Total active ingredient 3 (kg)])</f>
        <v>0</v>
      </c>
      <c r="F292" s="15" cm="1">
        <f t="array" ref="F292">Common_InputFunctions.Utility_LookupValueInTableNumber(D292,Table_SourceData_Scope3_Pesticides[Product],Table_SourceData_Scope3_Pesticides[Emissions intensity])</f>
        <v>8.8000000000000007</v>
      </c>
      <c r="G292" s="15" cm="1">
        <f t="array" ref="G292">Scope3_Equations.VEERG_15_5_1_1__1_EmissionsFromPurchasedAgrichemicals($E292,F292)</f>
        <v>0</v>
      </c>
      <c r="H292" s="75"/>
      <c r="I292" s="15" cm="1">
        <f t="array" ref="I292">Scope3_Equations.VEERG_15_5_1_1__1_EmissionsFromPurchasedAgrichemicals($E292,IF(H292,H292,F292))</f>
        <v>0</v>
      </c>
    </row>
    <row r="293" spans="3:41" x14ac:dyDescent="0.25">
      <c r="D293" s="15" t="str">
        <v>Pesticides (generic)</v>
      </c>
      <c r="E293" s="15">
        <f>SUMIF(Table_Input_Pesticides[Active ingredient 1 (select)],D293,Table_Input_Pesticides[Total active ingredient 1 (kg)])+
SUMIF(Table_Input_Pesticides[Active ingredient 2 (select)],D293,Table_Input_Pesticides[Total active ingredient 2 (kg)])+
SUMIF(Table_Input_Pesticides[Active ingredient 3 (select)],D293,Table_Input_Pesticides[Total active ingredient 3 (kg)])</f>
        <v>400</v>
      </c>
      <c r="F293" s="15" cm="1">
        <f t="array" ref="F293">Common_InputFunctions.Utility_LookupValueInTableNumber(D293,Table_SourceData_Scope3_Pesticides[Product],Table_SourceData_Scope3_Pesticides[Emissions intensity])</f>
        <v>9.16</v>
      </c>
      <c r="G293" s="15" cm="1">
        <f t="array" ref="G293">Scope3_Equations.VEERG_15_5_1_1__1_EmissionsFromPurchasedAgrichemicals($E293,F293)</f>
        <v>3.6640000000000001</v>
      </c>
      <c r="H293" s="75"/>
      <c r="I293" s="15" cm="1">
        <f t="array" ref="I293">Scope3_Equations.VEERG_15_5_1_1__1_EmissionsFromPurchasedAgrichemicals($E293,IF(H293,H293,F293))</f>
        <v>3.6640000000000001</v>
      </c>
    </row>
    <row r="294" spans="3:41" x14ac:dyDescent="0.25">
      <c r="D294" s="15" t="str">
        <v>Tri-allate</v>
      </c>
      <c r="E294" s="15">
        <f>SUMIF(Table_Input_Pesticides[Active ingredient 1 (select)],D294,Table_Input_Pesticides[Total active ingredient 1 (kg)])+
SUMIF(Table_Input_Pesticides[Active ingredient 2 (select)],D294,Table_Input_Pesticides[Total active ingredient 2 (kg)])+
SUMIF(Table_Input_Pesticides[Active ingredient 3 (select)],D294,Table_Input_Pesticides[Total active ingredient 3 (kg)])</f>
        <v>0</v>
      </c>
      <c r="F294" s="15" cm="1">
        <f t="array" ref="F294">Common_InputFunctions.Utility_LookupValueInTableNumber(D294,Table_SourceData_Scope3_Pesticides[Product],Table_SourceData_Scope3_Pesticides[Emissions intensity])</f>
        <v>8.57</v>
      </c>
      <c r="G294" s="15" cm="1">
        <f t="array" ref="G294">Scope3_Equations.VEERG_15_5_1_1__1_EmissionsFromPurchasedAgrichemicals($E294,F294)</f>
        <v>0</v>
      </c>
      <c r="H294" s="75"/>
      <c r="I294" s="15" cm="1">
        <f t="array" ref="I294">Scope3_Equations.VEERG_15_5_1_1__1_EmissionsFromPurchasedAgrichemicals($E294,IF(H294,H294,F294))</f>
        <v>0</v>
      </c>
    </row>
    <row r="295" spans="3:41" x14ac:dyDescent="0.25">
      <c r="D295" s="15" t="str">
        <v>Tribenuron methyl</v>
      </c>
      <c r="E295" s="15">
        <f>SUMIF(Table_Input_Pesticides[Active ingredient 1 (select)],D295,Table_Input_Pesticides[Total active ingredient 1 (kg)])+
SUMIF(Table_Input_Pesticides[Active ingredient 2 (select)],D295,Table_Input_Pesticides[Total active ingredient 2 (kg)])+
SUMIF(Table_Input_Pesticides[Active ingredient 3 (select)],D295,Table_Input_Pesticides[Total active ingredient 3 (kg)])</f>
        <v>100</v>
      </c>
      <c r="F295" s="15" cm="1">
        <f t="array" ref="F295">Common_InputFunctions.Utility_LookupValueInTableNumber(D295,Table_SourceData_Scope3_Pesticides[Product],Table_SourceData_Scope3_Pesticides[Emissions intensity])</f>
        <v>8.8000000000000007</v>
      </c>
      <c r="G295" s="15" cm="1">
        <f t="array" ref="G295">Scope3_Equations.VEERG_15_5_1_1__1_EmissionsFromPurchasedAgrichemicals($E295,F295)</f>
        <v>0.88000000000000012</v>
      </c>
      <c r="H295" s="75"/>
      <c r="I295" s="15" cm="1">
        <f t="array" ref="I295">Scope3_Equations.VEERG_15_5_1_1__1_EmissionsFromPurchasedAgrichemicals($E295,IF(H295,H295,F295))</f>
        <v>0.88000000000000012</v>
      </c>
    </row>
    <row r="296" spans="3:41" x14ac:dyDescent="0.25">
      <c r="D296" s="15" t="str">
        <v>Trifluralin</v>
      </c>
      <c r="E296" s="15">
        <f>SUMIF(Table_Input_Pesticides[Active ingredient 1 (select)],D296,Table_Input_Pesticides[Total active ingredient 1 (kg)])+
SUMIF(Table_Input_Pesticides[Active ingredient 2 (select)],D296,Table_Input_Pesticides[Total active ingredient 2 (kg)])+
SUMIF(Table_Input_Pesticides[Active ingredient 3 (select)],D296,Table_Input_Pesticides[Total active ingredient 3 (kg)])</f>
        <v>100</v>
      </c>
      <c r="F296" s="15" cm="1">
        <f t="array" ref="F296">Common_InputFunctions.Utility_LookupValueInTableNumber(D296,Table_SourceData_Scope3_Pesticides[Product],Table_SourceData_Scope3_Pesticides[Emissions intensity])</f>
        <v>6.16</v>
      </c>
      <c r="G296" s="15" cm="1">
        <f t="array" ref="G296">Scope3_Equations.VEERG_15_5_1_1__1_EmissionsFromPurchasedAgrichemicals($E296,F296)</f>
        <v>0.61599999999999999</v>
      </c>
      <c r="H296" s="75"/>
      <c r="I296" s="15" cm="1">
        <f t="array" ref="I296">Scope3_Equations.VEERG_15_5_1_1__1_EmissionsFromPurchasedAgrichemicals($E296,IF(H296,H296,F296))</f>
        <v>0.61599999999999999</v>
      </c>
    </row>
    <row r="298" spans="3:41" ht="20.25" x14ac:dyDescent="0.25">
      <c r="D298" s="275" t="s">
        <v>1319</v>
      </c>
      <c r="E298" s="90">
        <f>SUM(G285:G296)</f>
        <v>7.5159999999999991</v>
      </c>
      <c r="F298" s="89" t="str">
        <f>$E$170</f>
        <v>t CO2e</v>
      </c>
    </row>
    <row r="299" spans="3:41" ht="20.25" x14ac:dyDescent="0.25">
      <c r="D299" s="275" t="s">
        <v>1322</v>
      </c>
      <c r="E299" s="90">
        <f>SUM(I285:I296)</f>
        <v>7.4959999999999996</v>
      </c>
      <c r="F299" s="89" t="str">
        <f>$E$170</f>
        <v>t CO2e</v>
      </c>
    </row>
    <row r="302" spans="3:41" x14ac:dyDescent="0.25">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c r="AA302" s="88"/>
      <c r="AB302" s="88"/>
      <c r="AC302" s="88"/>
      <c r="AD302" s="88"/>
      <c r="AE302" s="88"/>
      <c r="AF302" s="88"/>
      <c r="AG302" s="88"/>
      <c r="AH302" s="88"/>
      <c r="AI302" s="88"/>
      <c r="AJ302" s="88"/>
      <c r="AK302" s="88"/>
      <c r="AL302" s="88"/>
      <c r="AM302" s="88"/>
      <c r="AN302" s="88"/>
      <c r="AO302" s="88"/>
    </row>
    <row r="303" spans="3:41" ht="23.25" x14ac:dyDescent="0.25">
      <c r="D303" s="2" t="str" cm="1">
        <f t="array" ref="D303">Scope3_Equations.VEERG_15_6_1_1__1_EmissionsFromPurchasedLime_Title()</f>
        <v>Embedded emissions for purchased lime</v>
      </c>
    </row>
    <row r="304" spans="3:41" x14ac:dyDescent="0.25">
      <c r="D304" s="17" t="str" cm="1">
        <f t="array" ref="D304">Scope3_Equations.VEERG_15_6_1_1__1_EmissionsFromPurchasedLime_Source()</f>
        <v>VEERG 2026: 15.6.1.1, Equation (1)</v>
      </c>
    </row>
    <row r="305" spans="4:13" x14ac:dyDescent="0.25">
      <c r="D305" s="117" t="s">
        <v>382</v>
      </c>
      <c r="E305" s="117" t="str" cm="1">
        <f t="array" aca="1" ref="E305" ca="1">Common_InputFunctions.Utility_DisplayFunctionName(I320)</f>
        <v>=Scope3_Equations.VEERG_15_6_1_1__1_EmissionsFromPurchasedLime</v>
      </c>
    </row>
    <row r="308" spans="4:13" x14ac:dyDescent="0.25">
      <c r="D308" s="76" t="s">
        <v>383</v>
      </c>
      <c r="E308" s="1" t="str" cm="1">
        <f t="array" ref="E308">Scope3_Equations.VEERG_15_6_1_1__1_EmissionsFromPurchasedLime_Variable()</f>
        <v>E</v>
      </c>
    </row>
    <row r="309" spans="4:13" x14ac:dyDescent="0.25">
      <c r="D309" s="76" t="s">
        <v>118</v>
      </c>
      <c r="E309" s="1" t="str" cm="1">
        <f t="array" ref="E309">Scope3_Equations.VEERG_15_6_1_1__1_EmissionsFromPurchasedLime_Unit()</f>
        <v>t CO2e</v>
      </c>
    </row>
    <row r="311" spans="4:13" x14ac:dyDescent="0.25">
      <c r="D311" s="119" t="str" cm="1">
        <f t="array" ref="D311:E312">_xlfn.CHOOSECOLS(Scope3_Equations.VEERG_15_6_1_1__1_EmissionsFromPurchasedLime_Arguments(),1,2)</f>
        <v>M_lime</v>
      </c>
      <c r="E311" s="119" t="str">
        <v>total quantity of lime applied to soils</v>
      </c>
      <c r="F311" s="119" t="str" cm="1">
        <f t="array" ref="F311:G312">_xlfn.CHOOSECOLS(Scope3_Equations.VEERG_15_6_1_1__1_EmissionsFromPurchasedLime_Arguments(),3,4)</f>
        <v>t</v>
      </c>
      <c r="G311" s="272" t="str">
        <v>Input</v>
      </c>
    </row>
    <row r="312" spans="4:13" x14ac:dyDescent="0.25">
      <c r="D312" s="119" t="str">
        <v>EF_l</v>
      </c>
      <c r="E312" s="119" t="str">
        <v>emission factor for purchased lime</v>
      </c>
      <c r="F312" s="119" t="str">
        <v>t CO2e/t</v>
      </c>
      <c r="G312" s="127" t="str">
        <v>Constant</v>
      </c>
    </row>
    <row r="314" spans="4:13" x14ac:dyDescent="0.25">
      <c r="E314" s="123" t="s">
        <v>129</v>
      </c>
      <c r="F314" s="81" t="s">
        <v>130</v>
      </c>
    </row>
    <row r="315" spans="4:13" ht="18.75" x14ac:dyDescent="0.25">
      <c r="D315" s="1" t="s">
        <v>1391</v>
      </c>
      <c r="E315" s="15" cm="1">
        <f t="array" ref="E315">Common_InputFunctions.Utility_LookupValueInTableNumber("Limestone (crushed)", Table_SourceData_Scope3_SoilAmeliorants[Product],Table_SourceData_Scope3_SoilAmeliorants[Emissions intensity])*10^-3</f>
        <v>4.85E-5</v>
      </c>
      <c r="F315" s="75">
        <v>4.0000000000000003E-5</v>
      </c>
      <c r="G315" s="16" t="str">
        <f>$F$312</f>
        <v>t CO2e/t</v>
      </c>
    </row>
    <row r="316" spans="4:13" ht="18.75" x14ac:dyDescent="0.25">
      <c r="D316" s="1" t="s">
        <v>1392</v>
      </c>
      <c r="E316" s="15" cm="1">
        <f t="array" ref="E316">Common_InputFunctions.Utility_LookupValueInTableNumber("Dolomite", Table_SourceData_Scope3_SoilAmeliorants[Product],Table_SourceData_Scope3_SoilAmeliorants[Emissions intensity])*10^-3</f>
        <v>6.5199999999999999E-5</v>
      </c>
      <c r="F316" s="75">
        <v>6.0000000000000002E-5</v>
      </c>
      <c r="G316" s="16"/>
    </row>
    <row r="317" spans="4:13" ht="18.75" x14ac:dyDescent="0.25">
      <c r="D317" s="1" t="s">
        <v>1393</v>
      </c>
      <c r="E317" s="15" cm="1">
        <f t="array" ref="E317">Common_InputFunctions.Utility_LookupValueInTableNumber("Gypsum", Table_SourceData_Scope3_SoilAmeliorants[Product],Table_SourceData_Scope3_SoilAmeliorants[Emissions intensity])*10^-3</f>
        <v>6.5199999999999999E-5</v>
      </c>
      <c r="F317" s="75">
        <v>6.0000000000000002E-5</v>
      </c>
      <c r="G317" s="16"/>
    </row>
    <row r="319" spans="4:13" ht="17.25" x14ac:dyDescent="0.25">
      <c r="D319" s="81" t="s">
        <v>1200</v>
      </c>
      <c r="E319" s="273" t="s">
        <v>1394</v>
      </c>
      <c r="F319" s="81" t="s">
        <v>1395</v>
      </c>
      <c r="G319" s="81" t="s">
        <v>1396</v>
      </c>
      <c r="H319" s="81" t="s">
        <v>1397</v>
      </c>
      <c r="I319" s="123" t="s">
        <v>1319</v>
      </c>
      <c r="J319" s="123" t="s">
        <v>1398</v>
      </c>
      <c r="K319" s="81" t="s">
        <v>1323</v>
      </c>
      <c r="L319" s="81" t="s">
        <v>1324</v>
      </c>
      <c r="M319" s="81" t="s">
        <v>1325</v>
      </c>
    </row>
    <row r="320" spans="4:13" x14ac:dyDescent="0.25">
      <c r="D320" s="15" t="str" cm="1">
        <f t="array" ref="D320:D329">IFERROR(INDEX(Table_Input_Lime[Product], _xlfn.SEQUENCE(10)), "")</f>
        <v>Lime product 1</v>
      </c>
      <c r="E320" s="15" cm="1">
        <f t="array" ref="E320:E329">IFERROR(INDEX(Table_Input_Lime[Total amount applied (t)], _xlfn.SEQUENCE(10)), 0)</f>
        <v>1000</v>
      </c>
      <c r="F320" s="15" cm="1">
        <f t="array" ref="F320:F329">IFERROR(INDEX(Table_Input_Lime[Percent Lime CaCO3], _xlfn.SEQUENCE(10)), 0)*E320</f>
        <v>800</v>
      </c>
      <c r="G320" s="15" cm="1">
        <f t="array" ref="G320:G329">IFERROR(INDEX(Table_Input_Lime[Percent Dolomite CaMg(CO3)2], _xlfn.SEQUENCE(10)), 0)*E320</f>
        <v>100</v>
      </c>
      <c r="H320" s="15" cm="1">
        <f t="array" ref="H320:H329">IFERROR(INDEX(Table_Input_Lime[Percent Gypsum], _xlfn.SEQUENCE(10)), 0)*E320</f>
        <v>100</v>
      </c>
      <c r="I320" s="247" cm="1">
        <f t="array" ref="I320">Scope3_Equations.VEERG_15_6_1_1__1_EmissionsFromPurchasedLime(F320,$E$315)+
Scope3_Equations.VEERG_15_6_1_1__1_EmissionsFromPurchasedLime(G320,$E$316)+
Scope3_Equations.VEERG_15_6_1_1__1_EmissionsFromPurchasedLime(H320,$E$317)</f>
        <v>5.1839999999999997E-2</v>
      </c>
      <c r="J320" s="247" cm="1">
        <f t="array" ref="J320">Scope3_Equations.VEERG_15_6_1_1__1_EmissionsFromPurchasedLime(F320,IF($F$315,$F$315,$E$315))+
Scope3_Equations.VEERG_15_6_1_1__1_EmissionsFromPurchasedLime(G320,IF($F$316,$F$316,$E$316))+
Scope3_Equations.VEERG_15_6_1_1__1_EmissionsFromPurchasedLime(H320,IF($F$317,$F$317,$E$317))</f>
        <v>4.3999999999999997E-2</v>
      </c>
      <c r="K320" s="33"/>
      <c r="L320" s="13"/>
      <c r="M320" s="33"/>
    </row>
    <row r="321" spans="3:41" x14ac:dyDescent="0.25">
      <c r="D321" s="15" t="str">
        <v>Lime product 2</v>
      </c>
      <c r="E321" s="15">
        <v>1000</v>
      </c>
      <c r="F321" s="15">
        <v>1000</v>
      </c>
      <c r="G321" s="15">
        <v>0</v>
      </c>
      <c r="H321" s="15">
        <v>0</v>
      </c>
      <c r="I321" s="247" cm="1">
        <f t="array" ref="I321">Scope3_Equations.VEERG_15_6_1_1__1_EmissionsFromPurchasedLime(F321,$E$315)+
Scope3_Equations.VEERG_15_6_1_1__1_EmissionsFromPurchasedLime(G321,$E$316)+
Scope3_Equations.VEERG_15_6_1_1__1_EmissionsFromPurchasedLime(H321,$E$317)</f>
        <v>4.8500000000000001E-2</v>
      </c>
      <c r="J321" s="247" cm="1">
        <f t="array" ref="J321">Scope3_Equations.VEERG_15_6_1_1__1_EmissionsFromPurchasedLime(F321,IF($F$315,$F$315,$E$315))+
Scope3_Equations.VEERG_15_6_1_1__1_EmissionsFromPurchasedLime(G321,IF($F$316,$F$316,$E$316))+
Scope3_Equations.VEERG_15_6_1_1__1_EmissionsFromPurchasedLime(H321,IF($F$317,$F$317,$E$317))</f>
        <v>0.04</v>
      </c>
      <c r="K321" s="33"/>
      <c r="L321" s="13"/>
      <c r="M321" s="33"/>
    </row>
    <row r="322" spans="3:41" x14ac:dyDescent="0.25">
      <c r="D322" s="15" t="str">
        <v>Lime product 3</v>
      </c>
      <c r="E322" s="15">
        <v>1000</v>
      </c>
      <c r="F322" s="15">
        <v>0</v>
      </c>
      <c r="G322" s="15">
        <v>0</v>
      </c>
      <c r="H322" s="15">
        <v>1000</v>
      </c>
      <c r="I322" s="247" cm="1">
        <f t="array" ref="I322">Scope3_Equations.VEERG_15_6_1_1__1_EmissionsFromPurchasedLime(F322,$E$315)+
Scope3_Equations.VEERG_15_6_1_1__1_EmissionsFromPurchasedLime(G322,$E$316)+
Scope3_Equations.VEERG_15_6_1_1__1_EmissionsFromPurchasedLime(H322,$E$317)</f>
        <v>6.5199999999999994E-2</v>
      </c>
      <c r="J322" s="247" cm="1">
        <f t="array" ref="J322">Scope3_Equations.VEERG_15_6_1_1__1_EmissionsFromPurchasedLime(F322,IF($F$315,$F$315,$E$315))+
Scope3_Equations.VEERG_15_6_1_1__1_EmissionsFromPurchasedLime(G322,IF($F$316,$F$316,$E$316))+
Scope3_Equations.VEERG_15_6_1_1__1_EmissionsFromPurchasedLime(H322,IF($F$317,$F$317,$E$317))</f>
        <v>6.0000000000000005E-2</v>
      </c>
      <c r="K322" s="33"/>
      <c r="L322" s="13"/>
      <c r="M322" s="33"/>
    </row>
    <row r="323" spans="3:41" x14ac:dyDescent="0.25">
      <c r="D323" s="15" t="str">
        <v/>
      </c>
      <c r="E323" s="15">
        <v>0</v>
      </c>
      <c r="F323" s="15">
        <v>0</v>
      </c>
      <c r="G323" s="15">
        <v>0</v>
      </c>
      <c r="H323" s="15">
        <v>0</v>
      </c>
      <c r="I323" s="247" cm="1">
        <f t="array" ref="I323">Scope3_Equations.VEERG_15_6_1_1__1_EmissionsFromPurchasedLime(F323,$E$315)+
Scope3_Equations.VEERG_15_6_1_1__1_EmissionsFromPurchasedLime(G323,$E$316)+
Scope3_Equations.VEERG_15_6_1_1__1_EmissionsFromPurchasedLime(H323,$E$317)</f>
        <v>0</v>
      </c>
      <c r="J323" s="247" cm="1">
        <f t="array" ref="J323">Scope3_Equations.VEERG_15_6_1_1__1_EmissionsFromPurchasedLime(F323,IF($F$315,$F$315,$E$315))+
Scope3_Equations.VEERG_15_6_1_1__1_EmissionsFromPurchasedLime(G323,IF($F$316,$F$316,$E$316))+
Scope3_Equations.VEERG_15_6_1_1__1_EmissionsFromPurchasedLime(H323,IF($F$317,$F$317,$E$317))</f>
        <v>0</v>
      </c>
      <c r="K323" s="33"/>
      <c r="L323" s="13"/>
      <c r="M323" s="33"/>
    </row>
    <row r="324" spans="3:41" x14ac:dyDescent="0.25">
      <c r="D324" s="15" t="str">
        <v/>
      </c>
      <c r="E324" s="15">
        <v>0</v>
      </c>
      <c r="F324" s="15">
        <v>0</v>
      </c>
      <c r="G324" s="15">
        <v>0</v>
      </c>
      <c r="H324" s="15">
        <v>0</v>
      </c>
      <c r="I324" s="247" cm="1">
        <f t="array" ref="I324">Scope3_Equations.VEERG_15_6_1_1__1_EmissionsFromPurchasedLime(F324,$E$315)+
Scope3_Equations.VEERG_15_6_1_1__1_EmissionsFromPurchasedLime(G324,$E$316)+
Scope3_Equations.VEERG_15_6_1_1__1_EmissionsFromPurchasedLime(H324,$E$317)</f>
        <v>0</v>
      </c>
      <c r="J324" s="247" cm="1">
        <f t="array" ref="J324">Scope3_Equations.VEERG_15_6_1_1__1_EmissionsFromPurchasedLime(F324,IF($F$315,$F$315,$E$315))+
Scope3_Equations.VEERG_15_6_1_1__1_EmissionsFromPurchasedLime(G324,IF($F$316,$F$316,$E$316))+
Scope3_Equations.VEERG_15_6_1_1__1_EmissionsFromPurchasedLime(H324,IF($F$317,$F$317,$E$317))</f>
        <v>0</v>
      </c>
      <c r="K324" s="33"/>
      <c r="L324" s="13"/>
      <c r="M324" s="33"/>
    </row>
    <row r="325" spans="3:41" x14ac:dyDescent="0.25">
      <c r="D325" s="15" t="str">
        <v/>
      </c>
      <c r="E325" s="15">
        <v>0</v>
      </c>
      <c r="F325" s="15">
        <v>0</v>
      </c>
      <c r="G325" s="15">
        <v>0</v>
      </c>
      <c r="H325" s="15">
        <v>0</v>
      </c>
      <c r="I325" s="247" cm="1">
        <f t="array" ref="I325">Scope3_Equations.VEERG_15_6_1_1__1_EmissionsFromPurchasedLime(F325,$E$315)+
Scope3_Equations.VEERG_15_6_1_1__1_EmissionsFromPurchasedLime(G325,$E$316)+
Scope3_Equations.VEERG_15_6_1_1__1_EmissionsFromPurchasedLime(H325,$E$317)</f>
        <v>0</v>
      </c>
      <c r="J325" s="247" cm="1">
        <f t="array" ref="J325">Scope3_Equations.VEERG_15_6_1_1__1_EmissionsFromPurchasedLime(F325,IF($F$315,$F$315,$E$315))+
Scope3_Equations.VEERG_15_6_1_1__1_EmissionsFromPurchasedLime(G325,IF($F$316,$F$316,$E$316))+
Scope3_Equations.VEERG_15_6_1_1__1_EmissionsFromPurchasedLime(H325,IF($F$317,$F$317,$E$317))</f>
        <v>0</v>
      </c>
      <c r="K325" s="33"/>
      <c r="L325" s="13"/>
      <c r="M325" s="33"/>
    </row>
    <row r="326" spans="3:41" x14ac:dyDescent="0.25">
      <c r="D326" s="15" t="str">
        <v/>
      </c>
      <c r="E326" s="15">
        <v>0</v>
      </c>
      <c r="F326" s="15">
        <v>0</v>
      </c>
      <c r="G326" s="15">
        <v>0</v>
      </c>
      <c r="H326" s="15">
        <v>0</v>
      </c>
      <c r="I326" s="247" cm="1">
        <f t="array" ref="I326">Scope3_Equations.VEERG_15_6_1_1__1_EmissionsFromPurchasedLime(F326,$E$315)+
Scope3_Equations.VEERG_15_6_1_1__1_EmissionsFromPurchasedLime(G326,$E$316)+
Scope3_Equations.VEERG_15_6_1_1__1_EmissionsFromPurchasedLime(H326,$E$317)</f>
        <v>0</v>
      </c>
      <c r="J326" s="247" cm="1">
        <f t="array" ref="J326">Scope3_Equations.VEERG_15_6_1_1__1_EmissionsFromPurchasedLime(F326,IF($F$315,$F$315,$E$315))+
Scope3_Equations.VEERG_15_6_1_1__1_EmissionsFromPurchasedLime(G326,IF($F$316,$F$316,$E$316))+
Scope3_Equations.VEERG_15_6_1_1__1_EmissionsFromPurchasedLime(H326,IF($F$317,$F$317,$E$317))</f>
        <v>0</v>
      </c>
      <c r="K326" s="33"/>
      <c r="L326" s="13"/>
      <c r="M326" s="33"/>
    </row>
    <row r="327" spans="3:41" x14ac:dyDescent="0.25">
      <c r="D327" s="15" t="str">
        <v/>
      </c>
      <c r="E327" s="15">
        <v>0</v>
      </c>
      <c r="F327" s="15">
        <v>0</v>
      </c>
      <c r="G327" s="15">
        <v>0</v>
      </c>
      <c r="H327" s="15">
        <v>0</v>
      </c>
      <c r="I327" s="247" cm="1">
        <f t="array" ref="I327">Scope3_Equations.VEERG_15_6_1_1__1_EmissionsFromPurchasedLime(F327,$E$315)+
Scope3_Equations.VEERG_15_6_1_1__1_EmissionsFromPurchasedLime(G327,$E$316)+
Scope3_Equations.VEERG_15_6_1_1__1_EmissionsFromPurchasedLime(H327,$E$317)</f>
        <v>0</v>
      </c>
      <c r="J327" s="247" cm="1">
        <f t="array" ref="J327">Scope3_Equations.VEERG_15_6_1_1__1_EmissionsFromPurchasedLime(F327,IF($F$315,$F$315,$E$315))+
Scope3_Equations.VEERG_15_6_1_1__1_EmissionsFromPurchasedLime(G327,IF($F$316,$F$316,$E$316))+
Scope3_Equations.VEERG_15_6_1_1__1_EmissionsFromPurchasedLime(H327,IF($F$317,$F$317,$E$317))</f>
        <v>0</v>
      </c>
      <c r="K327" s="33"/>
      <c r="L327" s="13"/>
      <c r="M327" s="33"/>
    </row>
    <row r="328" spans="3:41" x14ac:dyDescent="0.25">
      <c r="D328" s="15" t="str">
        <v/>
      </c>
      <c r="E328" s="15">
        <v>0</v>
      </c>
      <c r="F328" s="15">
        <v>0</v>
      </c>
      <c r="G328" s="15">
        <v>0</v>
      </c>
      <c r="H328" s="15">
        <v>0</v>
      </c>
      <c r="I328" s="247" cm="1">
        <f t="array" ref="I328">Scope3_Equations.VEERG_15_6_1_1__1_EmissionsFromPurchasedLime(F328,$E$315)+
Scope3_Equations.VEERG_15_6_1_1__1_EmissionsFromPurchasedLime(G328,$E$316)+
Scope3_Equations.VEERG_15_6_1_1__1_EmissionsFromPurchasedLime(H328,$E$317)</f>
        <v>0</v>
      </c>
      <c r="J328" s="247" cm="1">
        <f t="array" ref="J328">Scope3_Equations.VEERG_15_6_1_1__1_EmissionsFromPurchasedLime(F328,IF($F$315,$F$315,$E$315))+
Scope3_Equations.VEERG_15_6_1_1__1_EmissionsFromPurchasedLime(G328,IF($F$316,$F$316,$E$316))+
Scope3_Equations.VEERG_15_6_1_1__1_EmissionsFromPurchasedLime(H328,IF($F$317,$F$317,$E$317))</f>
        <v>0</v>
      </c>
      <c r="K328" s="33"/>
      <c r="L328" s="13"/>
      <c r="M328" s="33"/>
    </row>
    <row r="329" spans="3:41" x14ac:dyDescent="0.25">
      <c r="D329" s="15" t="str">
        <v/>
      </c>
      <c r="E329" s="15">
        <v>0</v>
      </c>
      <c r="F329" s="15">
        <v>0</v>
      </c>
      <c r="G329" s="15">
        <v>0</v>
      </c>
      <c r="H329" s="15">
        <v>0</v>
      </c>
      <c r="I329" s="247" cm="1">
        <f t="array" ref="I329">Scope3_Equations.VEERG_15_6_1_1__1_EmissionsFromPurchasedLime(F329,$E$315)+
Scope3_Equations.VEERG_15_6_1_1__1_EmissionsFromPurchasedLime(G329,$E$316)+
Scope3_Equations.VEERG_15_6_1_1__1_EmissionsFromPurchasedLime(H329,$E$317)</f>
        <v>0</v>
      </c>
      <c r="J329" s="247" cm="1">
        <f t="array" ref="J329">Scope3_Equations.VEERG_15_6_1_1__1_EmissionsFromPurchasedLime(F329,IF($F$315,$F$315,$E$315))+
Scope3_Equations.VEERG_15_6_1_1__1_EmissionsFromPurchasedLime(G329,IF($F$316,$F$316,$E$316))+
Scope3_Equations.VEERG_15_6_1_1__1_EmissionsFromPurchasedLime(H329,IF($F$317,$F$317,$E$317))</f>
        <v>0</v>
      </c>
      <c r="K329" s="33"/>
      <c r="L329" s="13"/>
      <c r="M329" s="33"/>
    </row>
    <row r="331" spans="3:41" ht="20.25" x14ac:dyDescent="0.25">
      <c r="D331" s="275" t="s">
        <v>1319</v>
      </c>
      <c r="E331" s="90">
        <f>SUM(I320:I329)</f>
        <v>0.16553999999999999</v>
      </c>
      <c r="F331" s="89" t="str">
        <f>$E$170</f>
        <v>t CO2e</v>
      </c>
    </row>
    <row r="332" spans="3:41" ht="20.25" x14ac:dyDescent="0.25">
      <c r="D332" s="275" t="s">
        <v>1322</v>
      </c>
      <c r="E332" s="90">
        <f>SUM(J320:J329)</f>
        <v>0.14399999999999999</v>
      </c>
      <c r="F332" s="89" t="str">
        <f>$E$170</f>
        <v>t CO2e</v>
      </c>
    </row>
    <row r="335" spans="3:41" x14ac:dyDescent="0.25">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c r="AA335" s="88"/>
      <c r="AB335" s="88"/>
      <c r="AC335" s="88"/>
      <c r="AD335" s="88"/>
      <c r="AE335" s="88"/>
      <c r="AF335" s="88"/>
      <c r="AG335" s="88"/>
      <c r="AH335" s="88"/>
      <c r="AI335" s="88"/>
      <c r="AJ335" s="88"/>
      <c r="AK335" s="88"/>
      <c r="AL335" s="88"/>
      <c r="AM335" s="88"/>
      <c r="AN335" s="88"/>
      <c r="AO335" s="88"/>
    </row>
    <row r="336" spans="3:41" ht="23.25" x14ac:dyDescent="0.25">
      <c r="D336" s="2" t="str" cm="1">
        <f t="array" ref="D336">Scope3_Equations.VEERG_15_7_1_1__1_EmissionsFromPurchasedServices_Title()</f>
        <v>Emissions of purchased services and contractor operations</v>
      </c>
    </row>
    <row r="337" spans="4:15" x14ac:dyDescent="0.25">
      <c r="D337" s="17" t="str" cm="1">
        <f t="array" ref="D337">Scope3_Equations.VEERG_15_7_1_1__1_EmissionsFromPurchasedServices_Source()</f>
        <v>VEERG 2026: 15.7.1.1, Equation (1)</v>
      </c>
    </row>
    <row r="338" spans="4:15" x14ac:dyDescent="0.25">
      <c r="D338" s="117" t="s">
        <v>382</v>
      </c>
      <c r="E338" s="117" t="str" cm="1">
        <f t="array" aca="1" ref="E338" ca="1">Common_InputFunctions.Utility_DisplayFunctionName(K351)</f>
        <v>=Scope3_Equations.VEERG_15_7_1_1__1_EmissionsFromPurchasedServices</v>
      </c>
    </row>
    <row r="340" spans="4:15" x14ac:dyDescent="0.25">
      <c r="H340" s="1" t="s">
        <v>1399</v>
      </c>
    </row>
    <row r="341" spans="4:15" x14ac:dyDescent="0.25">
      <c r="D341" s="76" t="s">
        <v>383</v>
      </c>
      <c r="E341" s="1" t="str" cm="1">
        <f t="array" ref="E341">Scope3_Equations.VEERG_15_7_1_1__1_EmissionsFromPurchasedServices_Variable()</f>
        <v>E</v>
      </c>
    </row>
    <row r="342" spans="4:15" x14ac:dyDescent="0.25">
      <c r="D342" s="76" t="s">
        <v>118</v>
      </c>
      <c r="E342" s="1" t="str" cm="1">
        <f t="array" ref="E342">Scope3_Equations.VEERG_15_7_1_1__1_EmissionsFromPurchasedServices_Unit()</f>
        <v>t CO2e</v>
      </c>
    </row>
    <row r="344" spans="4:15" x14ac:dyDescent="0.25">
      <c r="D344" s="119" t="str" cm="1">
        <f t="array" ref="D344:E346">_xlfn.CHOOSECOLS(Scope3_Equations.VEERG_15_7_1_1__1_EmissionsFromPurchasedServices_Arguments(),1,2)</f>
        <v>A_p</v>
      </c>
      <c r="E344" s="124" t="str">
        <v>activity data of the service that was purchased</v>
      </c>
      <c r="F344" s="125"/>
      <c r="G344" s="119" t="str" cm="1">
        <f t="array" ref="G344:H346">_xlfn.CHOOSECOLS(Scope3_Equations.VEERG_15_7_1_1__1_EmissionsFromPurchasedServices_Arguments(),3,4)</f>
        <v>ha or h</v>
      </c>
      <c r="H344" s="272" t="str">
        <v>Input</v>
      </c>
    </row>
    <row r="345" spans="4:15" x14ac:dyDescent="0.25">
      <c r="D345" s="119" t="str">
        <v>EF_p</v>
      </c>
      <c r="E345" s="124" t="str">
        <v>life cycle emission factor for the purchased service</v>
      </c>
      <c r="F345" s="125"/>
      <c r="G345" s="119" t="str">
        <v>kg CO2e/ha or kg CO2e/h</v>
      </c>
      <c r="H345" s="127" t="str">
        <v>Constant</v>
      </c>
    </row>
    <row r="346" spans="4:15" x14ac:dyDescent="0.25">
      <c r="D346" s="119" t="str">
        <v>p</v>
      </c>
      <c r="E346" s="124" t="str">
        <v>service type</v>
      </c>
      <c r="F346" s="125"/>
      <c r="G346" s="119" t="str">
        <v/>
      </c>
      <c r="H346" s="272" t="str">
        <v>Input</v>
      </c>
    </row>
    <row r="348" spans="4:15" x14ac:dyDescent="0.25">
      <c r="D348" s="25" t="s">
        <v>1400</v>
      </c>
    </row>
    <row r="350" spans="4:15" x14ac:dyDescent="0.25">
      <c r="D350" s="81" t="s">
        <v>1210</v>
      </c>
      <c r="E350" s="81" t="s">
        <v>1211</v>
      </c>
      <c r="F350" s="81" t="s">
        <v>1212</v>
      </c>
      <c r="G350" s="81" t="s">
        <v>916</v>
      </c>
      <c r="H350" s="123" t="s">
        <v>1401</v>
      </c>
      <c r="I350" s="123" t="s">
        <v>1402</v>
      </c>
      <c r="J350" s="81" t="s">
        <v>1403</v>
      </c>
      <c r="K350" s="123" t="s">
        <v>1404</v>
      </c>
      <c r="L350" s="123" t="s">
        <v>1405</v>
      </c>
      <c r="M350" s="81" t="s">
        <v>1323</v>
      </c>
      <c r="N350" s="81" t="s">
        <v>1324</v>
      </c>
      <c r="O350" s="81" t="s">
        <v>1325</v>
      </c>
    </row>
    <row r="351" spans="4:15" x14ac:dyDescent="0.25">
      <c r="D351" s="15" t="str" cm="1">
        <f t="array" ref="D351:D360">IFERROR(INDEX(Table_Input_ServicesAndContractors[Service provider / contractor], _xlfn.SEQUENCE(10)), "")</f>
        <v>Pete's Pickers</v>
      </c>
      <c r="E351" s="15" t="str" cm="1">
        <f t="array" ref="E351:E360">IFERROR(INDEX(Table_Input_ServicesAndContractors[Activity], _xlfn.SEQUENCE(10)), "")</f>
        <v>Fruit picking</v>
      </c>
      <c r="F351" s="15" cm="1">
        <f t="array" ref="F351:F360">IFERROR(INDEX(Table_Input_ServicesAndContractors[Total amount], _xlfn.SEQUENCE(10)), "")</f>
        <v>10000</v>
      </c>
      <c r="G351" s="15" t="str" cm="1">
        <f t="array" ref="G351:G360">IFERROR(INDEX(Table_Input_ServicesAndContractors[Amount unit], _xlfn.SEQUENCE(10)), "")</f>
        <v>Hour</v>
      </c>
      <c r="H351" s="15" t="s">
        <v>1406</v>
      </c>
      <c r="I351" s="15" t="s">
        <v>1406</v>
      </c>
      <c r="J351" s="75">
        <v>4</v>
      </c>
      <c r="K351" s="247" cm="1">
        <f t="array" ref="K351">Scope3_Equations.VEERG_15_7_1_1__1_EmissionsFromPurchasedServices(F351,J351)</f>
        <v>40</v>
      </c>
      <c r="L351" s="15" t="str">
        <f>"t CO2e / " &amp; G351</f>
        <v>t CO2e / Hour</v>
      </c>
      <c r="M351" s="33"/>
      <c r="N351" s="13"/>
      <c r="O351" s="33"/>
    </row>
    <row r="352" spans="4:15" x14ac:dyDescent="0.25">
      <c r="D352" s="15" t="str">
        <v>Harini's Harvesting Services Pty Ltd</v>
      </c>
      <c r="E352" s="15" t="str">
        <v>Wheat harvesting</v>
      </c>
      <c r="F352" s="15">
        <v>1000</v>
      </c>
      <c r="G352" s="15" t="str">
        <v>Hectare</v>
      </c>
      <c r="H352" s="15" t="s">
        <v>1406</v>
      </c>
      <c r="I352" s="15" t="s">
        <v>1406</v>
      </c>
      <c r="J352" s="75">
        <v>2</v>
      </c>
      <c r="K352" s="247" cm="1">
        <f t="array" ref="K352">Scope3_Equations.VEERG_15_7_1_1__1_EmissionsFromPurchasedServices(F352,J352)</f>
        <v>2</v>
      </c>
      <c r="L352" s="15" t="str">
        <f t="shared" ref="L352:L360" si="1">"t CO2e / " &amp; G352</f>
        <v>t CO2e / Hectare</v>
      </c>
      <c r="M352" s="33"/>
      <c r="N352" s="13"/>
      <c r="O352" s="33"/>
    </row>
    <row r="353" spans="3:41" x14ac:dyDescent="0.25">
      <c r="D353" s="15">
        <v>0</v>
      </c>
      <c r="E353" s="15">
        <v>0</v>
      </c>
      <c r="F353" s="15">
        <v>0</v>
      </c>
      <c r="G353" s="15">
        <v>0</v>
      </c>
      <c r="H353" s="15" t="s">
        <v>1406</v>
      </c>
      <c r="I353" s="15" t="s">
        <v>1406</v>
      </c>
      <c r="J353" s="75"/>
      <c r="K353" s="247" cm="1">
        <f t="array" ref="K353">Scope3_Equations.VEERG_15_7_1_1__1_EmissionsFromPurchasedServices(F353,J353)</f>
        <v>0</v>
      </c>
      <c r="L353" s="15" t="str">
        <f t="shared" si="1"/>
        <v>t CO2e / 0</v>
      </c>
      <c r="M353" s="33"/>
      <c r="N353" s="13"/>
      <c r="O353" s="33"/>
    </row>
    <row r="354" spans="3:41" x14ac:dyDescent="0.25">
      <c r="D354" s="15">
        <v>0</v>
      </c>
      <c r="E354" s="15">
        <v>0</v>
      </c>
      <c r="F354" s="15">
        <v>0</v>
      </c>
      <c r="G354" s="15">
        <v>0</v>
      </c>
      <c r="H354" s="15" t="s">
        <v>1406</v>
      </c>
      <c r="I354" s="15" t="s">
        <v>1406</v>
      </c>
      <c r="J354" s="75"/>
      <c r="K354" s="247" cm="1">
        <f t="array" ref="K354">Scope3_Equations.VEERG_15_7_1_1__1_EmissionsFromPurchasedServices(F354,J354)</f>
        <v>0</v>
      </c>
      <c r="L354" s="15" t="str">
        <f t="shared" si="1"/>
        <v>t CO2e / 0</v>
      </c>
      <c r="M354" s="33"/>
      <c r="N354" s="13"/>
      <c r="O354" s="33"/>
    </row>
    <row r="355" spans="3:41" x14ac:dyDescent="0.25">
      <c r="D355" s="15">
        <v>0</v>
      </c>
      <c r="E355" s="15">
        <v>0</v>
      </c>
      <c r="F355" s="15">
        <v>0</v>
      </c>
      <c r="G355" s="15">
        <v>0</v>
      </c>
      <c r="H355" s="15" t="s">
        <v>1406</v>
      </c>
      <c r="I355" s="15" t="s">
        <v>1406</v>
      </c>
      <c r="J355" s="75"/>
      <c r="K355" s="247" cm="1">
        <f t="array" ref="K355">Scope3_Equations.VEERG_15_7_1_1__1_EmissionsFromPurchasedServices(F355,J355)</f>
        <v>0</v>
      </c>
      <c r="L355" s="15" t="str">
        <f t="shared" si="1"/>
        <v>t CO2e / 0</v>
      </c>
      <c r="M355" s="33"/>
      <c r="N355" s="13"/>
      <c r="O355" s="33"/>
    </row>
    <row r="356" spans="3:41" x14ac:dyDescent="0.25">
      <c r="D356" s="15">
        <v>0</v>
      </c>
      <c r="E356" s="15">
        <v>0</v>
      </c>
      <c r="F356" s="15">
        <v>0</v>
      </c>
      <c r="G356" s="15">
        <v>0</v>
      </c>
      <c r="H356" s="15" t="s">
        <v>1406</v>
      </c>
      <c r="I356" s="15" t="s">
        <v>1406</v>
      </c>
      <c r="J356" s="75"/>
      <c r="K356" s="247" cm="1">
        <f t="array" ref="K356">Scope3_Equations.VEERG_15_7_1_1__1_EmissionsFromPurchasedServices(F356,J356)</f>
        <v>0</v>
      </c>
      <c r="L356" s="15" t="str">
        <f t="shared" si="1"/>
        <v>t CO2e / 0</v>
      </c>
      <c r="M356" s="33"/>
      <c r="N356" s="13"/>
      <c r="O356" s="33"/>
    </row>
    <row r="357" spans="3:41" x14ac:dyDescent="0.25">
      <c r="D357" s="15">
        <v>0</v>
      </c>
      <c r="E357" s="15">
        <v>0</v>
      </c>
      <c r="F357" s="15">
        <v>0</v>
      </c>
      <c r="G357" s="15">
        <v>0</v>
      </c>
      <c r="H357" s="15" t="s">
        <v>1406</v>
      </c>
      <c r="I357" s="15" t="s">
        <v>1406</v>
      </c>
      <c r="J357" s="75"/>
      <c r="K357" s="247" cm="1">
        <f t="array" ref="K357">Scope3_Equations.VEERG_15_7_1_1__1_EmissionsFromPurchasedServices(F357,J357)</f>
        <v>0</v>
      </c>
      <c r="L357" s="15" t="str">
        <f t="shared" si="1"/>
        <v>t CO2e / 0</v>
      </c>
      <c r="M357" s="33"/>
      <c r="N357" s="13"/>
      <c r="O357" s="33"/>
    </row>
    <row r="358" spans="3:41" x14ac:dyDescent="0.25">
      <c r="D358" s="15">
        <v>0</v>
      </c>
      <c r="E358" s="15">
        <v>0</v>
      </c>
      <c r="F358" s="15">
        <v>0</v>
      </c>
      <c r="G358" s="15">
        <v>0</v>
      </c>
      <c r="H358" s="15" t="s">
        <v>1406</v>
      </c>
      <c r="I358" s="15" t="s">
        <v>1406</v>
      </c>
      <c r="J358" s="75"/>
      <c r="K358" s="247" cm="1">
        <f t="array" ref="K358">Scope3_Equations.VEERG_15_7_1_1__1_EmissionsFromPurchasedServices(F358,J358)</f>
        <v>0</v>
      </c>
      <c r="L358" s="15" t="str">
        <f t="shared" si="1"/>
        <v>t CO2e / 0</v>
      </c>
      <c r="M358" s="33"/>
      <c r="N358" s="13"/>
      <c r="O358" s="33"/>
    </row>
    <row r="359" spans="3:41" x14ac:dyDescent="0.25">
      <c r="D359" s="15">
        <v>0</v>
      </c>
      <c r="E359" s="15">
        <v>0</v>
      </c>
      <c r="F359" s="15">
        <v>0</v>
      </c>
      <c r="G359" s="15">
        <v>0</v>
      </c>
      <c r="H359" s="15" t="s">
        <v>1406</v>
      </c>
      <c r="I359" s="15" t="s">
        <v>1406</v>
      </c>
      <c r="J359" s="75"/>
      <c r="K359" s="247" cm="1">
        <f t="array" ref="K359">Scope3_Equations.VEERG_15_7_1_1__1_EmissionsFromPurchasedServices(F359,J359)</f>
        <v>0</v>
      </c>
      <c r="L359" s="15" t="str">
        <f t="shared" si="1"/>
        <v>t CO2e / 0</v>
      </c>
      <c r="M359" s="33"/>
      <c r="N359" s="13"/>
      <c r="O359" s="33"/>
    </row>
    <row r="360" spans="3:41" x14ac:dyDescent="0.25">
      <c r="D360" s="15">
        <v>0</v>
      </c>
      <c r="E360" s="15">
        <v>0</v>
      </c>
      <c r="F360" s="15">
        <v>0</v>
      </c>
      <c r="G360" s="15">
        <v>0</v>
      </c>
      <c r="H360" s="15" t="s">
        <v>1406</v>
      </c>
      <c r="I360" s="15" t="s">
        <v>1406</v>
      </c>
      <c r="J360" s="75"/>
      <c r="K360" s="247" cm="1">
        <f t="array" ref="K360">Scope3_Equations.VEERG_15_7_1_1__1_EmissionsFromPurchasedServices(F360,J360)</f>
        <v>0</v>
      </c>
      <c r="L360" s="15" t="str">
        <f t="shared" si="1"/>
        <v>t CO2e / 0</v>
      </c>
      <c r="M360" s="33"/>
      <c r="N360" s="13"/>
      <c r="O360" s="33"/>
    </row>
    <row r="362" spans="3:41" ht="20.25" x14ac:dyDescent="0.25">
      <c r="D362" s="275" t="s">
        <v>1319</v>
      </c>
      <c r="E362" s="90" t="s">
        <v>1406</v>
      </c>
      <c r="F362" s="89" t="str">
        <f>$E$170</f>
        <v>t CO2e</v>
      </c>
    </row>
    <row r="363" spans="3:41" ht="20.25" x14ac:dyDescent="0.25">
      <c r="D363" s="275" t="s">
        <v>1322</v>
      </c>
      <c r="E363" s="90">
        <f>SUM(K351:K360)</f>
        <v>42</v>
      </c>
      <c r="F363" s="89" t="str">
        <f>$E$170</f>
        <v>t CO2e</v>
      </c>
    </row>
    <row r="366" spans="3:41" x14ac:dyDescent="0.25">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c r="AA366" s="88"/>
      <c r="AB366" s="88"/>
      <c r="AC366" s="88"/>
      <c r="AD366" s="88"/>
      <c r="AE366" s="88"/>
      <c r="AF366" s="88"/>
      <c r="AG366" s="88"/>
      <c r="AH366" s="88"/>
      <c r="AI366" s="88"/>
      <c r="AJ366" s="88"/>
      <c r="AK366" s="88"/>
      <c r="AL366" s="88"/>
      <c r="AM366" s="88"/>
      <c r="AN366" s="88"/>
      <c r="AO366" s="88"/>
    </row>
    <row r="367" spans="3:41" ht="23.25" x14ac:dyDescent="0.25">
      <c r="D367" s="2" t="str" cm="1">
        <f t="array" ref="D367">Scope3_Equations.VEERG_15_8_1_1__1_EmissionsFromPurchasedPackaging_Title()</f>
        <v>Embedded emissions from use of packaging materials</v>
      </c>
    </row>
    <row r="368" spans="3:41" x14ac:dyDescent="0.25">
      <c r="D368" s="17" t="str" cm="1">
        <f t="array" ref="D368">Scope3_Equations.VEERG_15_8_1_1__1_EmissionsFromPurchasedPackaging_Source()</f>
        <v>VEERG 2026: 15.8.1.1, Equation (1)</v>
      </c>
    </row>
    <row r="369" spans="4:13" x14ac:dyDescent="0.25">
      <c r="D369" s="25" t="str" cm="1">
        <f t="array" ref="D369">Scope3_Equations.VEERG_15_8_1_1__1_EmissionsFromPurchasedPackaging_Variation()</f>
        <v>VARIATION ON SOURCE: Changed unit of Q from 'units' to 'kg' as EF data is in kg.</v>
      </c>
    </row>
    <row r="370" spans="4:13" x14ac:dyDescent="0.25">
      <c r="D370" s="117" t="s">
        <v>382</v>
      </c>
      <c r="E370" s="117" t="str" cm="1">
        <f t="array" aca="1" ref="E370" ca="1">Common_InputFunctions.Utility_DisplayFunctionName(H382)</f>
        <v>=Scope3_Equations.VEERG_15_8_1_1__1_EmissionsFromPurchasedPackaging</v>
      </c>
    </row>
    <row r="374" spans="4:13" x14ac:dyDescent="0.25">
      <c r="D374" s="76" t="s">
        <v>383</v>
      </c>
      <c r="E374" s="1" t="str" cm="1">
        <f t="array" ref="E374">Scope3_Equations.VEERG_15_8_1_1__1_EmissionsFromPurchasedPackaging_Variable()</f>
        <v>E</v>
      </c>
    </row>
    <row r="375" spans="4:13" x14ac:dyDescent="0.25">
      <c r="D375" s="76" t="s">
        <v>118</v>
      </c>
      <c r="E375" s="9" t="str" cm="1">
        <f t="array" ref="E375">Scope3_Equations.VEERG_15_8_1_1__1_EmissionsFromPurchasedPackaging_Unit()</f>
        <v>t CO2e</v>
      </c>
    </row>
    <row r="377" spans="4:13" x14ac:dyDescent="0.25">
      <c r="D377" s="119" t="str" cm="1">
        <f t="array" ref="D377:E379">_xlfn.CHOOSECOLS(Scope3_Equations.VEERG_15_8_1_1__1_EmissionsFromPurchasedPackaging_Arguments(),1,2)</f>
        <v>Q_p</v>
      </c>
      <c r="E377" s="119" t="str">
        <v>units of packaging type p</v>
      </c>
      <c r="F377" s="119" t="str" cm="1">
        <f t="array" ref="F377:G379">_xlfn.CHOOSECOLS(Scope3_Equations.VEERG_15_8_1_1__1_EmissionsFromPurchasedPackaging_Arguments(),3,4)</f>
        <v>units</v>
      </c>
      <c r="G377" s="272" t="str">
        <v>Input</v>
      </c>
    </row>
    <row r="378" spans="4:13" x14ac:dyDescent="0.25">
      <c r="D378" s="119" t="str">
        <v>EF_p</v>
      </c>
      <c r="E378" s="119" t="str">
        <v>emission factor for packaging type p</v>
      </c>
      <c r="F378" s="119" t="str">
        <v>kg CO2e/unit</v>
      </c>
      <c r="G378" s="127" t="str">
        <v>Constant</v>
      </c>
    </row>
    <row r="379" spans="4:13" x14ac:dyDescent="0.25">
      <c r="D379" s="119" t="str">
        <v>p</v>
      </c>
      <c r="E379" s="119" t="str">
        <v>packaging type</v>
      </c>
      <c r="F379" s="119" t="str">
        <v/>
      </c>
      <c r="G379" s="272" t="str">
        <v>Input</v>
      </c>
    </row>
    <row r="381" spans="4:13" ht="17.25" x14ac:dyDescent="0.25">
      <c r="D381" s="81" t="s">
        <v>1313</v>
      </c>
      <c r="E381" s="273" t="s">
        <v>1407</v>
      </c>
      <c r="F381" s="273" t="s">
        <v>1408</v>
      </c>
      <c r="G381" s="123" t="s">
        <v>1409</v>
      </c>
      <c r="H381" s="123" t="s">
        <v>1319</v>
      </c>
      <c r="I381" s="81" t="s">
        <v>1410</v>
      </c>
      <c r="J381" s="123" t="s">
        <v>1322</v>
      </c>
      <c r="K381" s="81" t="s">
        <v>1323</v>
      </c>
      <c r="L381" s="81" t="s">
        <v>1324</v>
      </c>
      <c r="M381" s="81" t="s">
        <v>1325</v>
      </c>
    </row>
    <row r="382" spans="4:13" x14ac:dyDescent="0.25">
      <c r="D382" s="15"/>
      <c r="E382" s="15"/>
      <c r="F382" s="15"/>
      <c r="G382" s="15" cm="1">
        <f t="array" ref="G382">Common_InputFunctions.Utility_LookupValueInTableNumber(E382,Table_SourceData_Scope3_Packaging[Product],Table_SourceData_Scope3_Packaging[Emissions intensity])</f>
        <v>0</v>
      </c>
      <c r="H382" s="247" cm="1">
        <f t="array" ref="H382">Scope3_Equations.VEERG_15_8_1_1__1_EmissionsFromPurchasedPackaging(F382,G382)</f>
        <v>0</v>
      </c>
      <c r="I382" s="75">
        <v>3</v>
      </c>
      <c r="J382" s="247" cm="1">
        <f t="array" ref="J382">Scope3_Equations.VEERG_15_8_1_1__1_EmissionsFromPurchasedPackaging(F382,IF(I382,I382,G382))</f>
        <v>0</v>
      </c>
      <c r="K382" s="33"/>
      <c r="L382" s="13"/>
      <c r="M382" s="33"/>
    </row>
    <row r="383" spans="4:13" x14ac:dyDescent="0.25">
      <c r="D383" s="15"/>
      <c r="E383" s="15"/>
      <c r="F383" s="15"/>
      <c r="G383" s="15" cm="1">
        <f t="array" ref="G383">Common_InputFunctions.Utility_LookupValueInTableNumber(E383,Table_SourceData_Scope3_Packaging[Product],Table_SourceData_Scope3_Packaging[Emissions intensity])</f>
        <v>0</v>
      </c>
      <c r="H383" s="247" cm="1">
        <f t="array" ref="H383">Scope3_Equations.VEERG_15_8_1_1__1_EmissionsFromPurchasedPackaging(F383,G383)</f>
        <v>0</v>
      </c>
      <c r="I383" s="75"/>
      <c r="J383" s="247" cm="1">
        <f t="array" ref="J383">Scope3_Equations.VEERG_15_8_1_1__1_EmissionsFromPurchasedPackaging(F383,IF(I383,I383,G383))</f>
        <v>0</v>
      </c>
      <c r="K383" s="33"/>
      <c r="L383" s="13"/>
      <c r="M383" s="33"/>
    </row>
    <row r="384" spans="4:13" x14ac:dyDescent="0.25">
      <c r="D384" s="15"/>
      <c r="E384" s="15"/>
      <c r="F384" s="15"/>
      <c r="G384" s="15" cm="1">
        <f t="array" ref="G384">Common_InputFunctions.Utility_LookupValueInTableNumber(E384,Table_SourceData_Scope3_Packaging[Product],Table_SourceData_Scope3_Packaging[Emissions intensity])</f>
        <v>0</v>
      </c>
      <c r="H384" s="247" cm="1">
        <f t="array" ref="H384">Scope3_Equations.VEERG_15_8_1_1__1_EmissionsFromPurchasedPackaging(F384,G384)</f>
        <v>0</v>
      </c>
      <c r="I384" s="75"/>
      <c r="J384" s="247" cm="1">
        <f t="array" ref="J384">Scope3_Equations.VEERG_15_8_1_1__1_EmissionsFromPurchasedPackaging(F384,IF(I384,I384,G384))</f>
        <v>0</v>
      </c>
      <c r="K384" s="33"/>
      <c r="L384" s="13"/>
      <c r="M384" s="33"/>
    </row>
    <row r="385" spans="3:41" x14ac:dyDescent="0.25">
      <c r="D385" s="15"/>
      <c r="E385" s="15"/>
      <c r="F385" s="15"/>
      <c r="G385" s="15" cm="1">
        <f t="array" ref="G385">Common_InputFunctions.Utility_LookupValueInTableNumber(E385,Table_SourceData_Scope3_Packaging[Product],Table_SourceData_Scope3_Packaging[Emissions intensity])</f>
        <v>0</v>
      </c>
      <c r="H385" s="247" cm="1">
        <f t="array" ref="H385">Scope3_Equations.VEERG_15_8_1_1__1_EmissionsFromPurchasedPackaging(F385,G385)</f>
        <v>0</v>
      </c>
      <c r="I385" s="75"/>
      <c r="J385" s="247" cm="1">
        <f t="array" ref="J385">Scope3_Equations.VEERG_15_8_1_1__1_EmissionsFromPurchasedPackaging(F385,IF(I385,I385,G385))</f>
        <v>0</v>
      </c>
      <c r="K385" s="33"/>
      <c r="L385" s="13"/>
      <c r="M385" s="33"/>
    </row>
    <row r="386" spans="3:41" x14ac:dyDescent="0.25">
      <c r="D386" s="15"/>
      <c r="E386" s="15"/>
      <c r="F386" s="15"/>
      <c r="G386" s="15" cm="1">
        <f t="array" ref="G386">Common_InputFunctions.Utility_LookupValueInTableNumber(E386,Table_SourceData_Scope3_Packaging[Product],Table_SourceData_Scope3_Packaging[Emissions intensity])</f>
        <v>0</v>
      </c>
      <c r="H386" s="247" cm="1">
        <f t="array" ref="H386">Scope3_Equations.VEERG_15_8_1_1__1_EmissionsFromPurchasedPackaging(F386,G386)</f>
        <v>0</v>
      </c>
      <c r="I386" s="75"/>
      <c r="J386" s="247" cm="1">
        <f t="array" ref="J386">Scope3_Equations.VEERG_15_8_1_1__1_EmissionsFromPurchasedPackaging(F386,IF(I386,I386,G386))</f>
        <v>0</v>
      </c>
      <c r="K386" s="33"/>
      <c r="L386" s="13"/>
      <c r="M386" s="33"/>
    </row>
    <row r="387" spans="3:41" x14ac:dyDescent="0.25">
      <c r="D387" s="15"/>
      <c r="E387" s="15"/>
      <c r="F387" s="15"/>
      <c r="G387" s="15" cm="1">
        <f t="array" ref="G387">Common_InputFunctions.Utility_LookupValueInTableNumber(E387,Table_SourceData_Scope3_Packaging[Product],Table_SourceData_Scope3_Packaging[Emissions intensity])</f>
        <v>0</v>
      </c>
      <c r="H387" s="247" cm="1">
        <f t="array" ref="H387">Scope3_Equations.VEERG_15_8_1_1__1_EmissionsFromPurchasedPackaging(F387,G387)</f>
        <v>0</v>
      </c>
      <c r="I387" s="75"/>
      <c r="J387" s="247" cm="1">
        <f t="array" ref="J387">Scope3_Equations.VEERG_15_8_1_1__1_EmissionsFromPurchasedPackaging(F387,IF(I387,I387,G387))</f>
        <v>0</v>
      </c>
      <c r="K387" s="33"/>
      <c r="L387" s="13"/>
      <c r="M387" s="33"/>
    </row>
    <row r="388" spans="3:41" x14ac:dyDescent="0.25">
      <c r="D388" s="15"/>
      <c r="E388" s="15"/>
      <c r="F388" s="15"/>
      <c r="G388" s="15" cm="1">
        <f t="array" ref="G388">Common_InputFunctions.Utility_LookupValueInTableNumber(E388,Table_SourceData_Scope3_Packaging[Product],Table_SourceData_Scope3_Packaging[Emissions intensity])</f>
        <v>0</v>
      </c>
      <c r="H388" s="247" cm="1">
        <f t="array" ref="H388">Scope3_Equations.VEERG_15_8_1_1__1_EmissionsFromPurchasedPackaging(F388,G388)</f>
        <v>0</v>
      </c>
      <c r="I388" s="75"/>
      <c r="J388" s="247" cm="1">
        <f t="array" ref="J388">Scope3_Equations.VEERG_15_8_1_1__1_EmissionsFromPurchasedPackaging(F388,IF(I388,I388,G388))</f>
        <v>0</v>
      </c>
      <c r="K388" s="33"/>
      <c r="L388" s="13"/>
      <c r="M388" s="33"/>
    </row>
    <row r="389" spans="3:41" x14ac:dyDescent="0.25">
      <c r="D389" s="15"/>
      <c r="E389" s="15"/>
      <c r="F389" s="15"/>
      <c r="G389" s="15" cm="1">
        <f t="array" ref="G389">Common_InputFunctions.Utility_LookupValueInTableNumber(E389,Table_SourceData_Scope3_Packaging[Product],Table_SourceData_Scope3_Packaging[Emissions intensity])</f>
        <v>0</v>
      </c>
      <c r="H389" s="247" cm="1">
        <f t="array" ref="H389">Scope3_Equations.VEERG_15_8_1_1__1_EmissionsFromPurchasedPackaging(F389,G389)</f>
        <v>0</v>
      </c>
      <c r="I389" s="75"/>
      <c r="J389" s="247" cm="1">
        <f t="array" ref="J389">Scope3_Equations.VEERG_15_8_1_1__1_EmissionsFromPurchasedPackaging(F389,IF(I389,I389,G389))</f>
        <v>0</v>
      </c>
      <c r="K389" s="33"/>
      <c r="L389" s="13"/>
      <c r="M389" s="33"/>
    </row>
    <row r="390" spans="3:41" x14ac:dyDescent="0.25">
      <c r="D390" s="15"/>
      <c r="E390" s="15"/>
      <c r="F390" s="15"/>
      <c r="G390" s="15" cm="1">
        <f t="array" ref="G390">Common_InputFunctions.Utility_LookupValueInTableNumber(E390,Table_SourceData_Scope3_Packaging[Product],Table_SourceData_Scope3_Packaging[Emissions intensity])</f>
        <v>0</v>
      </c>
      <c r="H390" s="247" cm="1">
        <f t="array" ref="H390">Scope3_Equations.VEERG_15_8_1_1__1_EmissionsFromPurchasedPackaging(F390,G390)</f>
        <v>0</v>
      </c>
      <c r="I390" s="75"/>
      <c r="J390" s="247" cm="1">
        <f t="array" ref="J390">Scope3_Equations.VEERG_15_8_1_1__1_EmissionsFromPurchasedPackaging(F390,IF(I390,I390,G390))</f>
        <v>0</v>
      </c>
      <c r="K390" s="33"/>
      <c r="L390" s="13"/>
      <c r="M390" s="33"/>
    </row>
    <row r="391" spans="3:41" x14ac:dyDescent="0.25">
      <c r="D391" s="15"/>
      <c r="E391" s="15"/>
      <c r="F391" s="15"/>
      <c r="G391" s="15" cm="1">
        <f t="array" ref="G391">Common_InputFunctions.Utility_LookupValueInTableNumber(E391,Table_SourceData_Scope3_Packaging[Product],Table_SourceData_Scope3_Packaging[Emissions intensity])</f>
        <v>0</v>
      </c>
      <c r="H391" s="247" cm="1">
        <f t="array" ref="H391">Scope3_Equations.VEERG_15_8_1_1__1_EmissionsFromPurchasedPackaging(F391,G391)</f>
        <v>0</v>
      </c>
      <c r="I391" s="75"/>
      <c r="J391" s="247" cm="1">
        <f t="array" ref="J391">Scope3_Equations.VEERG_15_8_1_1__1_EmissionsFromPurchasedPackaging(F391,IF(I391,I391,G391))</f>
        <v>0</v>
      </c>
      <c r="K391" s="33"/>
      <c r="L391" s="13"/>
      <c r="M391" s="33"/>
    </row>
    <row r="393" spans="3:41" ht="20.25" x14ac:dyDescent="0.25">
      <c r="D393" s="275" t="s">
        <v>1319</v>
      </c>
      <c r="E393" s="90">
        <f>SUM(H382:H391)</f>
        <v>0</v>
      </c>
      <c r="F393" s="89" t="str">
        <f>$E$170</f>
        <v>t CO2e</v>
      </c>
    </row>
    <row r="394" spans="3:41" ht="20.25" x14ac:dyDescent="0.25">
      <c r="D394" s="275" t="s">
        <v>1322</v>
      </c>
      <c r="E394" s="90">
        <f>SUM(J382:J391)</f>
        <v>0</v>
      </c>
      <c r="F394" s="89" t="str">
        <f>$E$170</f>
        <v>t CO2e</v>
      </c>
    </row>
    <row r="397" spans="3:41" x14ac:dyDescent="0.25">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c r="AA397" s="88"/>
      <c r="AB397" s="88"/>
      <c r="AC397" s="88"/>
      <c r="AD397" s="88"/>
      <c r="AE397" s="88"/>
      <c r="AF397" s="88"/>
      <c r="AG397" s="88"/>
      <c r="AH397" s="88"/>
      <c r="AI397" s="88"/>
      <c r="AJ397" s="88"/>
      <c r="AK397" s="88"/>
      <c r="AL397" s="88"/>
      <c r="AM397" s="88"/>
      <c r="AN397" s="88"/>
      <c r="AO397" s="88"/>
    </row>
    <row r="398" spans="3:41" ht="23.25" x14ac:dyDescent="0.25">
      <c r="D398" s="2" t="str" cm="1">
        <f t="array" ref="D398">Scope3_Equations.VEERG_15_9_1_1__1_EmissionsFromPurchasedGrowMedia_Title()</f>
        <v>Embedded emissions from use of grow media products</v>
      </c>
    </row>
    <row r="399" spans="3:41" x14ac:dyDescent="0.25">
      <c r="D399" s="17" t="str" cm="1">
        <f t="array" ref="D399">Scope3_Equations.VEERG_15_9_1_1__1_EmissionsFromPurchasedGrowMedia_Source()</f>
        <v>VEERG 2026: 15.9.1.1, Equation (1)</v>
      </c>
    </row>
    <row r="400" spans="3:41" x14ac:dyDescent="0.25">
      <c r="D400" s="117" t="s">
        <v>382</v>
      </c>
      <c r="E400" s="117" t="str" cm="1">
        <f t="array" aca="1" ref="E400" ca="1">Common_InputFunctions.Utility_DisplayFunctionName(J414)</f>
        <v>=Scope3_Equations.VEERG_15_9_1_1__1_EmissionsFromPurchasedGrowMedia</v>
      </c>
    </row>
    <row r="403" spans="4:14" x14ac:dyDescent="0.25">
      <c r="G403" s="117"/>
    </row>
    <row r="404" spans="4:14" x14ac:dyDescent="0.25">
      <c r="D404" s="76" t="s">
        <v>383</v>
      </c>
      <c r="E404" s="1" t="str" cm="1">
        <f t="array" ref="E404">Scope3_Equations.VEERG_15_9_1_1__1_EmissionsFromPurchasedGrowMedia_Variable()</f>
        <v>E</v>
      </c>
    </row>
    <row r="405" spans="4:14" x14ac:dyDescent="0.25">
      <c r="D405" s="76" t="s">
        <v>118</v>
      </c>
      <c r="E405" s="1" t="str" cm="1">
        <f t="array" ref="E405">Scope3_Equations.VEERG_15_9_1_1__1_EmissionsFromPurchasedGrowMedia_Unit()</f>
        <v>t CO2e</v>
      </c>
    </row>
    <row r="407" spans="4:14" x14ac:dyDescent="0.25">
      <c r="D407" s="119" t="str" cm="1">
        <f t="array" ref="D407:E409">_xlfn.CHOOSECOLS(Scope3_Equations.VEERG_15_9_1_1__1_EmissionsFromPurchasedGrowMedia_Arguments(),1,2)</f>
        <v>Q_g</v>
      </c>
      <c r="E407" s="119" t="str">
        <v>total quantity of grow media type g</v>
      </c>
      <c r="F407" s="119" t="str" cm="1">
        <f t="array" ref="F407:G409">_xlfn.CHOOSECOLS(Scope3_Equations.VEERG_15_9_1_1__1_EmissionsFromPurchasedGrowMedia_Arguments(),3,4)</f>
        <v>kg or m3</v>
      </c>
      <c r="G407" s="272" t="str">
        <v>Input</v>
      </c>
    </row>
    <row r="408" spans="4:14" x14ac:dyDescent="0.25">
      <c r="D408" s="119" t="str">
        <v>EF_g</v>
      </c>
      <c r="E408" s="119" t="str">
        <v>emission factor for grow media type g</v>
      </c>
      <c r="F408" s="119" t="str">
        <v>kg CO2e/kg or kg CO2e/m3</v>
      </c>
      <c r="G408" s="127" t="str">
        <v>Constant</v>
      </c>
    </row>
    <row r="409" spans="4:14" x14ac:dyDescent="0.25">
      <c r="D409" s="119" t="str">
        <v>g</v>
      </c>
      <c r="E409" s="119" t="str">
        <v>grow media type</v>
      </c>
      <c r="F409" s="119" t="str">
        <v/>
      </c>
      <c r="G409" s="272" t="str">
        <v>Input</v>
      </c>
    </row>
    <row r="411" spans="4:14" x14ac:dyDescent="0.25">
      <c r="D411" s="25" t="s">
        <v>1400</v>
      </c>
    </row>
    <row r="413" spans="4:14" x14ac:dyDescent="0.25">
      <c r="D413" s="81" t="s">
        <v>1411</v>
      </c>
      <c r="E413" s="81" t="s">
        <v>1212</v>
      </c>
      <c r="F413" s="81" t="s">
        <v>916</v>
      </c>
      <c r="G413" s="123" t="s">
        <v>1401</v>
      </c>
      <c r="H413" s="123" t="s">
        <v>1402</v>
      </c>
      <c r="I413" s="81" t="s">
        <v>1403</v>
      </c>
      <c r="J413" s="123" t="s">
        <v>1404</v>
      </c>
      <c r="K413" s="123" t="s">
        <v>1405</v>
      </c>
      <c r="L413" s="81" t="s">
        <v>1323</v>
      </c>
      <c r="M413" s="81" t="s">
        <v>1324</v>
      </c>
      <c r="N413" s="81" t="s">
        <v>1325</v>
      </c>
    </row>
    <row r="414" spans="4:14" x14ac:dyDescent="0.25">
      <c r="D414" s="15"/>
      <c r="E414" s="15"/>
      <c r="F414" s="15"/>
      <c r="G414" s="15" t="s">
        <v>1406</v>
      </c>
      <c r="H414" s="15" t="s">
        <v>1406</v>
      </c>
      <c r="I414" s="75">
        <v>4</v>
      </c>
      <c r="J414" s="247" cm="1">
        <f t="array" ref="J414">Scope3_Equations.VEERG_15_9_1_1__1_EmissionsFromPurchasedGrowMedia(E414,I414)</f>
        <v>0</v>
      </c>
      <c r="K414" s="15" t="str">
        <f>"t CO2e / " &amp; F414</f>
        <v xml:space="preserve">t CO2e / </v>
      </c>
      <c r="L414" s="33"/>
      <c r="M414" s="13"/>
      <c r="N414" s="33"/>
    </row>
    <row r="415" spans="4:14" x14ac:dyDescent="0.25">
      <c r="D415" s="15"/>
      <c r="E415" s="15"/>
      <c r="F415" s="15"/>
      <c r="G415" s="15" t="s">
        <v>1406</v>
      </c>
      <c r="H415" s="15" t="s">
        <v>1406</v>
      </c>
      <c r="I415" s="75">
        <v>2</v>
      </c>
      <c r="J415" s="247" cm="1">
        <f t="array" ref="J415">Scope3_Equations.VEERG_15_9_1_1__1_EmissionsFromPurchasedGrowMedia(E415,I415)</f>
        <v>0</v>
      </c>
      <c r="K415" s="15" t="str">
        <f t="shared" ref="K415:K423" si="2">"t CO2e / " &amp; F415</f>
        <v xml:space="preserve">t CO2e / </v>
      </c>
      <c r="L415" s="33"/>
      <c r="M415" s="13"/>
      <c r="N415" s="33"/>
    </row>
    <row r="416" spans="4:14" x14ac:dyDescent="0.25">
      <c r="D416" s="15"/>
      <c r="E416" s="15"/>
      <c r="F416" s="15"/>
      <c r="G416" s="15" t="s">
        <v>1406</v>
      </c>
      <c r="H416" s="15" t="s">
        <v>1406</v>
      </c>
      <c r="I416" s="75"/>
      <c r="J416" s="247" cm="1">
        <f t="array" ref="J416">Scope3_Equations.VEERG_15_9_1_1__1_EmissionsFromPurchasedGrowMedia(E416,I416)</f>
        <v>0</v>
      </c>
      <c r="K416" s="15" t="str">
        <f t="shared" si="2"/>
        <v xml:space="preserve">t CO2e / </v>
      </c>
      <c r="L416" s="33"/>
      <c r="M416" s="13"/>
      <c r="N416" s="33"/>
    </row>
    <row r="417" spans="3:41" x14ac:dyDescent="0.25">
      <c r="D417" s="15"/>
      <c r="E417" s="15"/>
      <c r="F417" s="15"/>
      <c r="G417" s="15" t="s">
        <v>1406</v>
      </c>
      <c r="H417" s="15" t="s">
        <v>1406</v>
      </c>
      <c r="I417" s="75"/>
      <c r="J417" s="247" cm="1">
        <f t="array" ref="J417">Scope3_Equations.VEERG_15_9_1_1__1_EmissionsFromPurchasedGrowMedia(E417,I417)</f>
        <v>0</v>
      </c>
      <c r="K417" s="15" t="str">
        <f t="shared" si="2"/>
        <v xml:space="preserve">t CO2e / </v>
      </c>
      <c r="L417" s="33"/>
      <c r="M417" s="13"/>
      <c r="N417" s="33"/>
    </row>
    <row r="418" spans="3:41" x14ac:dyDescent="0.25">
      <c r="D418" s="15"/>
      <c r="E418" s="15"/>
      <c r="F418" s="15"/>
      <c r="G418" s="15" t="s">
        <v>1406</v>
      </c>
      <c r="H418" s="15" t="s">
        <v>1406</v>
      </c>
      <c r="I418" s="75"/>
      <c r="J418" s="247" cm="1">
        <f t="array" ref="J418">Scope3_Equations.VEERG_15_9_1_1__1_EmissionsFromPurchasedGrowMedia(E418,I418)</f>
        <v>0</v>
      </c>
      <c r="K418" s="15" t="str">
        <f t="shared" si="2"/>
        <v xml:space="preserve">t CO2e / </v>
      </c>
      <c r="L418" s="33"/>
      <c r="M418" s="13"/>
      <c r="N418" s="33"/>
    </row>
    <row r="419" spans="3:41" x14ac:dyDescent="0.25">
      <c r="D419" s="15"/>
      <c r="E419" s="15"/>
      <c r="F419" s="15"/>
      <c r="G419" s="15" t="s">
        <v>1406</v>
      </c>
      <c r="H419" s="15" t="s">
        <v>1406</v>
      </c>
      <c r="I419" s="75"/>
      <c r="J419" s="247" cm="1">
        <f t="array" ref="J419">Scope3_Equations.VEERG_15_9_1_1__1_EmissionsFromPurchasedGrowMedia(E419,I419)</f>
        <v>0</v>
      </c>
      <c r="K419" s="15" t="str">
        <f t="shared" si="2"/>
        <v xml:space="preserve">t CO2e / </v>
      </c>
      <c r="L419" s="33"/>
      <c r="M419" s="13"/>
      <c r="N419" s="33"/>
    </row>
    <row r="420" spans="3:41" x14ac:dyDescent="0.25">
      <c r="D420" s="15"/>
      <c r="E420" s="15"/>
      <c r="F420" s="15"/>
      <c r="G420" s="15" t="s">
        <v>1406</v>
      </c>
      <c r="H420" s="15" t="s">
        <v>1406</v>
      </c>
      <c r="I420" s="75"/>
      <c r="J420" s="247" cm="1">
        <f t="array" ref="J420">Scope3_Equations.VEERG_15_9_1_1__1_EmissionsFromPurchasedGrowMedia(E420,I420)</f>
        <v>0</v>
      </c>
      <c r="K420" s="15" t="str">
        <f t="shared" si="2"/>
        <v xml:space="preserve">t CO2e / </v>
      </c>
      <c r="L420" s="33"/>
      <c r="M420" s="13"/>
      <c r="N420" s="33"/>
    </row>
    <row r="421" spans="3:41" x14ac:dyDescent="0.25">
      <c r="D421" s="15"/>
      <c r="E421" s="15"/>
      <c r="F421" s="15"/>
      <c r="G421" s="15" t="s">
        <v>1406</v>
      </c>
      <c r="H421" s="15" t="s">
        <v>1406</v>
      </c>
      <c r="I421" s="75"/>
      <c r="J421" s="247" cm="1">
        <f t="array" ref="J421">Scope3_Equations.VEERG_15_9_1_1__1_EmissionsFromPurchasedGrowMedia(E421,I421)</f>
        <v>0</v>
      </c>
      <c r="K421" s="15" t="str">
        <f t="shared" si="2"/>
        <v xml:space="preserve">t CO2e / </v>
      </c>
      <c r="L421" s="33"/>
      <c r="M421" s="13"/>
      <c r="N421" s="33"/>
    </row>
    <row r="422" spans="3:41" x14ac:dyDescent="0.25">
      <c r="D422" s="15"/>
      <c r="E422" s="15"/>
      <c r="F422" s="15"/>
      <c r="G422" s="15" t="s">
        <v>1406</v>
      </c>
      <c r="H422" s="15" t="s">
        <v>1406</v>
      </c>
      <c r="I422" s="75"/>
      <c r="J422" s="247" cm="1">
        <f t="array" ref="J422">Scope3_Equations.VEERG_15_9_1_1__1_EmissionsFromPurchasedGrowMedia(E422,I422)</f>
        <v>0</v>
      </c>
      <c r="K422" s="15" t="str">
        <f t="shared" si="2"/>
        <v xml:space="preserve">t CO2e / </v>
      </c>
      <c r="L422" s="33"/>
      <c r="M422" s="13"/>
      <c r="N422" s="33"/>
    </row>
    <row r="423" spans="3:41" x14ac:dyDescent="0.25">
      <c r="D423" s="15"/>
      <c r="E423" s="15"/>
      <c r="F423" s="15"/>
      <c r="G423" s="15" t="s">
        <v>1406</v>
      </c>
      <c r="H423" s="15" t="s">
        <v>1406</v>
      </c>
      <c r="I423" s="75"/>
      <c r="J423" s="247" cm="1">
        <f t="array" ref="J423">Scope3_Equations.VEERG_15_9_1_1__1_EmissionsFromPurchasedGrowMedia(E423,I423)</f>
        <v>0</v>
      </c>
      <c r="K423" s="15" t="str">
        <f t="shared" si="2"/>
        <v xml:space="preserve">t CO2e / </v>
      </c>
      <c r="L423" s="33"/>
      <c r="M423" s="13"/>
      <c r="N423" s="33"/>
    </row>
    <row r="425" spans="3:41" ht="20.25" x14ac:dyDescent="0.25">
      <c r="D425" s="275" t="s">
        <v>1319</v>
      </c>
      <c r="E425" s="90" t="s">
        <v>1406</v>
      </c>
      <c r="F425" s="89" t="str">
        <f>$E$170</f>
        <v>t CO2e</v>
      </c>
    </row>
    <row r="426" spans="3:41" ht="20.25" x14ac:dyDescent="0.25">
      <c r="D426" s="275" t="s">
        <v>1322</v>
      </c>
      <c r="E426" s="90">
        <f>SUM(J414:J423)</f>
        <v>0</v>
      </c>
      <c r="F426" s="89" t="str">
        <f>$E$170</f>
        <v>t CO2e</v>
      </c>
    </row>
    <row r="429" spans="3:41" x14ac:dyDescent="0.25">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c r="AA429" s="88"/>
      <c r="AB429" s="88"/>
      <c r="AC429" s="88"/>
      <c r="AD429" s="88"/>
      <c r="AE429" s="88"/>
      <c r="AF429" s="88"/>
      <c r="AG429" s="88"/>
      <c r="AH429" s="88"/>
      <c r="AI429" s="88"/>
      <c r="AJ429" s="88"/>
      <c r="AK429" s="88"/>
      <c r="AL429" s="88"/>
      <c r="AM429" s="88"/>
      <c r="AN429" s="88"/>
      <c r="AO429" s="88"/>
    </row>
    <row r="430" spans="3:41" ht="23.25" x14ac:dyDescent="0.25">
      <c r="D430" s="2" t="str" cm="1">
        <f t="array" ref="D430">Scope3_Equations.VEERG_15_10_1_1__1_OtherPurchasedGoodsAndServices_Title()</f>
        <v>Other purchased goods and services generic estimate</v>
      </c>
    </row>
    <row r="431" spans="3:41" x14ac:dyDescent="0.25">
      <c r="D431" s="17" t="str" cm="1">
        <f t="array" ref="D431">Scope3_Equations.VEERG_15_10_1_1__1_OtherPurchasedGoodsAndServices_Source()</f>
        <v>VEERG 2026: 15.10, generic placeholder equation</v>
      </c>
    </row>
    <row r="432" spans="3:41" x14ac:dyDescent="0.25">
      <c r="D432" s="25" t="s">
        <v>1412</v>
      </c>
    </row>
    <row r="433" spans="4:13" x14ac:dyDescent="0.25">
      <c r="D433" s="117" t="s">
        <v>382</v>
      </c>
      <c r="E433" s="117" t="str" cm="1">
        <f t="array" aca="1" ref="E433" ca="1">Common_InputFunctions.Utility_DisplayFunctionName(H445)</f>
        <v>=Scope3_Equations.VEERG_15_10_1_1__1_OtherPurchasedGoodsAndServices</v>
      </c>
    </row>
    <row r="436" spans="4:13" x14ac:dyDescent="0.25">
      <c r="D436" s="76" t="s">
        <v>383</v>
      </c>
      <c r="E436" s="1" t="str" cm="1">
        <f t="array" ref="E436">Scope3_Equations.VEERG_15_10_1_1__1_OtherPurchasedGoodsAndServices_Variable()</f>
        <v>emissions</v>
      </c>
    </row>
    <row r="437" spans="4:13" x14ac:dyDescent="0.25">
      <c r="D437" s="76" t="s">
        <v>118</v>
      </c>
      <c r="E437" s="9" t="str" cm="1">
        <f t="array" ref="E437">Scope3_Equations.VEERG_15_10_1_1__1_OtherPurchasedGoodsAndServices_Unit()</f>
        <v>t CO2e</v>
      </c>
    </row>
    <row r="439" spans="4:13" x14ac:dyDescent="0.25">
      <c r="D439" s="119" t="str" cm="1">
        <f t="array" ref="D439:E440">_xlfn.CHOOSECOLS(Scope3_Equations.VEERG_15_10_1_1__1_OtherPurchasedGoodsAndServices_Arguments(),1,2)</f>
        <v>activity_data</v>
      </c>
      <c r="E439" s="124" t="str">
        <v>measured activity for the purchased good or service</v>
      </c>
      <c r="F439" s="125"/>
      <c r="G439" s="119" t="str" cm="1">
        <f t="array" ref="G439:H440">_xlfn.CHOOSECOLS(Scope3_Equations.VEERG_15_10_1_1__1_OtherPurchasedGoodsAndServices_Arguments(),3,4)</f>
        <v>varies</v>
      </c>
      <c r="H439" s="272" t="str">
        <v>Input</v>
      </c>
    </row>
    <row r="440" spans="4:13" x14ac:dyDescent="0.25">
      <c r="D440" s="119" t="str">
        <v>emission_factor</v>
      </c>
      <c r="E440" s="124" t="str">
        <v>lifecycle emissions per unit of activity</v>
      </c>
      <c r="F440" s="125"/>
      <c r="G440" s="119" t="str">
        <v>varies</v>
      </c>
      <c r="H440" s="127" t="str">
        <v>Constant</v>
      </c>
    </row>
    <row r="442" spans="4:13" ht="18.75" x14ac:dyDescent="0.25">
      <c r="D442" s="263" t="s">
        <v>1413</v>
      </c>
    </row>
    <row r="444" spans="4:13" x14ac:dyDescent="0.25">
      <c r="D444" s="81" t="s">
        <v>1313</v>
      </c>
      <c r="E444" s="273" t="s">
        <v>1414</v>
      </c>
      <c r="F444" s="273" t="s">
        <v>1415</v>
      </c>
      <c r="G444" s="123" t="s">
        <v>120</v>
      </c>
      <c r="H444" s="123" t="s">
        <v>1319</v>
      </c>
      <c r="I444" s="81" t="s">
        <v>121</v>
      </c>
      <c r="J444" s="123" t="s">
        <v>1322</v>
      </c>
      <c r="K444" s="81" t="s">
        <v>1323</v>
      </c>
      <c r="L444" s="81" t="s">
        <v>1324</v>
      </c>
      <c r="M444" s="81" t="s">
        <v>1325</v>
      </c>
    </row>
    <row r="445" spans="4:13" x14ac:dyDescent="0.25">
      <c r="D445" s="15" t="str" cm="1">
        <f t="array" ref="D445:D454">IFERROR(INDEX(Table_Input_ChemicalsCleaning[Product name], _xlfn.SEQUENCE(10)), "")</f>
        <v>Acid kleen</v>
      </c>
      <c r="E445" s="15" t="str" cm="1">
        <f t="array" ref="E445:E454">IFERROR(INDEX(Table_Input_ChemicalsCleaning[Type (select)], _xlfn.SEQUENCE(10)), "")</f>
        <v>Phosphoric acid</v>
      </c>
      <c r="F445" s="15" cm="1">
        <f t="array" ref="F445:F454">IFERROR(INDEX(Table_Input_ChemicalsCleaning[Quantity purchased (kg)], _xlfn.SEQUENCE(10)), "")</f>
        <v>100</v>
      </c>
      <c r="G445" s="15" cm="1">
        <f t="array" ref="G445">Common_InputFunctions.Utility_LookupValueInTableNumber(E445,Table_SourceData_Scope3_ChemicalsCleaning[Product],Table_SourceData_Scope3_ChemicalsCleaning[Emissions intensity])</f>
        <v>0.90700000000000003</v>
      </c>
      <c r="H445" s="247" cm="1">
        <f t="array" ref="H445">Scope3_Equations.VEERG_15_10_1_1__1_OtherPurchasedGoodsAndServices(F445,G445*10^-3)</f>
        <v>9.0700000000000003E-2</v>
      </c>
      <c r="I445" s="75">
        <v>1.3</v>
      </c>
      <c r="J445" s="247" cm="1">
        <f t="array" ref="J445">Scope3_Equations.VEERG_15_10_1_1__1_OtherPurchasedGoodsAndServices(F445,IF(I445,I445,G445)*10^-3)</f>
        <v>0.13</v>
      </c>
      <c r="K445" s="33"/>
      <c r="L445" s="13"/>
      <c r="M445" s="33"/>
    </row>
    <row r="446" spans="4:13" x14ac:dyDescent="0.25">
      <c r="D446" s="15" t="str">
        <v>Kleen alk</v>
      </c>
      <c r="E446" s="15" t="str">
        <v>Alkaline cleaner</v>
      </c>
      <c r="F446" s="15">
        <v>100</v>
      </c>
      <c r="G446" s="15" cm="1">
        <f t="array" ref="G446">Common_InputFunctions.Utility_LookupValueInTableNumber(E446,Table_SourceData_Scope3_ChemicalsCleaning[Product],Table_SourceData_Scope3_ChemicalsCleaning[Emissions intensity])</f>
        <v>0.72199999999999998</v>
      </c>
      <c r="H446" s="247" cm="1">
        <f t="array" ref="H446">Scope3_Equations.VEERG_15_10_1_1__1_OtherPurchasedGoodsAndServices(F446,G446*10^-3)</f>
        <v>7.22E-2</v>
      </c>
      <c r="I446" s="75">
        <v>8</v>
      </c>
      <c r="J446" s="247" cm="1">
        <f t="array" ref="J446">Scope3_Equations.VEERG_15_10_1_1__1_OtherPurchasedGoodsAndServices(F446,IF(I446,I446,G446)*10^-3)</f>
        <v>0.8</v>
      </c>
      <c r="K446" s="33"/>
      <c r="L446" s="13"/>
      <c r="M446" s="33"/>
    </row>
    <row r="447" spans="4:13" x14ac:dyDescent="0.25">
      <c r="D447" s="15" t="str">
        <v>White king</v>
      </c>
      <c r="E447" s="15" t="str">
        <v>Bleach</v>
      </c>
      <c r="F447" s="15">
        <v>100</v>
      </c>
      <c r="G447" s="15" cm="1">
        <f t="array" ref="G447">Common_InputFunctions.Utility_LookupValueInTableNumber(E447,Table_SourceData_Scope3_ChemicalsCleaning[Product],Table_SourceData_Scope3_ChemicalsCleaning[Emissions intensity])</f>
        <v>0.80400000000000005</v>
      </c>
      <c r="H447" s="247" cm="1">
        <f t="array" ref="H447">Scope3_Equations.VEERG_15_10_1_1__1_OtherPurchasedGoodsAndServices(F447,G447*10^-3)</f>
        <v>8.0399999999999999E-2</v>
      </c>
      <c r="I447" s="75">
        <v>4</v>
      </c>
      <c r="J447" s="247" cm="1">
        <f t="array" ref="J447">Scope3_Equations.VEERG_15_10_1_1__1_OtherPurchasedGoodsAndServices(F447,IF(I447,I447,G447)*10^-3)</f>
        <v>0.4</v>
      </c>
      <c r="K447" s="33"/>
      <c r="L447" s="13"/>
      <c r="M447" s="33"/>
    </row>
    <row r="448" spans="4:13" x14ac:dyDescent="0.25">
      <c r="D448" s="15" t="str">
        <v>White king</v>
      </c>
      <c r="E448" s="15" t="str">
        <v>Bleach</v>
      </c>
      <c r="F448" s="15">
        <v>100</v>
      </c>
      <c r="G448" s="15" cm="1">
        <f t="array" ref="G448">Common_InputFunctions.Utility_LookupValueInTableNumber(E448,Table_SourceData_Scope3_ChemicalsCleaning[Product],Table_SourceData_Scope3_ChemicalsCleaning[Emissions intensity])</f>
        <v>0.80400000000000005</v>
      </c>
      <c r="H448" s="247" cm="1">
        <f t="array" ref="H448">Scope3_Equations.VEERG_15_10_1_1__1_OtherPurchasedGoodsAndServices(F448,G448*10^-3)</f>
        <v>8.0399999999999999E-2</v>
      </c>
      <c r="I448" s="75">
        <v>3</v>
      </c>
      <c r="J448" s="247" cm="1">
        <f t="array" ref="J448">Scope3_Equations.VEERG_15_10_1_1__1_OtherPurchasedGoodsAndServices(F448,IF(I448,I448,G448)*10^-3)</f>
        <v>0.3</v>
      </c>
      <c r="K448" s="33"/>
      <c r="L448" s="13"/>
      <c r="M448" s="33"/>
    </row>
    <row r="449" spans="4:13" x14ac:dyDescent="0.25">
      <c r="D449" s="15" t="str">
        <v>Acid kleen</v>
      </c>
      <c r="E449" s="15" t="str">
        <v>Phosphoric acid</v>
      </c>
      <c r="F449" s="15">
        <v>100</v>
      </c>
      <c r="G449" s="15" cm="1">
        <f t="array" ref="G449">Common_InputFunctions.Utility_LookupValueInTableNumber(E449,Table_SourceData_Scope3_ChemicalsCleaning[Product],Table_SourceData_Scope3_ChemicalsCleaning[Emissions intensity])</f>
        <v>0.90700000000000003</v>
      </c>
      <c r="H449" s="247" cm="1">
        <f t="array" ref="H449">Scope3_Equations.VEERG_15_10_1_1__1_OtherPurchasedGoodsAndServices(F449,G449*10^-3)</f>
        <v>9.0700000000000003E-2</v>
      </c>
      <c r="I449" s="75">
        <v>6</v>
      </c>
      <c r="J449" s="247" cm="1">
        <f t="array" ref="J449">Scope3_Equations.VEERG_15_10_1_1__1_OtherPurchasedGoodsAndServices(F449,IF(I449,I449,G449)*10^-3)</f>
        <v>0.6</v>
      </c>
      <c r="K449" s="33"/>
      <c r="L449" s="13"/>
      <c r="M449" s="33"/>
    </row>
    <row r="450" spans="4:13" x14ac:dyDescent="0.25">
      <c r="D450" s="15" t="str">
        <v>Acid kleen</v>
      </c>
      <c r="E450" s="15" t="str">
        <v>Phosphoric acid</v>
      </c>
      <c r="F450" s="15">
        <v>100</v>
      </c>
      <c r="G450" s="15" cm="1">
        <f t="array" ref="G450">Common_InputFunctions.Utility_LookupValueInTableNumber(E450,Table_SourceData_Scope3_ChemicalsCleaning[Product],Table_SourceData_Scope3_ChemicalsCleaning[Emissions intensity])</f>
        <v>0.90700000000000003</v>
      </c>
      <c r="H450" s="247" cm="1">
        <f t="array" ref="H450">Scope3_Equations.VEERG_15_10_1_1__1_OtherPurchasedGoodsAndServices(F450,G450*10^-3)</f>
        <v>9.0700000000000003E-2</v>
      </c>
      <c r="I450" s="75">
        <v>5</v>
      </c>
      <c r="J450" s="247" cm="1">
        <f t="array" ref="J450">Scope3_Equations.VEERG_15_10_1_1__1_OtherPurchasedGoodsAndServices(F450,IF(I450,I450,G450)*10^-3)</f>
        <v>0.5</v>
      </c>
      <c r="K450" s="33"/>
      <c r="L450" s="13"/>
      <c r="M450" s="33"/>
    </row>
    <row r="451" spans="4:13" x14ac:dyDescent="0.25">
      <c r="D451" s="15">
        <v>0</v>
      </c>
      <c r="E451" s="15">
        <v>0</v>
      </c>
      <c r="F451" s="15">
        <v>0</v>
      </c>
      <c r="G451" s="15" cm="1">
        <f t="array" ref="G451">Common_InputFunctions.Utility_LookupValueInTableNumber(E451,Table_SourceData_Scope3_ChemicalsCleaning[Product],Table_SourceData_Scope3_ChemicalsCleaning[Emissions intensity])</f>
        <v>0</v>
      </c>
      <c r="H451" s="247" cm="1">
        <f t="array" ref="H451">Scope3_Equations.VEERG_15_10_1_1__1_OtherPurchasedGoodsAndServices(F451,G451*10^-3)</f>
        <v>0</v>
      </c>
      <c r="I451" s="75"/>
      <c r="J451" s="247" cm="1">
        <f t="array" ref="J451">Scope3_Equations.VEERG_15_10_1_1__1_OtherPurchasedGoodsAndServices(F451,IF(I451,I451,G451)*10^-3)</f>
        <v>0</v>
      </c>
      <c r="K451" s="33"/>
      <c r="L451" s="13"/>
      <c r="M451" s="33"/>
    </row>
    <row r="452" spans="4:13" x14ac:dyDescent="0.25">
      <c r="D452" s="15">
        <v>0</v>
      </c>
      <c r="E452" s="15">
        <v>0</v>
      </c>
      <c r="F452" s="15">
        <v>0</v>
      </c>
      <c r="G452" s="15" cm="1">
        <f t="array" ref="G452">Common_InputFunctions.Utility_LookupValueInTableNumber(E452,Table_SourceData_Scope3_ChemicalsCleaning[Product],Table_SourceData_Scope3_ChemicalsCleaning[Emissions intensity])</f>
        <v>0</v>
      </c>
      <c r="H452" s="247" cm="1">
        <f t="array" ref="H452">Scope3_Equations.VEERG_15_10_1_1__1_OtherPurchasedGoodsAndServices(F452,G452*10^-3)</f>
        <v>0</v>
      </c>
      <c r="I452" s="75"/>
      <c r="J452" s="247" cm="1">
        <f t="array" ref="J452">Scope3_Equations.VEERG_15_10_1_1__1_OtherPurchasedGoodsAndServices(F452,IF(I452,I452,G452)*10^-3)</f>
        <v>0</v>
      </c>
      <c r="K452" s="33"/>
      <c r="L452" s="13"/>
      <c r="M452" s="33"/>
    </row>
    <row r="453" spans="4:13" x14ac:dyDescent="0.25">
      <c r="D453" s="15">
        <v>0</v>
      </c>
      <c r="E453" s="15">
        <v>0</v>
      </c>
      <c r="F453" s="15">
        <v>0</v>
      </c>
      <c r="G453" s="15" cm="1">
        <f t="array" ref="G453">Common_InputFunctions.Utility_LookupValueInTableNumber(E453,Table_SourceData_Scope3_ChemicalsCleaning[Product],Table_SourceData_Scope3_ChemicalsCleaning[Emissions intensity])</f>
        <v>0</v>
      </c>
      <c r="H453" s="247" cm="1">
        <f t="array" ref="H453">Scope3_Equations.VEERG_15_10_1_1__1_OtherPurchasedGoodsAndServices(F453,G453*10^-3)</f>
        <v>0</v>
      </c>
      <c r="I453" s="75"/>
      <c r="J453" s="247" cm="1">
        <f t="array" ref="J453">Scope3_Equations.VEERG_15_10_1_1__1_OtherPurchasedGoodsAndServices(F453,IF(I453,I453,G453)*10^-3)</f>
        <v>0</v>
      </c>
      <c r="K453" s="33"/>
      <c r="L453" s="13"/>
      <c r="M453" s="33"/>
    </row>
    <row r="454" spans="4:13" x14ac:dyDescent="0.25">
      <c r="D454" s="15">
        <v>0</v>
      </c>
      <c r="E454" s="15">
        <v>0</v>
      </c>
      <c r="F454" s="15">
        <v>0</v>
      </c>
      <c r="G454" s="15" cm="1">
        <f t="array" ref="G454">Common_InputFunctions.Utility_LookupValueInTableNumber(E454,Table_SourceData_Scope3_ChemicalsCleaning[Product],Table_SourceData_Scope3_ChemicalsCleaning[Emissions intensity])</f>
        <v>0</v>
      </c>
      <c r="H454" s="247" cm="1">
        <f t="array" ref="H454">Scope3_Equations.VEERG_15_10_1_1__1_OtherPurchasedGoodsAndServices(F454,G454*10^-3)</f>
        <v>0</v>
      </c>
      <c r="I454" s="75"/>
      <c r="J454" s="247" cm="1">
        <f t="array" ref="J454">Scope3_Equations.VEERG_15_10_1_1__1_OtherPurchasedGoodsAndServices(F454,IF(I454,I454,G454)*10^-3)</f>
        <v>0</v>
      </c>
      <c r="K454" s="33"/>
      <c r="L454" s="13"/>
      <c r="M454" s="33"/>
    </row>
    <row r="456" spans="4:13" ht="20.25" x14ac:dyDescent="0.25">
      <c r="D456" s="275" t="s">
        <v>1319</v>
      </c>
      <c r="E456" s="90">
        <f>SUM(H445:H454)</f>
        <v>0.50509999999999999</v>
      </c>
      <c r="F456" s="89" t="str">
        <f>$E$170</f>
        <v>t CO2e</v>
      </c>
    </row>
    <row r="457" spans="4:13" ht="20.25" x14ac:dyDescent="0.25">
      <c r="D457" s="275" t="s">
        <v>1322</v>
      </c>
      <c r="E457" s="90">
        <f>SUM(J445:J454)</f>
        <v>2.73</v>
      </c>
      <c r="F457" s="89" t="str">
        <f>$E$170</f>
        <v>t CO2e</v>
      </c>
    </row>
    <row r="460" spans="4:13" ht="18.75" x14ac:dyDescent="0.25">
      <c r="D460" s="263" t="s">
        <v>1416</v>
      </c>
    </row>
    <row r="462" spans="4:13" x14ac:dyDescent="0.25">
      <c r="D462" s="81" t="s">
        <v>1313</v>
      </c>
      <c r="E462" s="273" t="s">
        <v>1414</v>
      </c>
      <c r="F462" s="273" t="s">
        <v>1277</v>
      </c>
      <c r="G462" s="123" t="s">
        <v>1417</v>
      </c>
      <c r="H462" s="123" t="s">
        <v>1319</v>
      </c>
      <c r="I462" s="81" t="s">
        <v>1418</v>
      </c>
      <c r="J462" s="123" t="s">
        <v>1322</v>
      </c>
      <c r="K462" s="81" t="s">
        <v>1323</v>
      </c>
      <c r="L462" s="81" t="s">
        <v>1324</v>
      </c>
      <c r="M462" s="81" t="s">
        <v>1325</v>
      </c>
    </row>
    <row r="463" spans="4:13" x14ac:dyDescent="0.25">
      <c r="D463" s="15" t="str" cm="1">
        <f t="array" ref="D463:D472">IFERROR(INDEX(Table_Input_ChemicalsPharmacy[Product name], _xlfn.SEQUENCE(10)), "")</f>
        <v>Cow bug off</v>
      </c>
      <c r="E463" s="15" t="str" cm="1">
        <f t="array" ref="E463:E472">IFERROR(INDEX(Table_Input_ChemicalsPharmacy[Type (select)], _xlfn.SEQUENCE(10)), "")</f>
        <v>Parasite control for cattle (external), dipping</v>
      </c>
      <c r="F463" s="15" cm="1">
        <f t="array" ref="F463:F472">IFERROR(INDEX(Table_Input_ChemicalsCleaning[Quantity purchased (kg)], _xlfn.SEQUENCE(10)), "")</f>
        <v>100</v>
      </c>
      <c r="G463" s="15" cm="1">
        <f t="array" ref="G463">Common_InputFunctions.Utility_LookupValueInTableNumber(E463,Table_SourceData_Scope3_ChemicalsPharmacy[Product],Table_SourceData_Scope3_ChemicalsPharmacy[Emissions intensity])</f>
        <v>5.4699999999999999E-2</v>
      </c>
      <c r="H463" s="247" cm="1">
        <f t="array" ref="H463">Scope3_Equations.VEERG_15_10_1_1__1_OtherPurchasedGoodsAndServices(F463,G463*10^-3)</f>
        <v>5.47E-3</v>
      </c>
      <c r="I463" s="75">
        <v>0.05</v>
      </c>
      <c r="J463" s="247" cm="1">
        <f t="array" ref="J463">Scope3_Equations.VEERG_15_10_1_1__1_OtherPurchasedGoodsAndServices(F463,IF(I463,I463,G463)*10^-3)</f>
        <v>5.0000000000000001E-3</v>
      </c>
      <c r="K463" s="33"/>
      <c r="L463" s="13"/>
      <c r="M463" s="33"/>
    </row>
    <row r="464" spans="4:13" x14ac:dyDescent="0.25">
      <c r="D464" s="15" t="str">
        <v>Cow worm-away</v>
      </c>
      <c r="E464" s="15" t="str">
        <v>Parasite control for cattle (internal)</v>
      </c>
      <c r="F464" s="15">
        <v>100</v>
      </c>
      <c r="G464" s="15" cm="1">
        <f t="array" ref="G464">Common_InputFunctions.Utility_LookupValueInTableNumber(E464,Table_SourceData_Scope3_ChemicalsPharmacy[Product],Table_SourceData_Scope3_ChemicalsPharmacy[Emissions intensity])</f>
        <v>1.4200000000000001E-2</v>
      </c>
      <c r="H464" s="247" cm="1">
        <f t="array" ref="H464">Scope3_Equations.VEERG_15_10_1_1__1_OtherPurchasedGoodsAndServices(F464,G464*10^-3)</f>
        <v>1.42E-3</v>
      </c>
      <c r="I464" s="75">
        <v>0.01</v>
      </c>
      <c r="J464" s="247" cm="1">
        <f t="array" ref="J464">Scope3_Equations.VEERG_15_10_1_1__1_OtherPurchasedGoodsAndServices(F464,IF(I464,I464,G464)*10^-3)</f>
        <v>1E-3</v>
      </c>
      <c r="K464" s="33"/>
      <c r="L464" s="13"/>
      <c r="M464" s="33"/>
    </row>
    <row r="465" spans="4:13" x14ac:dyDescent="0.25">
      <c r="D465" s="15" t="str">
        <v>Sheep bug off</v>
      </c>
      <c r="E465" s="15" t="str">
        <v>Parasite control for sheep (external)</v>
      </c>
      <c r="F465" s="15">
        <v>100</v>
      </c>
      <c r="G465" s="15" cm="1">
        <f t="array" ref="G465">Common_InputFunctions.Utility_LookupValueInTableNumber(E465,Table_SourceData_Scope3_ChemicalsPharmacy[Product],Table_SourceData_Scope3_ChemicalsPharmacy[Emissions intensity])</f>
        <v>1.43E-2</v>
      </c>
      <c r="H465" s="247" cm="1">
        <f t="array" ref="H465">Scope3_Equations.VEERG_15_10_1_1__1_OtherPurchasedGoodsAndServices(F465,G465*10^-3)</f>
        <v>1.4300000000000001E-3</v>
      </c>
      <c r="I465" s="75">
        <v>0.01</v>
      </c>
      <c r="J465" s="247" cm="1">
        <f t="array" ref="J465">Scope3_Equations.VEERG_15_10_1_1__1_OtherPurchasedGoodsAndServices(F465,IF(I465,I465,G465)*10^-3)</f>
        <v>1E-3</v>
      </c>
      <c r="K465" s="33"/>
      <c r="L465" s="13"/>
      <c r="M465" s="33"/>
    </row>
    <row r="466" spans="4:13" x14ac:dyDescent="0.25">
      <c r="D466" s="15" t="str">
        <v>Sheep worm-away</v>
      </c>
      <c r="E466" s="15" t="str">
        <v>Parasite control for sheep (internal)</v>
      </c>
      <c r="F466" s="15">
        <v>100</v>
      </c>
      <c r="G466" s="15" cm="1">
        <f t="array" ref="G466">Common_InputFunctions.Utility_LookupValueInTableNumber(E466,Table_SourceData_Scope3_ChemicalsPharmacy[Product],Table_SourceData_Scope3_ChemicalsPharmacy[Emissions intensity])</f>
        <v>4.2599999999999999E-3</v>
      </c>
      <c r="H466" s="247" cm="1">
        <f t="array" ref="H466">Scope3_Equations.VEERG_15_10_1_1__1_OtherPurchasedGoodsAndServices(F466,G466*10^-3)</f>
        <v>4.26E-4</v>
      </c>
      <c r="I466" s="75">
        <v>4.0000000000000001E-3</v>
      </c>
      <c r="J466" s="247" cm="1">
        <f t="array" ref="J466">Scope3_Equations.VEERG_15_10_1_1__1_OtherPurchasedGoodsAndServices(F466,IF(I466,I466,G466)*10^-3)</f>
        <v>3.9999999999999996E-4</v>
      </c>
      <c r="K466" s="33"/>
      <c r="L466" s="13"/>
      <c r="M466" s="33"/>
    </row>
    <row r="467" spans="4:13" x14ac:dyDescent="0.25">
      <c r="D467" s="15" t="str">
        <v>Cow bug off</v>
      </c>
      <c r="E467" s="15" t="str">
        <v>Parasite control for cattle (external), dipping</v>
      </c>
      <c r="F467" s="15">
        <v>100</v>
      </c>
      <c r="G467" s="15" cm="1">
        <f t="array" ref="G467">Common_InputFunctions.Utility_LookupValueInTableNumber(E467,Table_SourceData_Scope3_ChemicalsPharmacy[Product],Table_SourceData_Scope3_ChemicalsPharmacy[Emissions intensity])</f>
        <v>5.4699999999999999E-2</v>
      </c>
      <c r="H467" s="247" cm="1">
        <f t="array" ref="H467">Scope3_Equations.VEERG_15_10_1_1__1_OtherPurchasedGoodsAndServices(F467,G467*10^-3)</f>
        <v>5.47E-3</v>
      </c>
      <c r="I467" s="75">
        <v>0.05</v>
      </c>
      <c r="J467" s="247" cm="1">
        <f t="array" ref="J467">Scope3_Equations.VEERG_15_10_1_1__1_OtherPurchasedGoodsAndServices(F467,IF(I467,I467,G467)*10^-3)</f>
        <v>5.0000000000000001E-3</v>
      </c>
      <c r="K467" s="33"/>
      <c r="L467" s="13"/>
      <c r="M467" s="33"/>
    </row>
    <row r="468" spans="4:13" x14ac:dyDescent="0.25">
      <c r="D468" s="15" t="str">
        <v>Cow worm-away</v>
      </c>
      <c r="E468" s="15" t="str">
        <v>Parasite control for cattle (internal)</v>
      </c>
      <c r="F468" s="15">
        <v>100</v>
      </c>
      <c r="G468" s="15" cm="1">
        <f t="array" ref="G468">Common_InputFunctions.Utility_LookupValueInTableNumber(E468,Table_SourceData_Scope3_ChemicalsPharmacy[Product],Table_SourceData_Scope3_ChemicalsPharmacy[Emissions intensity])</f>
        <v>1.4200000000000001E-2</v>
      </c>
      <c r="H468" s="247" cm="1">
        <f t="array" ref="H468">Scope3_Equations.VEERG_15_10_1_1__1_OtherPurchasedGoodsAndServices(F468,G468*10^-3)</f>
        <v>1.42E-3</v>
      </c>
      <c r="I468" s="75">
        <v>0.01</v>
      </c>
      <c r="J468" s="247" cm="1">
        <f t="array" ref="J468">Scope3_Equations.VEERG_15_10_1_1__1_OtherPurchasedGoodsAndServices(F468,IF(I468,I468,G468)*10^-3)</f>
        <v>1E-3</v>
      </c>
      <c r="K468" s="33"/>
      <c r="L468" s="13"/>
      <c r="M468" s="33"/>
    </row>
    <row r="469" spans="4:13" x14ac:dyDescent="0.25">
      <c r="D469" s="15">
        <v>0</v>
      </c>
      <c r="E469" s="15">
        <v>0</v>
      </c>
      <c r="F469" s="15">
        <v>0</v>
      </c>
      <c r="G469" s="15" cm="1">
        <f t="array" ref="G469">Common_InputFunctions.Utility_LookupValueInTableNumber(E469,Table_SourceData_Scope3_ChemicalsPharmacy[Product],Table_SourceData_Scope3_ChemicalsPharmacy[Emissions intensity])</f>
        <v>0</v>
      </c>
      <c r="H469" s="247" cm="1">
        <f t="array" ref="H469">Scope3_Equations.VEERG_15_10_1_1__1_OtherPurchasedGoodsAndServices(F469,G469*10^-3)</f>
        <v>0</v>
      </c>
      <c r="I469" s="75"/>
      <c r="J469" s="247" cm="1">
        <f t="array" ref="J469">Scope3_Equations.VEERG_15_10_1_1__1_OtherPurchasedGoodsAndServices(F469,IF(I469,I469,G469)*10^-3)</f>
        <v>0</v>
      </c>
      <c r="K469" s="33"/>
      <c r="L469" s="13"/>
      <c r="M469" s="33"/>
    </row>
    <row r="470" spans="4:13" x14ac:dyDescent="0.25">
      <c r="D470" s="15">
        <v>0</v>
      </c>
      <c r="E470" s="15">
        <v>0</v>
      </c>
      <c r="F470" s="15">
        <v>0</v>
      </c>
      <c r="G470" s="15" cm="1">
        <f t="array" ref="G470">Common_InputFunctions.Utility_LookupValueInTableNumber(E470,Table_SourceData_Scope3_ChemicalsPharmacy[Product],Table_SourceData_Scope3_ChemicalsPharmacy[Emissions intensity])</f>
        <v>0</v>
      </c>
      <c r="H470" s="247" cm="1">
        <f t="array" ref="H470">Scope3_Equations.VEERG_15_10_1_1__1_OtherPurchasedGoodsAndServices(F470,G470*10^-3)</f>
        <v>0</v>
      </c>
      <c r="I470" s="75"/>
      <c r="J470" s="247" cm="1">
        <f t="array" ref="J470">Scope3_Equations.VEERG_15_10_1_1__1_OtherPurchasedGoodsAndServices(F470,IF(I470,I470,G470)*10^-3)</f>
        <v>0</v>
      </c>
      <c r="K470" s="33"/>
      <c r="L470" s="13"/>
      <c r="M470" s="33"/>
    </row>
    <row r="471" spans="4:13" x14ac:dyDescent="0.25">
      <c r="D471" s="15">
        <v>0</v>
      </c>
      <c r="E471" s="15">
        <v>0</v>
      </c>
      <c r="F471" s="15">
        <v>0</v>
      </c>
      <c r="G471" s="15" cm="1">
        <f t="array" ref="G471">Common_InputFunctions.Utility_LookupValueInTableNumber(E471,Table_SourceData_Scope3_ChemicalsPharmacy[Product],Table_SourceData_Scope3_ChemicalsPharmacy[Emissions intensity])</f>
        <v>0</v>
      </c>
      <c r="H471" s="247" cm="1">
        <f t="array" ref="H471">Scope3_Equations.VEERG_15_10_1_1__1_OtherPurchasedGoodsAndServices(F471,G471*10^-3)</f>
        <v>0</v>
      </c>
      <c r="I471" s="75"/>
      <c r="J471" s="247" cm="1">
        <f t="array" ref="J471">Scope3_Equations.VEERG_15_10_1_1__1_OtherPurchasedGoodsAndServices(F471,IF(I471,I471,G471)*10^-3)</f>
        <v>0</v>
      </c>
      <c r="K471" s="33"/>
      <c r="L471" s="13"/>
      <c r="M471" s="33"/>
    </row>
    <row r="472" spans="4:13" x14ac:dyDescent="0.25">
      <c r="D472" s="15">
        <v>0</v>
      </c>
      <c r="E472" s="15">
        <v>0</v>
      </c>
      <c r="F472" s="15">
        <v>0</v>
      </c>
      <c r="G472" s="15" cm="1">
        <f t="array" ref="G472">Common_InputFunctions.Utility_LookupValueInTableNumber(E472,Table_SourceData_Scope3_ChemicalsPharmacy[Product],Table_SourceData_Scope3_ChemicalsPharmacy[Emissions intensity])</f>
        <v>0</v>
      </c>
      <c r="H472" s="247" cm="1">
        <f t="array" ref="H472">Scope3_Equations.VEERG_15_10_1_1__1_OtherPurchasedGoodsAndServices(F472,G472*10^-3)</f>
        <v>0</v>
      </c>
      <c r="I472" s="75"/>
      <c r="J472" s="247" cm="1">
        <f t="array" ref="J472">Scope3_Equations.VEERG_15_10_1_1__1_OtherPurchasedGoodsAndServices(F472,IF(I472,I472,G472)*10^-3)</f>
        <v>0</v>
      </c>
      <c r="K472" s="33"/>
      <c r="L472" s="13"/>
      <c r="M472" s="33"/>
    </row>
    <row r="474" spans="4:13" ht="20.25" x14ac:dyDescent="0.25">
      <c r="D474" s="275" t="s">
        <v>1319</v>
      </c>
      <c r="E474" s="90">
        <f>SUM(H463:H472)</f>
        <v>1.5636000000000001E-2</v>
      </c>
      <c r="F474" s="89" t="str">
        <f>$E$170</f>
        <v>t CO2e</v>
      </c>
    </row>
    <row r="475" spans="4:13" ht="20.25" x14ac:dyDescent="0.25">
      <c r="D475" s="275" t="s">
        <v>1322</v>
      </c>
      <c r="E475" s="90">
        <f>SUM(J463:J472)</f>
        <v>1.3400000000000002E-2</v>
      </c>
      <c r="F475" s="89" t="str">
        <f>$E$170</f>
        <v>t CO2e</v>
      </c>
    </row>
    <row r="478" spans="4:13" ht="18.75" x14ac:dyDescent="0.25">
      <c r="D478" s="263" t="s">
        <v>1250</v>
      </c>
    </row>
    <row r="480" spans="4:13" x14ac:dyDescent="0.25">
      <c r="D480" s="81" t="s">
        <v>1200</v>
      </c>
      <c r="E480" s="81" t="s">
        <v>1419</v>
      </c>
      <c r="F480" s="123" t="s">
        <v>1417</v>
      </c>
      <c r="G480" s="123" t="s">
        <v>1319</v>
      </c>
      <c r="H480" s="81" t="s">
        <v>1418</v>
      </c>
      <c r="I480" s="123" t="s">
        <v>1322</v>
      </c>
      <c r="J480" s="81" t="s">
        <v>1323</v>
      </c>
      <c r="K480" s="81" t="s">
        <v>1324</v>
      </c>
      <c r="L480" s="81" t="s">
        <v>1325</v>
      </c>
    </row>
    <row r="481" spans="4:12" x14ac:dyDescent="0.25">
      <c r="D481" s="15" t="str">
        <f>'Input - Crop pasture farm input'!D23</f>
        <v>Barley grain (for seed)</v>
      </c>
      <c r="E481" s="15">
        <f>IFERROR(X_Cell_FarmInputs_Seed_BarleyGrain, 0)</f>
        <v>500</v>
      </c>
      <c r="F481" s="15" cm="1">
        <f t="array" ref="F481">Common_InputFunctions.Utility_LookupValueInTableNumber(D481,Table_SourceData_Scope3_Other[Product],Table_SourceData_Scope3_Other[Emissions intensity])</f>
        <v>0.23899999999999999</v>
      </c>
      <c r="G481" s="247" cm="1">
        <f t="array" ref="G481">Scope3_Equations.VEERG_15_10_1_1__1_OtherPurchasedGoodsAndServices(E481,F481*10^-3)</f>
        <v>0.1195</v>
      </c>
      <c r="H481" s="75">
        <v>0.2</v>
      </c>
      <c r="I481" s="247" cm="1">
        <f t="array" ref="I481">Scope3_Equations.VEERG_15_10_1_1__1_OtherPurchasedGoodsAndServices(E481,IF(H481,H481,F481)*10^-3)</f>
        <v>0.1</v>
      </c>
      <c r="J481" s="33"/>
      <c r="K481" s="13"/>
      <c r="L481" s="33"/>
    </row>
    <row r="482" spans="4:12" x14ac:dyDescent="0.25">
      <c r="D482" s="15" t="str">
        <f>'Input - Crop pasture farm input'!D24</f>
        <v>Maize grain (for seed)</v>
      </c>
      <c r="E482" s="15">
        <f>IFERROR(X_Cell_FarmInputs_Seed_MaizeGrain, 0)</f>
        <v>600</v>
      </c>
      <c r="F482" s="15" cm="1">
        <f t="array" ref="F482">Common_InputFunctions.Utility_LookupValueInTableNumber(D482,Table_SourceData_Scope3_Other[Product],Table_SourceData_Scope3_Other[Emissions intensity])</f>
        <v>0.18099999999999999</v>
      </c>
      <c r="G482" s="247" cm="1">
        <f t="array" ref="G482">Scope3_Equations.VEERG_15_10_1_1__1_OtherPurchasedGoodsAndServices(E482,F482*10^-3)</f>
        <v>0.1086</v>
      </c>
      <c r="H482" s="75"/>
      <c r="I482" s="247" cm="1">
        <f t="array" ref="I482">Scope3_Equations.VEERG_15_10_1_1__1_OtherPurchasedGoodsAndServices(E482,IF(H482,H482,F482)*10^-3)</f>
        <v>0.1086</v>
      </c>
      <c r="J482" s="33"/>
      <c r="K482" s="13"/>
      <c r="L482" s="33"/>
    </row>
    <row r="483" spans="4:12" x14ac:dyDescent="0.25">
      <c r="D483" s="15" t="str">
        <f>'Input - Crop pasture farm input'!D25</f>
        <v>Oat grain (for seed)</v>
      </c>
      <c r="E483" s="15">
        <f>IFERROR(X_Cell_FarmInputs_Seed_OatGrain, 0)</f>
        <v>700</v>
      </c>
      <c r="F483" s="15" cm="1">
        <f t="array" ref="F483">Common_InputFunctions.Utility_LookupValueInTableNumber(D483,Table_SourceData_Scope3_Other[Product],Table_SourceData_Scope3_Other[Emissions intensity])</f>
        <v>0.27</v>
      </c>
      <c r="G483" s="247" cm="1">
        <f t="array" ref="G483">Scope3_Equations.VEERG_15_10_1_1__1_OtherPurchasedGoodsAndServices(E483,F483*10^-3)</f>
        <v>0.189</v>
      </c>
      <c r="H483" s="75">
        <v>0.2</v>
      </c>
      <c r="I483" s="247" cm="1">
        <f t="array" ref="I483">Scope3_Equations.VEERG_15_10_1_1__1_OtherPurchasedGoodsAndServices(E483,IF(H483,H483,F483)*10^-3)</f>
        <v>0.14000000000000001</v>
      </c>
      <c r="J483" s="33"/>
      <c r="K483" s="13"/>
      <c r="L483" s="33"/>
    </row>
    <row r="484" spans="4:12" x14ac:dyDescent="0.25">
      <c r="D484" s="15" t="str">
        <f>'Input - Crop pasture farm input'!D26</f>
        <v>Sorghum grain (for seed)</v>
      </c>
      <c r="E484" s="15">
        <f>IFERROR(X_Cell_FarmInputs_Seed_SorghumGrain, 0)</f>
        <v>800</v>
      </c>
      <c r="F484" s="15" cm="1">
        <f t="array" ref="F484">Common_InputFunctions.Utility_LookupValueInTableNumber(D484,Table_SourceData_Scope3_Other[Product],Table_SourceData_Scope3_Other[Emissions intensity])</f>
        <v>0.23200000000000001</v>
      </c>
      <c r="G484" s="247" cm="1">
        <f t="array" ref="G484">Scope3_Equations.VEERG_15_10_1_1__1_OtherPurchasedGoodsAndServices(E484,F484*10^-3)</f>
        <v>0.18560000000000001</v>
      </c>
      <c r="H484" s="75"/>
      <c r="I484" s="247" cm="1">
        <f t="array" ref="I484">Scope3_Equations.VEERG_15_10_1_1__1_OtherPurchasedGoodsAndServices(E484,IF(H484,H484,F484)*10^-3)</f>
        <v>0.18560000000000001</v>
      </c>
      <c r="J484" s="33"/>
      <c r="K484" s="13"/>
      <c r="L484" s="33"/>
    </row>
    <row r="485" spans="4:12" x14ac:dyDescent="0.25">
      <c r="D485" s="15" t="str">
        <f>'Input - Crop pasture farm input'!D27</f>
        <v>Wheat grain (for seed)</v>
      </c>
      <c r="E485" s="15">
        <f>IFERROR(X_Cell_FarmInputs_Seed_WheatGrain, 0)</f>
        <v>900</v>
      </c>
      <c r="F485" s="15" cm="1">
        <f t="array" ref="F485">Common_InputFunctions.Utility_LookupValueInTableNumber(D485,Table_SourceData_Scope3_Other[Product],Table_SourceData_Scope3_Other[Emissions intensity])</f>
        <v>0.26800000000000002</v>
      </c>
      <c r="G485" s="247" cm="1">
        <f t="array" ref="G485">Scope3_Equations.VEERG_15_10_1_1__1_OtherPurchasedGoodsAndServices(E485,F485*10^-3)</f>
        <v>0.2412</v>
      </c>
      <c r="H485" s="75">
        <v>0.2</v>
      </c>
      <c r="I485" s="247" cm="1">
        <f t="array" ref="I485">Scope3_Equations.VEERG_15_10_1_1__1_OtherPurchasedGoodsAndServices(E485,IF(H485,H485,F485)*10^-3)</f>
        <v>0.18000000000000002</v>
      </c>
      <c r="J485" s="33"/>
      <c r="K485" s="13"/>
      <c r="L485" s="33"/>
    </row>
    <row r="487" spans="4:12" ht="20.25" x14ac:dyDescent="0.25">
      <c r="D487" s="275" t="s">
        <v>1319</v>
      </c>
      <c r="E487" s="90">
        <f>SUM(G481:G485)</f>
        <v>0.84389999999999998</v>
      </c>
      <c r="F487" s="89" t="str">
        <f>$E$170</f>
        <v>t CO2e</v>
      </c>
    </row>
    <row r="488" spans="4:12" ht="20.25" x14ac:dyDescent="0.25">
      <c r="D488" s="275" t="s">
        <v>1322</v>
      </c>
      <c r="E488" s="90">
        <f>SUM(I481:I485)</f>
        <v>0.71420000000000006</v>
      </c>
      <c r="F488" s="89" t="str">
        <f>$E$170</f>
        <v>t CO2e</v>
      </c>
    </row>
    <row r="491" spans="4:12" ht="18.75" x14ac:dyDescent="0.25">
      <c r="D491" s="263" t="s">
        <v>1420</v>
      </c>
    </row>
    <row r="493" spans="4:12" x14ac:dyDescent="0.25">
      <c r="D493" s="81" t="s">
        <v>1200</v>
      </c>
      <c r="E493" s="81" t="s">
        <v>1419</v>
      </c>
      <c r="F493" s="123" t="s">
        <v>1417</v>
      </c>
      <c r="G493" s="123" t="s">
        <v>1319</v>
      </c>
      <c r="H493" s="81" t="s">
        <v>1418</v>
      </c>
      <c r="I493" s="123" t="s">
        <v>1322</v>
      </c>
      <c r="J493" s="81" t="s">
        <v>1323</v>
      </c>
      <c r="K493" s="81" t="s">
        <v>1324</v>
      </c>
      <c r="L493" s="81" t="s">
        <v>1325</v>
      </c>
    </row>
    <row r="494" spans="4:12" x14ac:dyDescent="0.25">
      <c r="D494" s="15" t="str">
        <f>'Input - Livestock farm Inputs'!D47</f>
        <v>Animal ear tags (large)</v>
      </c>
      <c r="E494" s="15">
        <f>IFERROR(X_Cell_FarmInputs_Misc_AnimalEarTagsLarge, 0)</f>
        <v>100</v>
      </c>
      <c r="F494" s="15" cm="1">
        <f t="array" ref="F494">Common_InputFunctions.Utility_LookupValueInTableNumber(D494,Table_SourceData_Scope3_Other[Product],Table_SourceData_Scope3_Other[Emissions intensity])</f>
        <v>4.24E-2</v>
      </c>
      <c r="G494" s="247" cm="1">
        <f t="array" ref="G494">Scope3_Equations.VEERG_15_10_1_1__1_OtherPurchasedGoodsAndServices(E494,F494*10^-3)</f>
        <v>4.2399999999999998E-3</v>
      </c>
      <c r="H494" s="75">
        <v>0.2</v>
      </c>
      <c r="I494" s="247" cm="1">
        <f t="array" ref="I494">Scope3_Equations.VEERG_15_10_1_1__1_OtherPurchasedGoodsAndServices(E494,IF(H494,H494,F494)*10^-3)</f>
        <v>0.02</v>
      </c>
      <c r="J494" s="33"/>
      <c r="K494" s="13"/>
      <c r="L494" s="33"/>
    </row>
    <row r="495" spans="4:12" x14ac:dyDescent="0.25">
      <c r="D495" s="15" t="str">
        <f>'Input - Livestock farm Inputs'!D48</f>
        <v>Animal ear tags (small)</v>
      </c>
      <c r="E495" s="15">
        <f>IFERROR(X_Cell_FarmInputs_Misc_AnimalEarTagsSmall, 0)</f>
        <v>200</v>
      </c>
      <c r="F495" s="15" cm="1">
        <f t="array" ref="F495">Common_InputFunctions.Utility_LookupValueInTableNumber(D495,Table_SourceData_Scope3_Other[Product],Table_SourceData_Scope3_Other[Emissions intensity])</f>
        <v>2.93E-2</v>
      </c>
      <c r="G495" s="247" cm="1">
        <f t="array" ref="G495">Scope3_Equations.VEERG_15_10_1_1__1_OtherPurchasedGoodsAndServices(E495,F495*10^-3)</f>
        <v>5.8599999999999998E-3</v>
      </c>
      <c r="H495" s="75"/>
      <c r="I495" s="247" cm="1">
        <f t="array" ref="I495">Scope3_Equations.VEERG_15_10_1_1__1_OtherPurchasedGoodsAndServices(E495,IF(H495,H495,F495)*10^-3)</f>
        <v>5.8599999999999998E-3</v>
      </c>
      <c r="J495" s="33"/>
      <c r="K495" s="13"/>
      <c r="L495" s="33"/>
    </row>
    <row r="496" spans="4:12" x14ac:dyDescent="0.25">
      <c r="D496" s="15"/>
      <c r="E496" s="15">
        <f>IFERROR(X_Cell_FarmInputs_Misc_NylonNetting, 0)</f>
        <v>0</v>
      </c>
      <c r="F496" s="15" cm="1">
        <f t="array" ref="F496">Common_InputFunctions.Utility_LookupValueInTableNumber(D496,Table_SourceData_Scope3_Other[Product],Table_SourceData_Scope3_Other[Emissions intensity])</f>
        <v>0</v>
      </c>
      <c r="G496" s="247" cm="1">
        <f t="array" ref="G496">Scope3_Equations.VEERG_15_10_1_1__1_OtherPurchasedGoodsAndServices(E496,F496*10^-3)</f>
        <v>0</v>
      </c>
      <c r="H496" s="75">
        <v>0.2</v>
      </c>
      <c r="I496" s="247" cm="1">
        <f t="array" ref="I496">Scope3_Equations.VEERG_15_10_1_1__1_OtherPurchasedGoodsAndServices(E496,IF(H496,H496,F496)*10^-3)</f>
        <v>0</v>
      </c>
      <c r="J496" s="33"/>
      <c r="K496" s="13"/>
      <c r="L496" s="33"/>
    </row>
    <row r="498" spans="4:14" ht="20.25" x14ac:dyDescent="0.25">
      <c r="D498" s="275" t="s">
        <v>1319</v>
      </c>
      <c r="E498" s="90">
        <f>SUM(G494:G496)</f>
        <v>1.01E-2</v>
      </c>
      <c r="F498" s="89" t="str">
        <f>$E$170</f>
        <v>t CO2e</v>
      </c>
    </row>
    <row r="499" spans="4:14" ht="20.25" x14ac:dyDescent="0.25">
      <c r="D499" s="275" t="s">
        <v>1322</v>
      </c>
      <c r="E499" s="90">
        <f>SUM(I494:I496)</f>
        <v>2.5860000000000001E-2</v>
      </c>
      <c r="F499" s="89" t="str">
        <f>$E$170</f>
        <v>t CO2e</v>
      </c>
    </row>
    <row r="502" spans="4:14" ht="18.75" x14ac:dyDescent="0.25">
      <c r="D502" s="263" t="s">
        <v>1421</v>
      </c>
    </row>
    <row r="504" spans="4:14" x14ac:dyDescent="0.25">
      <c r="D504" s="81" t="s">
        <v>1200</v>
      </c>
      <c r="E504" s="81" t="s">
        <v>1066</v>
      </c>
      <c r="F504" s="81" t="s">
        <v>916</v>
      </c>
      <c r="G504" s="123" t="s">
        <v>1401</v>
      </c>
      <c r="H504" s="123" t="s">
        <v>1402</v>
      </c>
      <c r="I504" s="81" t="s">
        <v>1403</v>
      </c>
      <c r="J504" s="81" t="s">
        <v>1422</v>
      </c>
      <c r="K504" s="123" t="s">
        <v>1404</v>
      </c>
      <c r="L504" s="81" t="s">
        <v>1323</v>
      </c>
      <c r="M504" s="81" t="s">
        <v>1324</v>
      </c>
      <c r="N504" s="81" t="s">
        <v>1325</v>
      </c>
    </row>
    <row r="505" spans="4:14" x14ac:dyDescent="0.25">
      <c r="D505" s="15" t="str" cm="1">
        <f t="array" ref="D505:D514">IFERROR(INDEX(Table_Input_UncategorisedProductsServices[Product / service name], _xlfn.SEQUENCE(10)), "")</f>
        <v>Something</v>
      </c>
      <c r="E505" s="15" cm="1">
        <f t="array" ref="E505:E514">IFERROR(INDEX(Table_Input_UncategorisedProductsServices[Amount], _xlfn.SEQUENCE(10)), "")</f>
        <v>1000</v>
      </c>
      <c r="F505" s="15" t="str" cm="1">
        <f t="array" ref="F505:F514">IFERROR(INDEX(Table_Input_UncategorisedProductsServices[Amount unit], _xlfn.SEQUENCE(10)), "")</f>
        <v>kg</v>
      </c>
      <c r="G505" s="15" t="s">
        <v>1406</v>
      </c>
      <c r="H505" s="15" t="s">
        <v>1406</v>
      </c>
      <c r="I505" s="75">
        <v>4</v>
      </c>
      <c r="J505" s="13" t="s">
        <v>1423</v>
      </c>
      <c r="K505" s="247" cm="1">
        <f t="array" ref="K505">Scope3_Equations.VEERG_15_10_1_1__1_OtherPurchasedGoodsAndServices(E505,IF(J505="kg / amount unit", I505*10^-3, I505))</f>
        <v>4000</v>
      </c>
      <c r="L505" s="33"/>
      <c r="M505" s="13"/>
      <c r="N505" s="33"/>
    </row>
    <row r="506" spans="4:14" x14ac:dyDescent="0.25">
      <c r="D506" s="15">
        <v>0</v>
      </c>
      <c r="E506" s="15">
        <v>0</v>
      </c>
      <c r="F506" s="15">
        <v>0</v>
      </c>
      <c r="G506" s="15" t="s">
        <v>1406</v>
      </c>
      <c r="H506" s="15" t="s">
        <v>1406</v>
      </c>
      <c r="I506" s="75">
        <v>2</v>
      </c>
      <c r="J506" s="13" t="s">
        <v>1423</v>
      </c>
      <c r="K506" s="247" cm="1">
        <f t="array" ref="K506">Scope3_Equations.VEERG_15_10_1_1__1_OtherPurchasedGoodsAndServices(E506,IF(J506="kg / amount unit", I506*10^-3, I506))</f>
        <v>0</v>
      </c>
      <c r="L506" s="33"/>
      <c r="M506" s="13"/>
      <c r="N506" s="33"/>
    </row>
    <row r="507" spans="4:14" x14ac:dyDescent="0.25">
      <c r="D507" s="15">
        <v>0</v>
      </c>
      <c r="E507" s="15">
        <v>0</v>
      </c>
      <c r="F507" s="15">
        <v>0</v>
      </c>
      <c r="G507" s="15" t="s">
        <v>1406</v>
      </c>
      <c r="H507" s="15" t="s">
        <v>1406</v>
      </c>
      <c r="I507" s="75"/>
      <c r="J507" s="13"/>
      <c r="K507" s="247" cm="1">
        <f t="array" ref="K507">Scope3_Equations.VEERG_15_10_1_1__1_OtherPurchasedGoodsAndServices(E507,IF(J507="kg / amount unit", I507*10^-3, I507))</f>
        <v>0</v>
      </c>
      <c r="L507" s="33"/>
      <c r="M507" s="13"/>
      <c r="N507" s="33"/>
    </row>
    <row r="508" spans="4:14" x14ac:dyDescent="0.25">
      <c r="D508" s="15">
        <v>0</v>
      </c>
      <c r="E508" s="15">
        <v>0</v>
      </c>
      <c r="F508" s="15">
        <v>0</v>
      </c>
      <c r="G508" s="15" t="s">
        <v>1406</v>
      </c>
      <c r="H508" s="15" t="s">
        <v>1406</v>
      </c>
      <c r="I508" s="75"/>
      <c r="J508" s="13"/>
      <c r="K508" s="247" cm="1">
        <f t="array" ref="K508">Scope3_Equations.VEERG_15_10_1_1__1_OtherPurchasedGoodsAndServices(E508,IF(J508="kg / amount unit", I508*10^-3, I508))</f>
        <v>0</v>
      </c>
      <c r="L508" s="33"/>
      <c r="M508" s="13"/>
      <c r="N508" s="33"/>
    </row>
    <row r="509" spans="4:14" x14ac:dyDescent="0.25">
      <c r="D509" s="15">
        <v>0</v>
      </c>
      <c r="E509" s="15">
        <v>0</v>
      </c>
      <c r="F509" s="15">
        <v>0</v>
      </c>
      <c r="G509" s="15" t="s">
        <v>1406</v>
      </c>
      <c r="H509" s="15" t="s">
        <v>1406</v>
      </c>
      <c r="I509" s="75"/>
      <c r="J509" s="13"/>
      <c r="K509" s="247" cm="1">
        <f t="array" ref="K509">Scope3_Equations.VEERG_15_10_1_1__1_OtherPurchasedGoodsAndServices(E509,IF(J509="kg / amount unit", I509*10^-3, I509))</f>
        <v>0</v>
      </c>
      <c r="L509" s="33"/>
      <c r="M509" s="13"/>
      <c r="N509" s="33"/>
    </row>
    <row r="510" spans="4:14" x14ac:dyDescent="0.25">
      <c r="D510" s="15">
        <v>0</v>
      </c>
      <c r="E510" s="15">
        <v>0</v>
      </c>
      <c r="F510" s="15">
        <v>0</v>
      </c>
      <c r="G510" s="15" t="s">
        <v>1406</v>
      </c>
      <c r="H510" s="15" t="s">
        <v>1406</v>
      </c>
      <c r="I510" s="75"/>
      <c r="J510" s="13"/>
      <c r="K510" s="247" cm="1">
        <f t="array" ref="K510">Scope3_Equations.VEERG_15_10_1_1__1_OtherPurchasedGoodsAndServices(E510,IF(J510="kg / amount unit", I510*10^-3, I510))</f>
        <v>0</v>
      </c>
      <c r="L510" s="33"/>
      <c r="M510" s="13"/>
      <c r="N510" s="33"/>
    </row>
    <row r="511" spans="4:14" x14ac:dyDescent="0.25">
      <c r="D511" s="15">
        <v>0</v>
      </c>
      <c r="E511" s="15">
        <v>0</v>
      </c>
      <c r="F511" s="15">
        <v>0</v>
      </c>
      <c r="G511" s="15" t="s">
        <v>1406</v>
      </c>
      <c r="H511" s="15" t="s">
        <v>1406</v>
      </c>
      <c r="I511" s="75"/>
      <c r="J511" s="13"/>
      <c r="K511" s="247" cm="1">
        <f t="array" ref="K511">Scope3_Equations.VEERG_15_10_1_1__1_OtherPurchasedGoodsAndServices(E511,IF(J511="kg / amount unit", I511*10^-3, I511))</f>
        <v>0</v>
      </c>
      <c r="L511" s="33"/>
      <c r="M511" s="13"/>
      <c r="N511" s="33"/>
    </row>
    <row r="512" spans="4:14" x14ac:dyDescent="0.25">
      <c r="D512" s="15">
        <v>0</v>
      </c>
      <c r="E512" s="15">
        <v>0</v>
      </c>
      <c r="F512" s="15">
        <v>0</v>
      </c>
      <c r="G512" s="15" t="s">
        <v>1406</v>
      </c>
      <c r="H512" s="15" t="s">
        <v>1406</v>
      </c>
      <c r="I512" s="75"/>
      <c r="J512" s="13"/>
      <c r="K512" s="247" cm="1">
        <f t="array" ref="K512">Scope3_Equations.VEERG_15_10_1_1__1_OtherPurchasedGoodsAndServices(E512,IF(J512="kg / amount unit", I512*10^-3, I512))</f>
        <v>0</v>
      </c>
      <c r="L512" s="33"/>
      <c r="M512" s="13"/>
      <c r="N512" s="33"/>
    </row>
    <row r="513" spans="3:41" x14ac:dyDescent="0.25">
      <c r="D513" s="15">
        <v>0</v>
      </c>
      <c r="E513" s="15">
        <v>0</v>
      </c>
      <c r="F513" s="15">
        <v>0</v>
      </c>
      <c r="G513" s="15" t="s">
        <v>1406</v>
      </c>
      <c r="H513" s="15" t="s">
        <v>1406</v>
      </c>
      <c r="I513" s="75"/>
      <c r="J513" s="13"/>
      <c r="K513" s="247" cm="1">
        <f t="array" ref="K513">Scope3_Equations.VEERG_15_10_1_1__1_OtherPurchasedGoodsAndServices(E513,IF(J513="kg / amount unit", I513*10^-3, I513))</f>
        <v>0</v>
      </c>
      <c r="L513" s="33"/>
      <c r="M513" s="13"/>
      <c r="N513" s="33"/>
    </row>
    <row r="514" spans="3:41" x14ac:dyDescent="0.25">
      <c r="D514" s="15">
        <v>0</v>
      </c>
      <c r="E514" s="15">
        <v>0</v>
      </c>
      <c r="F514" s="15">
        <v>0</v>
      </c>
      <c r="G514" s="15" t="s">
        <v>1406</v>
      </c>
      <c r="H514" s="15" t="s">
        <v>1406</v>
      </c>
      <c r="I514" s="75"/>
      <c r="J514" s="13"/>
      <c r="K514" s="247" cm="1">
        <f t="array" ref="K514">Scope3_Equations.VEERG_15_10_1_1__1_OtherPurchasedGoodsAndServices(E514,IF(J514="kg / amount unit", I514*10^-3, I514))</f>
        <v>0</v>
      </c>
      <c r="L514" s="33"/>
      <c r="M514" s="13"/>
      <c r="N514" s="33"/>
    </row>
    <row r="516" spans="3:41" ht="20.25" x14ac:dyDescent="0.25">
      <c r="D516" s="275" t="s">
        <v>1319</v>
      </c>
      <c r="E516" s="90" t="s">
        <v>1406</v>
      </c>
      <c r="F516" s="89" t="str">
        <f>$E$170</f>
        <v>t CO2e</v>
      </c>
    </row>
    <row r="517" spans="3:41" ht="20.25" x14ac:dyDescent="0.25">
      <c r="D517" s="275" t="s">
        <v>1322</v>
      </c>
      <c r="E517" s="90">
        <f>SUM(K505:K514)</f>
        <v>4000</v>
      </c>
      <c r="F517" s="89" t="str">
        <f>$E$170</f>
        <v>t CO2e</v>
      </c>
    </row>
    <row r="520" spans="3:41" x14ac:dyDescent="0.25">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c r="AA520" s="88"/>
      <c r="AB520" s="88"/>
      <c r="AC520" s="88"/>
      <c r="AD520" s="88"/>
      <c r="AE520" s="88"/>
      <c r="AF520" s="88"/>
      <c r="AG520" s="88"/>
      <c r="AH520" s="88"/>
      <c r="AI520" s="88"/>
      <c r="AJ520" s="88"/>
      <c r="AK520" s="88"/>
      <c r="AL520" s="88"/>
      <c r="AM520" s="88"/>
      <c r="AN520" s="88"/>
      <c r="AO520" s="88"/>
    </row>
    <row r="521" spans="3:41" ht="23.25" x14ac:dyDescent="0.25">
      <c r="D521" s="2" t="str" cm="1">
        <f t="array" ref="D521">Scope3_Equations.VEERG_15_11_1_1__1_TotalUpstreamEmissionsFromFuel_Title()</f>
        <v>Total upstream emissions from scope 1 fuel consumption</v>
      </c>
    </row>
    <row r="522" spans="3:41" x14ac:dyDescent="0.25">
      <c r="D522" s="17" t="str" cm="1">
        <f t="array" ref="D522">Scope3_Equations.VEERG_15_11_1_1__1_TotalUpstreamEmissionsFromFuel_Source()</f>
        <v>VEERG 2026: 15.11.1.1, Equation (1)</v>
      </c>
    </row>
    <row r="523" spans="3:41" x14ac:dyDescent="0.25">
      <c r="D523" s="117" t="s">
        <v>382</v>
      </c>
      <c r="E523" s="117" t="str">
        <f ca="1">Common_InputFunctions.Utility_DisplayFunctionName(VEERG_15_11_1_1__1_TotalUpstreamEmissionsFromFuel_Result)</f>
        <v>=Scope3_Equations.VEERG_15_11_1_1__1_TotalUpstreamEmissionsFromFuel</v>
      </c>
    </row>
    <row r="527" spans="3:41" x14ac:dyDescent="0.25">
      <c r="D527" s="76" t="s">
        <v>383</v>
      </c>
      <c r="E527" s="1" t="str" cm="1">
        <f t="array" ref="E527">Scope3_Equations.VEERG_15_11_1_1__1_TotalUpstreamEmissionsFromFuel_Variable()</f>
        <v>E</v>
      </c>
    </row>
    <row r="528" spans="3:41" x14ac:dyDescent="0.25">
      <c r="D528" s="76" t="s">
        <v>118</v>
      </c>
      <c r="E528" s="9" t="str" cm="1">
        <f t="array" ref="E528">Scope3_Equations.VEERG_15_11_1_1__1_TotalUpstreamEmissionsFromFuel_Unit()</f>
        <v>t CO2e</v>
      </c>
    </row>
    <row r="530" spans="3:41" x14ac:dyDescent="0.25">
      <c r="D530" s="119" t="str" cm="1">
        <f t="array" ref="D530:E531">_xlfn.CHOOSECOLS(Scope3_Equations.VEERG_15_11_1_1__1_TotalUpstreamEmissionsFromFuel_Arguments(),1,2)</f>
        <v>E_WTTtransq</v>
      </c>
      <c r="E530" s="124" t="str">
        <v>upstream emissions from scope 1 transport fuel use</v>
      </c>
      <c r="F530" s="125"/>
      <c r="G530" s="119" t="str" cm="1">
        <f t="array" ref="G530:H531">_xlfn.CHOOSECOLS(Scope3_Equations.VEERG_15_11_1_1__1_TotalUpstreamEmissionsFromFuel_Arguments(),3,4)</f>
        <v>t CO2e</v>
      </c>
      <c r="H530" s="127" t="str">
        <v>Calculated by 15.11.1.1 (2)</v>
      </c>
      <c r="I530" s="119">
        <f>VEERG_8_1_1_1__1_FuelCombustionTransport_Result</f>
        <v>20.5016</v>
      </c>
    </row>
    <row r="531" spans="3:41" x14ac:dyDescent="0.25">
      <c r="D531" s="119" t="str">
        <v>E_WTTSCq</v>
      </c>
      <c r="E531" s="124" t="str">
        <v>upstream emissions from scope 1 stationary combustion fuel use</v>
      </c>
      <c r="F531" s="125"/>
      <c r="G531" s="119" t="str">
        <v>t CO2e</v>
      </c>
      <c r="H531" s="127" t="str">
        <v>Calculated by 15.11.1.1 (3)</v>
      </c>
      <c r="I531" s="119">
        <f>VEERG_8_2_1_1__1_FuelCombustionStationary_Result</f>
        <v>6.2923999999999998</v>
      </c>
    </row>
    <row r="533" spans="3:41" ht="20.25" x14ac:dyDescent="0.25">
      <c r="D533" s="275" t="s">
        <v>1424</v>
      </c>
      <c r="E533" s="90" cm="1">
        <f t="array" ref="E533">Scope3_Equations.VEERG_15_11_1_1__1_TotalUpstreamEmissionsFromFuel(I530,I531)</f>
        <v>26.794</v>
      </c>
      <c r="F533" s="89" t="str">
        <f>$E$170</f>
        <v>t CO2e</v>
      </c>
    </row>
    <row r="535" spans="3:41" x14ac:dyDescent="0.25">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c r="AA535" s="88"/>
      <c r="AB535" s="88"/>
      <c r="AC535" s="88"/>
      <c r="AD535" s="88"/>
      <c r="AE535" s="88"/>
      <c r="AF535" s="88"/>
      <c r="AG535" s="88"/>
      <c r="AH535" s="88"/>
      <c r="AI535" s="88"/>
      <c r="AJ535" s="88"/>
      <c r="AK535" s="88"/>
      <c r="AL535" s="88"/>
      <c r="AM535" s="88"/>
      <c r="AN535" s="88"/>
      <c r="AO535" s="88"/>
    </row>
    <row r="536" spans="3:41" ht="23.25" x14ac:dyDescent="0.25">
      <c r="D536" s="2" t="str" cm="1">
        <f t="array" ref="D536">Scope3_Equations.VEERG_15_12_1_1__1_UpstreamPurchasedElectricityLocationBased_Title()</f>
        <v>Scope 3 emissions from purchased electricity location based</v>
      </c>
    </row>
    <row r="537" spans="3:41" x14ac:dyDescent="0.25">
      <c r="D537" s="17" t="str" cm="1">
        <f t="array" ref="D537">Scope3_Equations.VEERG_15_12_1_1__1_UpstreamPurchasedElectricityLocationBased_Source()</f>
        <v>VEERG 2026: 15.12.1.1, Equation (1)</v>
      </c>
    </row>
    <row r="538" spans="3:41" x14ac:dyDescent="0.25">
      <c r="D538" s="117" t="s">
        <v>382</v>
      </c>
      <c r="E538" s="117" t="str">
        <f ca="1">Common_InputFunctions.Utility_DisplayFunctionName(VEERG_15_12_1_1__1_UpstreamPurchasedElectricityLocationBased_Result)</f>
        <v>=Scope3_Equations.VEERG_15_12_1_1__1_UpstreamPurchasedElectricityLocationBased</v>
      </c>
    </row>
    <row r="541" spans="3:41" x14ac:dyDescent="0.25">
      <c r="D541" s="76" t="s">
        <v>383</v>
      </c>
      <c r="E541" s="1" t="str" cm="1">
        <f t="array" ref="E541">Scope3_Equations.VEERG_15_12_1_1__1_UpstreamPurchasedElectricityLocationBased_Variable()</f>
        <v>E_3elec</v>
      </c>
    </row>
    <row r="542" spans="3:41" x14ac:dyDescent="0.25">
      <c r="D542" s="76" t="s">
        <v>118</v>
      </c>
      <c r="E542" s="1" t="str" cm="1">
        <f t="array" ref="E542">Scope3_Equations.VEERG_15_12_1_1__1_UpstreamPurchasedElectricityLocationBased_Unit()</f>
        <v>t CO2e</v>
      </c>
    </row>
    <row r="544" spans="3:41" x14ac:dyDescent="0.25">
      <c r="D544" s="119" t="str" cm="1">
        <f t="array" ref="D544:E546">_xlfn.CHOOSECOLS(Scope3_Equations.VEERG_15_12_1_1__1_UpstreamPurchasedElectricityLocationBased_Arguments(),1,2)</f>
        <v>Q_elec</v>
      </c>
      <c r="E544" s="119" t="str">
        <v>amount of electricity purchased from the grid</v>
      </c>
      <c r="F544" s="119"/>
      <c r="G544" s="119" t="str" cm="1">
        <f t="array" ref="G544:H546">_xlfn.CHOOSECOLS(Scope3_Equations.VEERG_15_12_1_1__1_UpstreamPurchasedElectricityLocationBased_Arguments(),3,4)</f>
        <v>kWh</v>
      </c>
      <c r="H544" s="272" t="str">
        <v>Input</v>
      </c>
      <c r="I544" s="124">
        <f>X_Cell_Electricity_Location_AmountPurchasedInkWh</f>
        <v>30000</v>
      </c>
      <c r="J544" s="125"/>
    </row>
    <row r="545" spans="3:41" x14ac:dyDescent="0.25">
      <c r="D545" s="119" t="str">
        <v>EF_3elec</v>
      </c>
      <c r="E545" s="119" t="str">
        <v>scope 3 emission factor for purchased electricity</v>
      </c>
      <c r="F545" s="119"/>
      <c r="G545" s="119" t="str">
        <v>kg CO2e/kWh</v>
      </c>
      <c r="H545" s="127" t="str">
        <v>Constant</v>
      </c>
      <c r="I545" s="124" cm="1">
        <f t="array" ref="I545">Common_InputFunctions.Utility_LookupValueInTableNumber(I546,Table_SourceData_ElectricityEFs[State, Territory or grid description],Table_SourceData_ElectricityEFs[Scope 3 Emission Factors (kg CO2-e/kWh)])</f>
        <v>0.09</v>
      </c>
      <c r="J545" s="125"/>
    </row>
    <row r="546" spans="3:41" x14ac:dyDescent="0.25">
      <c r="D546" s="119" t="str">
        <v>g</v>
      </c>
      <c r="E546" s="124" t="str">
        <v>grid electricity was purchased from</v>
      </c>
      <c r="F546" s="125"/>
      <c r="G546" s="119" t="str">
        <v/>
      </c>
      <c r="H546" s="272" t="str">
        <v>Input</v>
      </c>
      <c r="I546" s="124" t="str">
        <f>X_Cell_Electricity_Location_GridElectricityPurchasedFrom</f>
        <v>Western Australia - North Western Interconnected System (NWIS)</v>
      </c>
      <c r="J546" s="125"/>
    </row>
    <row r="548" spans="3:41" ht="20.25" x14ac:dyDescent="0.25">
      <c r="D548" s="275" t="s">
        <v>1425</v>
      </c>
      <c r="E548" s="90" cm="1">
        <f t="array" ref="E548">Scope3_Equations.VEERG_15_12_1_1__1_UpstreamPurchasedElectricityLocationBased(I544,I545)</f>
        <v>2.7</v>
      </c>
      <c r="F548" s="89" t="str">
        <f>$E$170</f>
        <v>t CO2e</v>
      </c>
    </row>
    <row r="551" spans="3:41" x14ac:dyDescent="0.25">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c r="AO551" s="88"/>
    </row>
    <row r="552" spans="3:41" ht="23.25" x14ac:dyDescent="0.25">
      <c r="D552" s="2" t="str" cm="1">
        <f t="array" ref="D552">Scope3_Equations.VEERG_15_12_1_2__1_UpstreamPurchasedElectricityMarketBased_Title()</f>
        <v>Scope 3 emissions from purchased electricity market based</v>
      </c>
    </row>
    <row r="553" spans="3:41" x14ac:dyDescent="0.25">
      <c r="D553" s="17" t="str" cm="1">
        <f t="array" ref="D553">Scope3_Equations.VEERG_15_12_1_2__1_UpstreamPurchasedElectricityMarketBased_Source()</f>
        <v>VEERG 2026: 15.12.1.2, Equation (1)</v>
      </c>
    </row>
    <row r="554" spans="3:41" x14ac:dyDescent="0.25">
      <c r="D554" s="25" t="str" cm="1">
        <f t="array" ref="D554">Scope3_Equations.VEERG_15_12_1_2__1_UpstreamPurchasedElectricityMarketBased_Variation()</f>
        <v>VARIATION ON SOURCE: In order to convert megawatt hours to kilowatt hours, the REC_surrendered and REC_onsite variables are multiplied by 10^3 instead of 10^-3.</v>
      </c>
    </row>
    <row r="555" spans="3:41" x14ac:dyDescent="0.25">
      <c r="D555" s="117" t="s">
        <v>382</v>
      </c>
      <c r="E555" s="117" t="str">
        <f ca="1">Common_InputFunctions.Utility_DisplayFunctionName(VEERG_15_12_1_2__1_UpstreamPurchasedElectricityMarketBasedVariation_Result)</f>
        <v>=Scope3_Equations.VEERG_15_12_1_2__1_UpstreamPurchasedElectricityMarketBasedVariation</v>
      </c>
    </row>
    <row r="559" spans="3:41" x14ac:dyDescent="0.25">
      <c r="D559" s="76" t="s">
        <v>383</v>
      </c>
      <c r="E559" s="1" t="str" cm="1">
        <f t="array" ref="E559">Scope3_Equations.VEERG_15_12_1_2__1_UpstreamPurchasedElectricityMarketBased_Variable()</f>
        <v>E_3elec</v>
      </c>
    </row>
    <row r="560" spans="3:41" x14ac:dyDescent="0.25">
      <c r="D560" s="76" t="s">
        <v>118</v>
      </c>
      <c r="E560" s="1" t="str" cm="1">
        <f t="array" ref="E560">Scope3_Equations.VEERG_15_12_1_2__1_UpstreamPurchasedElectricityMarketBased_Unit()</f>
        <v>t CO2e</v>
      </c>
    </row>
    <row r="562" spans="3:41" x14ac:dyDescent="0.25">
      <c r="D562" s="119" t="str" cm="1">
        <f t="array" ref="D562:E568">_xlfn.CHOOSECOLS(Scope3_Equations.VEERG_15_12_1_2__1_UpstreamPurchasedElectricityMarketBased_Arguments(),1,2)</f>
        <v>Q_elec</v>
      </c>
      <c r="E562" s="124" t="str">
        <v>amount of electricity purchased from the grid</v>
      </c>
      <c r="F562" s="125"/>
      <c r="G562" s="119" t="str" cm="1">
        <f t="array" ref="G562:H568">_xlfn.CHOOSECOLS(Scope3_Equations.VEERG_15_12_1_2__1_UpstreamPurchasedElectricityMarketBased_Arguments(),3,4)</f>
        <v>kWh</v>
      </c>
      <c r="H562" s="272" t="str">
        <v>Input</v>
      </c>
      <c r="I562" s="276">
        <f>X_Cell_Electricity_Market_AmountPurchasedExcludingGreenPower</f>
        <v>30000</v>
      </c>
    </row>
    <row r="563" spans="3:41" x14ac:dyDescent="0.25">
      <c r="D563" s="119" t="str">
        <v>RPP</v>
      </c>
      <c r="E563" s="124" t="str">
        <v>renewable power percentage under LRET for the applicable period</v>
      </c>
      <c r="F563" s="125"/>
      <c r="G563" s="119" t="str">
        <v>fraction</v>
      </c>
      <c r="H563" s="272" t="str">
        <v>Input</v>
      </c>
      <c r="I563" s="200">
        <f>X_Cell_Electricity_Market_RenewablePowerPercentage</f>
        <v>0.1</v>
      </c>
    </row>
    <row r="564" spans="3:41" x14ac:dyDescent="0.25">
      <c r="D564" s="119" t="str">
        <v>JRPP</v>
      </c>
      <c r="E564" s="124" t="str">
        <v>jurisdictional renewable power percentage for the applicable period</v>
      </c>
      <c r="F564" s="125"/>
      <c r="G564" s="119" t="str">
        <v>fraction</v>
      </c>
      <c r="H564" s="272" t="str">
        <v>Input</v>
      </c>
      <c r="I564" s="200">
        <f>X_Cell_Electricity_Market_JurisdictionalRenewablePowerPercentage</f>
        <v>0.1</v>
      </c>
    </row>
    <row r="565" spans="3:41" x14ac:dyDescent="0.25">
      <c r="D565" s="119" t="str">
        <v>REC_surrendered</v>
      </c>
      <c r="E565" s="124" t="str">
        <v>eligible renewable energy certificates voluntarily surrendered</v>
      </c>
      <c r="F565" s="125"/>
      <c r="G565" s="119" t="str">
        <v>MWh</v>
      </c>
      <c r="H565" s="272" t="str">
        <v>Input</v>
      </c>
      <c r="I565" s="119">
        <f>(X_Cell_Electricity_Market_AmountPurchasedGreenPower*10^-3)+X_Cell_TotalElegibleVoluntarilySurrenderedRECs</f>
        <v>20</v>
      </c>
    </row>
    <row r="566" spans="3:41" x14ac:dyDescent="0.25">
      <c r="D566" s="119" t="str">
        <v>REC_onsite</v>
      </c>
      <c r="E566" s="124" t="str">
        <v>eligible renewable energy certificates issued for onsite generated electricity</v>
      </c>
      <c r="F566" s="125"/>
      <c r="G566" s="119" t="str">
        <v>MWh</v>
      </c>
      <c r="H566" s="272" t="str">
        <v>Input</v>
      </c>
      <c r="I566" s="119">
        <f>X_Cell_TotalElegibleRECsForElectricityProducedOnSite</f>
        <v>11</v>
      </c>
    </row>
    <row r="567" spans="3:41" x14ac:dyDescent="0.25">
      <c r="D567" s="119" t="str">
        <v>EF_RMF3elec</v>
      </c>
      <c r="E567" s="124" t="str">
        <v>scope 3 residual mix emission factor for electricity</v>
      </c>
      <c r="F567" s="125"/>
      <c r="G567" s="119" t="str">
        <v>kg CO2e/kWh</v>
      </c>
      <c r="H567" s="127" t="str">
        <v>Constant</v>
      </c>
      <c r="I567" s="119" cm="1">
        <f t="array" ref="I567">Table_SourceData_ElectricityEFsMarketBased[Scope 3 EF (kg CO2-e/kWh)]</f>
        <v>0.1</v>
      </c>
    </row>
    <row r="568" spans="3:41" x14ac:dyDescent="0.25">
      <c r="D568" s="119" t="str">
        <v>i</v>
      </c>
      <c r="E568" s="124" t="str">
        <v>state</v>
      </c>
      <c r="F568" s="125"/>
      <c r="G568" s="119" t="str">
        <v/>
      </c>
      <c r="H568" s="272" t="str">
        <v>Input</v>
      </c>
      <c r="I568" s="119" t="str">
        <f>X_Cell_Site_State</f>
        <v>Western Australia</v>
      </c>
    </row>
    <row r="570" spans="3:41" ht="20.25" x14ac:dyDescent="0.25">
      <c r="D570" s="275" t="s">
        <v>1425</v>
      </c>
      <c r="E570" s="90" cm="1">
        <f t="array" ref="E570">Scope3_Equations.VEERG_15_12_1_2__1_UpstreamPurchasedElectricityMarketBasedVariation(I562,I563,I564,I565,I566,I567)</f>
        <v>1.5</v>
      </c>
      <c r="F570" s="89" t="str">
        <f>$E$170</f>
        <v>t CO2e</v>
      </c>
    </row>
    <row r="573" spans="3:41" x14ac:dyDescent="0.25">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c r="AO573" s="88"/>
    </row>
    <row r="574" spans="3:41" ht="23.25" x14ac:dyDescent="0.25">
      <c r="D574" s="2" t="str" cm="1">
        <f t="array" ref="D574">Scope3_Equations.VEERG_15_13_1_1__1_EmissionsFromManureSentOffSite_Title()</f>
        <v>Emissions from manure sent off site applied to soils in another farming system or enterprise</v>
      </c>
    </row>
    <row r="575" spans="3:41" x14ac:dyDescent="0.25">
      <c r="D575" s="17" t="str" cm="1">
        <f t="array" ref="D575">Scope3_Equations.VEERG_15_13_1_1__1_EmissionsFromManureSentOffSite_Source()</f>
        <v>VEERG 2026: 15.13.1.1, Equation (1)</v>
      </c>
    </row>
    <row r="576" spans="3:41" x14ac:dyDescent="0.25">
      <c r="D576" s="117" t="s">
        <v>382</v>
      </c>
      <c r="E576" s="117" t="str" cm="1">
        <f t="array" aca="1" ref="E576" ca="1">Common_InputFunctions.Utility_DisplayFunctionName(E588)</f>
        <v>=Scope3_Equations.VEERG_15_13_1_1__1_EmissionsFromManureSentOffSite</v>
      </c>
    </row>
    <row r="579" spans="4:18" x14ac:dyDescent="0.25">
      <c r="D579" s="76" t="s">
        <v>383</v>
      </c>
      <c r="E579" s="1" t="str" cm="1">
        <f t="array" ref="E579">Scope3_Equations.VEERG_15_13_1_1__1_EmissionsFromManureSentOffSite_Variable()</f>
        <v>E</v>
      </c>
    </row>
    <row r="580" spans="4:18" x14ac:dyDescent="0.25">
      <c r="D580" s="76" t="s">
        <v>118</v>
      </c>
      <c r="E580" s="9" t="str" cm="1">
        <f t="array" ref="E580">Scope3_Equations.VEERG_15_13_1_1__1_EmissionsFromManureSentOffSite_Unit()</f>
        <v>t N2O</v>
      </c>
    </row>
    <row r="582" spans="4:18" x14ac:dyDescent="0.25">
      <c r="D582" s="24" t="s">
        <v>129</v>
      </c>
      <c r="L582" s="24" t="s">
        <v>130</v>
      </c>
    </row>
    <row r="584" spans="4:18" x14ac:dyDescent="0.25">
      <c r="D584" s="119" t="str" cm="1">
        <f t="array" ref="D584:E586">_xlfn.CHOOSECOLS(Scope3_Equations.VEERG_15_13_1_1__1_EmissionsFromManureSentOffSite_Arguments(),1,2)</f>
        <v>E_N2O</v>
      </c>
      <c r="E584" s="124" t="str">
        <v>direct nitrous oxide emissions from application of manure to soils outside of scope 1 boundary</v>
      </c>
      <c r="F584" s="132"/>
      <c r="G584" s="125"/>
      <c r="H584" s="119" t="str" cm="1">
        <f t="array" ref="H584:I586">_xlfn.CHOOSECOLS(Scope3_Equations.VEERG_15_13_1_1__1_EmissionsFromManureSentOffSite_Arguments(),3,4)</f>
        <v>t N2O</v>
      </c>
      <c r="I584" s="127" t="str">
        <v>Calculated</v>
      </c>
      <c r="J584" s="119">
        <f>IFERROR(VEERG_5_2_1_1__1_OrganicFertiliserApplicationN2OEmissions_Result_Method1, 0)</f>
        <v>7.8571428571428577E-3</v>
      </c>
      <c r="L584" s="119" t="str" cm="1">
        <f t="array" ref="L584:M586">_xlfn.CHOOSECOLS(Scope3_Equations.VEERG_15_13_1_1__1_EmissionsFromManureSentOffSite_Arguments(),1,2)</f>
        <v>E_N2O</v>
      </c>
      <c r="M584" s="124" t="str">
        <v>direct nitrous oxide emissions from application of manure to soils outside of scope 1 boundary</v>
      </c>
      <c r="N584" s="132"/>
      <c r="O584" s="125"/>
      <c r="P584" s="119" t="str" cm="1">
        <f t="array" ref="P584:Q586">_xlfn.CHOOSECOLS(Scope3_Equations.VEERG_15_13_1_1__1_EmissionsFromManureSentOffSite_Arguments(),3,4)</f>
        <v>t N2O</v>
      </c>
      <c r="Q584" s="127" t="str">
        <v>Calculated</v>
      </c>
      <c r="R584" s="119">
        <f>IFERROR(VEERG_5_2_1_1__1_OrganicFertiliserApplicationN2OEmissions_Result_Method2, 0)</f>
        <v>1.5714285714285715E-2</v>
      </c>
    </row>
    <row r="585" spans="4:18" x14ac:dyDescent="0.25">
      <c r="D585" s="119" t="str">
        <v>E_ad</v>
      </c>
      <c r="E585" s="124" t="str">
        <v>nitrous oxide emissions from atmospheric deposition of manure to soils</v>
      </c>
      <c r="F585" s="132"/>
      <c r="G585" s="125"/>
      <c r="H585" s="119" t="str">
        <v>t N2O</v>
      </c>
      <c r="I585" s="127" t="str">
        <v>Calculated</v>
      </c>
      <c r="J585" s="119">
        <f>IFERROR(VEERG_5_4_1_3__1_OrganicFertiliserAtmosphericDepositionN2OEmissions_Result_Method1, 0)</f>
        <v>2.31E-3</v>
      </c>
      <c r="L585" s="119" t="str">
        <v>E_ad</v>
      </c>
      <c r="M585" s="124" t="str">
        <v>nitrous oxide emissions from atmospheric deposition of manure to soils</v>
      </c>
      <c r="N585" s="132"/>
      <c r="O585" s="125"/>
      <c r="P585" s="119" t="str">
        <v>t N2O</v>
      </c>
      <c r="Q585" s="127" t="str">
        <v>Calculated</v>
      </c>
      <c r="R585" s="119">
        <f>IFERROR(VEERG_5_4_1_3__1_OrganicFertiliserAtmosphericDepositionN2OEmissions_Result_Method2, 0)</f>
        <v>4.62E-3</v>
      </c>
    </row>
    <row r="586" spans="4:18" x14ac:dyDescent="0.25">
      <c r="D586" s="119" t="str">
        <v>E_leach</v>
      </c>
      <c r="E586" s="124" t="str">
        <v>nitrous oxide emissions from nitrogen leaching and runoff of manure to soils</v>
      </c>
      <c r="F586" s="132"/>
      <c r="G586" s="125"/>
      <c r="H586" s="119" t="str">
        <v>t N2O</v>
      </c>
      <c r="I586" s="127" t="str">
        <v>Calculated</v>
      </c>
      <c r="J586" s="119">
        <f>IFERROR(VEERG_5_5_1_1__1_FertiliserLeachingAndRunoffN2OEmissions_Result_Method1, 0)</f>
        <v>4.1485714285714277E-3</v>
      </c>
      <c r="L586" s="119" t="str">
        <v>E_leach</v>
      </c>
      <c r="M586" s="124" t="str">
        <v>nitrous oxide emissions from nitrogen leaching and runoff of manure to soils</v>
      </c>
      <c r="N586" s="132"/>
      <c r="O586" s="125"/>
      <c r="P586" s="119" t="str">
        <v>t N2O</v>
      </c>
      <c r="Q586" s="127" t="str">
        <v>Calculated</v>
      </c>
      <c r="R586" s="119">
        <f>IFERROR(VEERG_5_5_1_1__1_FertiliserLeachingAndRunoffN2OEmissions_Result_Method2, 0)</f>
        <v>8.2971428571428554E-3</v>
      </c>
    </row>
    <row r="588" spans="4:18" ht="20.25" x14ac:dyDescent="0.25">
      <c r="D588" s="275" t="s">
        <v>1425</v>
      </c>
      <c r="E588" s="90" cm="1">
        <f t="array" ref="E588">Scope3_Equations.VEERG_15_13_1_1__1_EmissionsFromManureSentOffSite(J584,J585,J586)</f>
        <v>1.4315714285714286E-2</v>
      </c>
      <c r="F588" s="89" t="str">
        <f>$E$580</f>
        <v>t N2O</v>
      </c>
      <c r="L588" s="275" t="s">
        <v>1425</v>
      </c>
      <c r="M588" s="90" cm="1">
        <f t="array" ref="M588">Scope3_Equations.VEERG_15_13_1_1__1_EmissionsFromManureSentOffSite(R584,R585,R586)</f>
        <v>2.8631428571428572E-2</v>
      </c>
      <c r="N588" s="89" t="str">
        <f>$E$580</f>
        <v>t N2O</v>
      </c>
    </row>
    <row r="590" spans="4:18" x14ac:dyDescent="0.25">
      <c r="D590" s="131" t="str" cm="1">
        <f t="array" ref="D590:E591">Common_Equations.Common_ConvertN2OToCO2e_Arguments()</f>
        <v>EN2O</v>
      </c>
      <c r="E590" s="134" t="str">
        <v>Nitrous oxide emissions (t N2O)</v>
      </c>
      <c r="F590" s="135"/>
      <c r="G590" s="15">
        <f>E588</f>
        <v>1.4315714285714286E-2</v>
      </c>
      <c r="L590" s="131" t="str" cm="1">
        <f t="array" ref="L590:M591">Common_Equations.Common_ConvertN2OToCO2e_Arguments()</f>
        <v>EN2O</v>
      </c>
      <c r="M590" s="134" t="str">
        <v>Nitrous oxide emissions (t N2O)</v>
      </c>
      <c r="N590" s="135"/>
      <c r="O590" s="15">
        <f>M588</f>
        <v>2.8631428571428572E-2</v>
      </c>
    </row>
    <row r="591" spans="4:18" x14ac:dyDescent="0.25">
      <c r="D591" s="131" t="str">
        <v>GWPN2O</v>
      </c>
      <c r="E591" s="134" t="str">
        <v>Global warming potential for nitrous oxide (t CO2-e / t N2O)</v>
      </c>
      <c r="F591" s="135"/>
      <c r="G591" s="15">
        <f>Common_InputFunctions.Utility_LookupValueInTableNumber("N2O",Table_GWPData[Gas],Table_GWPData[CO2-e factor])</f>
        <v>265</v>
      </c>
      <c r="L591" s="131" t="str">
        <v>GWPN2O</v>
      </c>
      <c r="M591" s="134" t="str">
        <v>Global warming potential for nitrous oxide (t CO2-e / t N2O)</v>
      </c>
      <c r="N591" s="135"/>
      <c r="O591" s="15">
        <f>Common_InputFunctions.Utility_LookupValueInTableNumber("N2O",Table_GWPData[Gas],Table_GWPData[CO2-e factor])</f>
        <v>265</v>
      </c>
    </row>
    <row r="593" spans="3:41" ht="18.75" x14ac:dyDescent="0.25">
      <c r="D593" s="88" t="s">
        <v>532</v>
      </c>
      <c r="E593" s="88" cm="1">
        <f t="array" ref="E593">Common_Equations.Common_ConvertN2OToCO2e(G590,G591)</f>
        <v>3.7936642857142857</v>
      </c>
      <c r="F593" s="93" t="str" cm="1">
        <f t="array" ref="F593">Common_Equations.Common_ConvertN2OToCO2e_Unit()</f>
        <v>t CO2e</v>
      </c>
      <c r="L593" s="88" t="s">
        <v>532</v>
      </c>
      <c r="M593" s="88" cm="1">
        <f t="array" ref="M593">Common_Equations.Common_ConvertN2OToCO2e(O590,O591)</f>
        <v>7.5873285714285714</v>
      </c>
      <c r="N593" s="93" t="str" cm="1">
        <f t="array" ref="N593">Common_Equations.Common_ConvertN2OToCO2e_Unit()</f>
        <v>t CO2e</v>
      </c>
    </row>
    <row r="596" spans="3:41" x14ac:dyDescent="0.25">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c r="AO596" s="88"/>
    </row>
    <row r="597" spans="3:41" ht="23.25" x14ac:dyDescent="0.25">
      <c r="D597" s="2" t="str" cm="1">
        <f t="array" ref="D597">Scope3_Equations.VEERG_15_13_1_3__1_EmissionsFromSolidWasteTreatmentFacility_Title()</f>
        <v>Emissions from solid waste sent to a treatment facility</v>
      </c>
    </row>
    <row r="598" spans="3:41" x14ac:dyDescent="0.25">
      <c r="D598" s="17" t="str" cm="1">
        <f t="array" ref="D598">Scope3_Equations.VEERG_15_13_1_3__1_EmissionsFromSolidWasteTreatmentFacility_Source()</f>
        <v>VEERG 2026: 15.13.1.3</v>
      </c>
    </row>
    <row r="600" spans="3:41" x14ac:dyDescent="0.25">
      <c r="D600" s="76" t="s">
        <v>383</v>
      </c>
      <c r="E600" s="1" t="str" cm="1">
        <f t="array" ref="E600">Scope3_Equations.VEERG_15_13_1_3__1_EmissionsFromSolidWasteTreatmentFacility_Variable()</f>
        <v>E</v>
      </c>
    </row>
    <row r="601" spans="3:41" x14ac:dyDescent="0.25">
      <c r="D601" s="76" t="s">
        <v>118</v>
      </c>
      <c r="E601" s="9" t="str" cm="1">
        <f t="array" ref="E601">Scope3_Equations.VEERG_15_13_1_3__1_EmissionsFromSolidWasteTreatmentFacility_Unit()</f>
        <v>t CO2e</v>
      </c>
    </row>
    <row r="603" spans="3:41" ht="20.25" x14ac:dyDescent="0.25">
      <c r="D603" s="275" t="s">
        <v>1425</v>
      </c>
      <c r="E603" s="90">
        <f>VEERG_10_1_1_1__1_EmissionsFromWasteManagement_Scope3_Result_Method1</f>
        <v>441.15000000000003</v>
      </c>
      <c r="F603" s="89" t="str">
        <f>E601</f>
        <v>t CO2e</v>
      </c>
    </row>
    <row r="606" spans="3:41" x14ac:dyDescent="0.25">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c r="AO606" s="88"/>
    </row>
    <row r="607" spans="3:41" ht="23.25" x14ac:dyDescent="0.25">
      <c r="D607" s="2" t="str" cm="1">
        <f t="array" ref="D607">Scope3_Equations.VEERG_15_14_1_1__1_EmbeddedEmissionsFromUpstreamFreight_Title()</f>
        <v>Embedded emissions from upstream freight</v>
      </c>
    </row>
    <row r="608" spans="3:41" x14ac:dyDescent="0.25">
      <c r="D608" s="17" t="str" cm="1">
        <f t="array" ref="D608">Scope3_Equations.VEERG_15_14_1_1__1_EmbeddedEmissionsFromUpstreamFreight_Source()</f>
        <v>VEERG 2026: 15.14.1.1, Equation (1)</v>
      </c>
    </row>
    <row r="609" spans="4:13" x14ac:dyDescent="0.25">
      <c r="D609" s="117" t="s">
        <v>382</v>
      </c>
      <c r="E609" s="117" t="str" cm="1">
        <f t="array" aca="1" ref="E609" ca="1">Common_InputFunctions.Utility_DisplayFunctionName(J624)</f>
        <v>=Scope3_Equations.VEERG_15_14_1_1__1_EmbeddedEmissionsFromUpstreamFreight</v>
      </c>
    </row>
    <row r="613" spans="4:13" x14ac:dyDescent="0.25">
      <c r="D613" s="76" t="s">
        <v>383</v>
      </c>
      <c r="E613" s="1" t="str" cm="1">
        <f t="array" ref="E613">Scope3_Equations.VEERG_15_14_1_1__1_EmbeddedEmissionsFromUpstreamFreight_Variable()</f>
        <v>E</v>
      </c>
    </row>
    <row r="614" spans="4:13" x14ac:dyDescent="0.25">
      <c r="D614" s="76" t="s">
        <v>118</v>
      </c>
      <c r="E614" s="9" t="str" cm="1">
        <f t="array" ref="E614">Scope3_Equations.VEERG_15_14_1_1__1_EmbeddedEmissionsFromUpstreamFreight_Unit()</f>
        <v>t CO2e</v>
      </c>
    </row>
    <row r="616" spans="4:13" x14ac:dyDescent="0.25">
      <c r="D616" s="119" t="str" cm="1">
        <f t="array" ref="D616:E619">_xlfn.CHOOSECOLS(Scope3_Equations.VEERG_15_14_1_1__1_EmbeddedEmissionsFromUpstreamFreight_Arguments(),1,2)</f>
        <v>W_f</v>
      </c>
      <c r="E616" s="124" t="str">
        <v>total mass of goods transported per freight type f</v>
      </c>
      <c r="F616" s="125"/>
      <c r="G616" s="119" t="str" cm="1">
        <f t="array" ref="G616:H619">_xlfn.CHOOSECOLS(Scope3_Equations.VEERG_15_14_1_1__1_EmbeddedEmissionsFromUpstreamFreight_Arguments(),3,4)</f>
        <v>t</v>
      </c>
      <c r="H616" s="272" t="str">
        <v>Input</v>
      </c>
    </row>
    <row r="617" spans="4:13" x14ac:dyDescent="0.25">
      <c r="D617" s="119" t="str">
        <v>D_f</v>
      </c>
      <c r="E617" s="124" t="str">
        <v>total distance transported per freight type f</v>
      </c>
      <c r="F617" s="125"/>
      <c r="G617" s="119" t="str">
        <v>km</v>
      </c>
      <c r="H617" s="272" t="str">
        <v>Input</v>
      </c>
    </row>
    <row r="618" spans="4:13" x14ac:dyDescent="0.25">
      <c r="D618" s="119" t="str">
        <v>EF_f</v>
      </c>
      <c r="E618" s="124" t="str">
        <v>emission factor for freight type f</v>
      </c>
      <c r="F618" s="125"/>
      <c r="G618" s="119" t="str">
        <v>t CO2e/(t km)</v>
      </c>
      <c r="H618" s="127" t="str">
        <v>Constant</v>
      </c>
    </row>
    <row r="619" spans="4:13" x14ac:dyDescent="0.25">
      <c r="D619" s="119" t="str">
        <v>f</v>
      </c>
      <c r="E619" s="124" t="str">
        <v>freight type</v>
      </c>
      <c r="F619" s="125"/>
      <c r="G619" s="119" t="str">
        <v/>
      </c>
      <c r="H619" s="272" t="str">
        <v>Input</v>
      </c>
    </row>
    <row r="621" spans="4:13" ht="18.75" x14ac:dyDescent="0.25">
      <c r="D621" s="263" t="s">
        <v>1289</v>
      </c>
    </row>
    <row r="623" spans="4:13" ht="17.25" x14ac:dyDescent="0.25">
      <c r="D623" s="81" t="s">
        <v>1426</v>
      </c>
      <c r="E623" s="81" t="s">
        <v>1427</v>
      </c>
      <c r="F623" s="81" t="s">
        <v>1428</v>
      </c>
      <c r="G623" s="123" t="s">
        <v>1429</v>
      </c>
      <c r="H623" s="123" t="s">
        <v>1319</v>
      </c>
      <c r="I623" s="81" t="s">
        <v>1367</v>
      </c>
      <c r="J623" s="123" t="s">
        <v>1322</v>
      </c>
      <c r="K623" s="81" t="s">
        <v>1323</v>
      </c>
      <c r="L623" s="81" t="s">
        <v>1324</v>
      </c>
      <c r="M623" s="81" t="s">
        <v>1325</v>
      </c>
    </row>
    <row r="624" spans="4:13" x14ac:dyDescent="0.25">
      <c r="D624" s="15" t="str" cm="1">
        <f t="array" ref="D624:D633">IFERROR(INDEX(Table_Input_FreightIncoming[Route name], _xlfn.SEQUENCE(10)), "")</f>
        <v>Melbourne depot to farm depot weekly</v>
      </c>
      <c r="E624" s="15" cm="1">
        <f t="array" ref="E624:E633">IFERROR(INDEX(Table_Input_FreightIncoming[Average weight of freight per trip (t)], _xlfn.SEQUENCE(10)), "")</f>
        <v>10</v>
      </c>
      <c r="F624" s="15" cm="1">
        <f t="array" ref="F624:F633">IFERROR(INDEX(Table_Input_FreightIncoming[Route distance (km)], _xlfn.SEQUENCE(10))*INDEX(Table_Input_FreightIncoming[Number of trips taken], _xlfn.SEQUENCE(10)), "")</f>
        <v>51272</v>
      </c>
      <c r="G624" s="15" t="s">
        <v>1406</v>
      </c>
      <c r="H624" s="15" t="s">
        <v>1406</v>
      </c>
      <c r="I624" s="75">
        <v>10</v>
      </c>
      <c r="J624" s="15" cm="1">
        <f t="array" ref="J624">Scope3_Equations.VEERG_15_14_1_1__1_EmbeddedEmissionsFromUpstreamFreight(E624,F624,I624)</f>
        <v>5127200</v>
      </c>
      <c r="K624" s="33"/>
      <c r="L624" s="13"/>
      <c r="M624" s="33"/>
    </row>
    <row r="625" spans="4:13" x14ac:dyDescent="0.25">
      <c r="D625" s="15" t="str">
        <v>Fertiliser supplier to farm</v>
      </c>
      <c r="E625" s="15">
        <v>10</v>
      </c>
      <c r="F625" s="15">
        <v>390</v>
      </c>
      <c r="G625" s="15" t="s">
        <v>1406</v>
      </c>
      <c r="H625" s="15" t="s">
        <v>1406</v>
      </c>
      <c r="I625" s="75">
        <v>5</v>
      </c>
      <c r="J625" s="15" cm="1">
        <f t="array" ref="J625">Scope3_Equations.VEERG_15_14_1_1__1_EmbeddedEmissionsFromUpstreamFreight(E625,F625,I625)</f>
        <v>19500</v>
      </c>
      <c r="K625" s="33"/>
      <c r="L625" s="13"/>
      <c r="M625" s="33"/>
    </row>
    <row r="626" spans="4:13" x14ac:dyDescent="0.25">
      <c r="D626" s="15">
        <v>0</v>
      </c>
      <c r="E626" s="15">
        <v>0</v>
      </c>
      <c r="F626" s="15">
        <v>0</v>
      </c>
      <c r="G626" s="15" t="s">
        <v>1406</v>
      </c>
      <c r="H626" s="15" t="s">
        <v>1406</v>
      </c>
      <c r="I626" s="75"/>
      <c r="J626" s="15" cm="1">
        <f t="array" ref="J626">Scope3_Equations.VEERG_15_14_1_1__1_EmbeddedEmissionsFromUpstreamFreight(E626,F626,I626)</f>
        <v>0</v>
      </c>
      <c r="K626" s="33"/>
      <c r="L626" s="13"/>
      <c r="M626" s="33"/>
    </row>
    <row r="627" spans="4:13" x14ac:dyDescent="0.25">
      <c r="D627" s="15">
        <v>0</v>
      </c>
      <c r="E627" s="15">
        <v>0</v>
      </c>
      <c r="F627" s="15">
        <v>0</v>
      </c>
      <c r="G627" s="15" t="s">
        <v>1406</v>
      </c>
      <c r="H627" s="15" t="s">
        <v>1406</v>
      </c>
      <c r="I627" s="75"/>
      <c r="J627" s="15" cm="1">
        <f t="array" ref="J627">Scope3_Equations.VEERG_15_14_1_1__1_EmbeddedEmissionsFromUpstreamFreight(E627,F627,I627)</f>
        <v>0</v>
      </c>
      <c r="K627" s="33"/>
      <c r="L627" s="13"/>
      <c r="M627" s="33"/>
    </row>
    <row r="628" spans="4:13" x14ac:dyDescent="0.25">
      <c r="D628" s="15">
        <v>0</v>
      </c>
      <c r="E628" s="15">
        <v>0</v>
      </c>
      <c r="F628" s="15">
        <v>0</v>
      </c>
      <c r="G628" s="15" t="s">
        <v>1406</v>
      </c>
      <c r="H628" s="15" t="s">
        <v>1406</v>
      </c>
      <c r="I628" s="75"/>
      <c r="J628" s="15" cm="1">
        <f t="array" ref="J628">Scope3_Equations.VEERG_15_14_1_1__1_EmbeddedEmissionsFromUpstreamFreight(E628,F628,I628)</f>
        <v>0</v>
      </c>
      <c r="K628" s="33"/>
      <c r="L628" s="13"/>
      <c r="M628" s="33"/>
    </row>
    <row r="629" spans="4:13" x14ac:dyDescent="0.25">
      <c r="D629" s="15">
        <v>0</v>
      </c>
      <c r="E629" s="15">
        <v>0</v>
      </c>
      <c r="F629" s="15">
        <v>0</v>
      </c>
      <c r="G629" s="15" t="s">
        <v>1406</v>
      </c>
      <c r="H629" s="15" t="s">
        <v>1406</v>
      </c>
      <c r="I629" s="75"/>
      <c r="J629" s="15" cm="1">
        <f t="array" ref="J629">Scope3_Equations.VEERG_15_14_1_1__1_EmbeddedEmissionsFromUpstreamFreight(E629,F629,I629)</f>
        <v>0</v>
      </c>
      <c r="K629" s="33"/>
      <c r="L629" s="13"/>
      <c r="M629" s="33"/>
    </row>
    <row r="630" spans="4:13" x14ac:dyDescent="0.25">
      <c r="D630" s="15">
        <v>0</v>
      </c>
      <c r="E630" s="15">
        <v>0</v>
      </c>
      <c r="F630" s="15">
        <v>0</v>
      </c>
      <c r="G630" s="15" t="s">
        <v>1406</v>
      </c>
      <c r="H630" s="15" t="s">
        <v>1406</v>
      </c>
      <c r="I630" s="75"/>
      <c r="J630" s="15" cm="1">
        <f t="array" ref="J630">Scope3_Equations.VEERG_15_14_1_1__1_EmbeddedEmissionsFromUpstreamFreight(E630,F630,I630)</f>
        <v>0</v>
      </c>
      <c r="K630" s="33"/>
      <c r="L630" s="13"/>
      <c r="M630" s="33"/>
    </row>
    <row r="631" spans="4:13" x14ac:dyDescent="0.25">
      <c r="D631" s="15">
        <v>0</v>
      </c>
      <c r="E631" s="15">
        <v>0</v>
      </c>
      <c r="F631" s="15">
        <v>0</v>
      </c>
      <c r="G631" s="15" t="s">
        <v>1406</v>
      </c>
      <c r="H631" s="15" t="s">
        <v>1406</v>
      </c>
      <c r="I631" s="75"/>
      <c r="J631" s="15" cm="1">
        <f t="array" ref="J631">Scope3_Equations.VEERG_15_14_1_1__1_EmbeddedEmissionsFromUpstreamFreight(E631,F631,I631)</f>
        <v>0</v>
      </c>
      <c r="K631" s="33"/>
      <c r="L631" s="13"/>
      <c r="M631" s="33"/>
    </row>
    <row r="632" spans="4:13" x14ac:dyDescent="0.25">
      <c r="D632" s="15">
        <v>0</v>
      </c>
      <c r="E632" s="15">
        <v>0</v>
      </c>
      <c r="F632" s="15">
        <v>0</v>
      </c>
      <c r="G632" s="15" t="s">
        <v>1406</v>
      </c>
      <c r="H632" s="15" t="s">
        <v>1406</v>
      </c>
      <c r="I632" s="75"/>
      <c r="J632" s="15" cm="1">
        <f t="array" ref="J632">Scope3_Equations.VEERG_15_14_1_1__1_EmbeddedEmissionsFromUpstreamFreight(E632,F632,I632)</f>
        <v>0</v>
      </c>
      <c r="K632" s="33"/>
      <c r="L632" s="13"/>
      <c r="M632" s="33"/>
    </row>
    <row r="633" spans="4:13" x14ac:dyDescent="0.25">
      <c r="D633" s="15">
        <v>0</v>
      </c>
      <c r="E633" s="15">
        <v>0</v>
      </c>
      <c r="F633" s="15">
        <v>0</v>
      </c>
      <c r="G633" s="15" t="s">
        <v>1406</v>
      </c>
      <c r="H633" s="15" t="s">
        <v>1406</v>
      </c>
      <c r="I633" s="75"/>
      <c r="J633" s="15" cm="1">
        <f t="array" ref="J633">Scope3_Equations.VEERG_15_14_1_1__1_EmbeddedEmissionsFromUpstreamFreight(E633,F633,I633)</f>
        <v>0</v>
      </c>
      <c r="K633" s="33"/>
      <c r="L633" s="13"/>
      <c r="M633" s="33"/>
    </row>
    <row r="635" spans="4:13" x14ac:dyDescent="0.25">
      <c r="D635" s="92" t="s">
        <v>1430</v>
      </c>
      <c r="E635" s="88" t="s">
        <v>1406</v>
      </c>
      <c r="F635" s="93" t="str">
        <f>$E$105</f>
        <v>t CO2e</v>
      </c>
    </row>
    <row r="636" spans="4:13" x14ac:dyDescent="0.25">
      <c r="D636" s="92" t="s">
        <v>1431</v>
      </c>
      <c r="E636" s="88">
        <f>SUM(J624:J633)</f>
        <v>5146700</v>
      </c>
      <c r="F636" s="93" t="str">
        <f>$E$105</f>
        <v>t CO2e</v>
      </c>
    </row>
    <row r="639" spans="4:13" ht="18.75" x14ac:dyDescent="0.25">
      <c r="D639" s="263" t="s">
        <v>1299</v>
      </c>
    </row>
    <row r="641" spans="4:13" ht="17.25" x14ac:dyDescent="0.25">
      <c r="D641" s="81" t="s">
        <v>1426</v>
      </c>
      <c r="E641" s="81" t="s">
        <v>1427</v>
      </c>
      <c r="F641" s="81" t="s">
        <v>1428</v>
      </c>
      <c r="G641" s="123" t="s">
        <v>1429</v>
      </c>
      <c r="H641" s="123" t="s">
        <v>1319</v>
      </c>
      <c r="I641" s="81" t="s">
        <v>1367</v>
      </c>
      <c r="J641" s="123" t="s">
        <v>1322</v>
      </c>
      <c r="K641" s="81" t="s">
        <v>1323</v>
      </c>
      <c r="L641" s="81" t="s">
        <v>1324</v>
      </c>
      <c r="M641" s="81" t="s">
        <v>1325</v>
      </c>
    </row>
    <row r="642" spans="4:13" x14ac:dyDescent="0.25">
      <c r="D642" s="15" t="str" cm="1">
        <f t="array" ref="D642:D651">IFERROR(INDEX(Table_Input_FreightOutgoing[Route name], _xlfn.SEQUENCE(10)), "")</f>
        <v>Farm to bulk handler</v>
      </c>
      <c r="E642" s="15" cm="1">
        <f t="array" ref="E642:E651">IFERROR(INDEX(Table_Input_FreightOutgoing[Average weight of freight per trip (t)], _xlfn.SEQUENCE(10)), "")</f>
        <v>20</v>
      </c>
      <c r="F642" s="15" cm="1">
        <f t="array" ref="F642:F651">IFERROR(INDEX(Table_Input_FreightOutgoing[Route distance (km)], _xlfn.SEQUENCE(10))*INDEX(Table_Input_FreightOutgoing[Number of trips taken], _xlfn.SEQUENCE(10)), "")</f>
        <v>3380</v>
      </c>
      <c r="G642" s="15" t="s">
        <v>1406</v>
      </c>
      <c r="H642" s="15" t="s">
        <v>1406</v>
      </c>
      <c r="I642" s="75">
        <v>6.4</v>
      </c>
      <c r="J642" s="15" cm="1">
        <f t="array" ref="J642">Scope3_Equations.VEERG_15_14_1_1__1_EmbeddedEmissionsFromUpstreamFreight(E642,F642,I642)</f>
        <v>432640</v>
      </c>
      <c r="K642" s="33"/>
      <c r="L642" s="13"/>
      <c r="M642" s="33"/>
    </row>
    <row r="643" spans="4:13" x14ac:dyDescent="0.25">
      <c r="D643" s="15">
        <v>0</v>
      </c>
      <c r="E643" s="15">
        <v>0</v>
      </c>
      <c r="F643" s="15">
        <v>0</v>
      </c>
      <c r="G643" s="15" t="s">
        <v>1406</v>
      </c>
      <c r="H643" s="15" t="s">
        <v>1406</v>
      </c>
      <c r="I643" s="75"/>
      <c r="J643" s="15" cm="1">
        <f t="array" ref="J643">Scope3_Equations.VEERG_15_14_1_1__1_EmbeddedEmissionsFromUpstreamFreight(E643,F643,I643)</f>
        <v>0</v>
      </c>
      <c r="K643" s="33"/>
      <c r="L643" s="13"/>
      <c r="M643" s="33"/>
    </row>
    <row r="644" spans="4:13" x14ac:dyDescent="0.25">
      <c r="D644" s="15">
        <v>0</v>
      </c>
      <c r="E644" s="15">
        <v>0</v>
      </c>
      <c r="F644" s="15">
        <v>0</v>
      </c>
      <c r="G644" s="15" t="s">
        <v>1406</v>
      </c>
      <c r="H644" s="15" t="s">
        <v>1406</v>
      </c>
      <c r="I644" s="75"/>
      <c r="J644" s="15" cm="1">
        <f t="array" ref="J644">Scope3_Equations.VEERG_15_14_1_1__1_EmbeddedEmissionsFromUpstreamFreight(E644,F644,I644)</f>
        <v>0</v>
      </c>
      <c r="K644" s="33"/>
      <c r="L644" s="13"/>
      <c r="M644" s="33"/>
    </row>
    <row r="645" spans="4:13" x14ac:dyDescent="0.25">
      <c r="D645" s="15">
        <v>0</v>
      </c>
      <c r="E645" s="15">
        <v>0</v>
      </c>
      <c r="F645" s="15">
        <v>0</v>
      </c>
      <c r="G645" s="15" t="s">
        <v>1406</v>
      </c>
      <c r="H645" s="15" t="s">
        <v>1406</v>
      </c>
      <c r="I645" s="75"/>
      <c r="J645" s="15" cm="1">
        <f t="array" ref="J645">Scope3_Equations.VEERG_15_14_1_1__1_EmbeddedEmissionsFromUpstreamFreight(E645,F645,I645)</f>
        <v>0</v>
      </c>
      <c r="K645" s="33"/>
      <c r="L645" s="13"/>
      <c r="M645" s="33"/>
    </row>
    <row r="646" spans="4:13" x14ac:dyDescent="0.25">
      <c r="D646" s="15">
        <v>0</v>
      </c>
      <c r="E646" s="15">
        <v>0</v>
      </c>
      <c r="F646" s="15">
        <v>0</v>
      </c>
      <c r="G646" s="15" t="s">
        <v>1406</v>
      </c>
      <c r="H646" s="15" t="s">
        <v>1406</v>
      </c>
      <c r="I646" s="75"/>
      <c r="J646" s="15" cm="1">
        <f t="array" ref="J646">Scope3_Equations.VEERG_15_14_1_1__1_EmbeddedEmissionsFromUpstreamFreight(E646,F646,I646)</f>
        <v>0</v>
      </c>
      <c r="K646" s="33"/>
      <c r="L646" s="13"/>
      <c r="M646" s="33"/>
    </row>
    <row r="647" spans="4:13" x14ac:dyDescent="0.25">
      <c r="D647" s="15">
        <v>0</v>
      </c>
      <c r="E647" s="15">
        <v>0</v>
      </c>
      <c r="F647" s="15">
        <v>0</v>
      </c>
      <c r="G647" s="15" t="s">
        <v>1406</v>
      </c>
      <c r="H647" s="15" t="s">
        <v>1406</v>
      </c>
      <c r="I647" s="75"/>
      <c r="J647" s="15" cm="1">
        <f t="array" ref="J647">Scope3_Equations.VEERG_15_14_1_1__1_EmbeddedEmissionsFromUpstreamFreight(E647,F647,I647)</f>
        <v>0</v>
      </c>
      <c r="K647" s="33"/>
      <c r="L647" s="13"/>
      <c r="M647" s="33"/>
    </row>
    <row r="648" spans="4:13" x14ac:dyDescent="0.25">
      <c r="D648" s="15">
        <v>0</v>
      </c>
      <c r="E648" s="15">
        <v>0</v>
      </c>
      <c r="F648" s="15">
        <v>0</v>
      </c>
      <c r="G648" s="15" t="s">
        <v>1406</v>
      </c>
      <c r="H648" s="15" t="s">
        <v>1406</v>
      </c>
      <c r="I648" s="75"/>
      <c r="J648" s="15" cm="1">
        <f t="array" ref="J648">Scope3_Equations.VEERG_15_14_1_1__1_EmbeddedEmissionsFromUpstreamFreight(E648,F648,I648)</f>
        <v>0</v>
      </c>
      <c r="K648" s="33"/>
      <c r="L648" s="13"/>
      <c r="M648" s="33"/>
    </row>
    <row r="649" spans="4:13" x14ac:dyDescent="0.25">
      <c r="D649" s="15">
        <v>0</v>
      </c>
      <c r="E649" s="15">
        <v>0</v>
      </c>
      <c r="F649" s="15">
        <v>0</v>
      </c>
      <c r="G649" s="15" t="s">
        <v>1406</v>
      </c>
      <c r="H649" s="15" t="s">
        <v>1406</v>
      </c>
      <c r="I649" s="75"/>
      <c r="J649" s="15" cm="1">
        <f t="array" ref="J649">Scope3_Equations.VEERG_15_14_1_1__1_EmbeddedEmissionsFromUpstreamFreight(E649,F649,I649)</f>
        <v>0</v>
      </c>
      <c r="K649" s="33"/>
      <c r="L649" s="13"/>
      <c r="M649" s="33"/>
    </row>
    <row r="650" spans="4:13" x14ac:dyDescent="0.25">
      <c r="D650" s="15">
        <v>0</v>
      </c>
      <c r="E650" s="15">
        <v>0</v>
      </c>
      <c r="F650" s="15">
        <v>0</v>
      </c>
      <c r="G650" s="15" t="s">
        <v>1406</v>
      </c>
      <c r="H650" s="15" t="s">
        <v>1406</v>
      </c>
      <c r="I650" s="75"/>
      <c r="J650" s="15" cm="1">
        <f t="array" ref="J650">Scope3_Equations.VEERG_15_14_1_1__1_EmbeddedEmissionsFromUpstreamFreight(E650,F650,I650)</f>
        <v>0</v>
      </c>
      <c r="K650" s="33"/>
      <c r="L650" s="13"/>
      <c r="M650" s="33"/>
    </row>
    <row r="651" spans="4:13" x14ac:dyDescent="0.25">
      <c r="D651" s="15">
        <v>0</v>
      </c>
      <c r="E651" s="15">
        <v>0</v>
      </c>
      <c r="F651" s="15">
        <v>0</v>
      </c>
      <c r="G651" s="15" t="s">
        <v>1406</v>
      </c>
      <c r="H651" s="15" t="s">
        <v>1406</v>
      </c>
      <c r="I651" s="75"/>
      <c r="J651" s="15" cm="1">
        <f t="array" ref="J651">Scope3_Equations.VEERG_15_14_1_1__1_EmbeddedEmissionsFromUpstreamFreight(E651,F651,I651)</f>
        <v>0</v>
      </c>
      <c r="K651" s="33"/>
      <c r="L651" s="13"/>
      <c r="M651" s="33"/>
    </row>
    <row r="653" spans="4:13" x14ac:dyDescent="0.25">
      <c r="D653" s="92" t="s">
        <v>1432</v>
      </c>
      <c r="E653" s="88" t="s">
        <v>1406</v>
      </c>
      <c r="F653" s="93" t="str">
        <f>$E$105</f>
        <v>t CO2e</v>
      </c>
    </row>
    <row r="654" spans="4:13" x14ac:dyDescent="0.25">
      <c r="D654" s="92" t="s">
        <v>1433</v>
      </c>
      <c r="E654" s="88">
        <f>SUM(J642:J651)</f>
        <v>432640</v>
      </c>
      <c r="F654" s="93" t="str">
        <f>$E$105</f>
        <v>t CO2e</v>
      </c>
    </row>
    <row r="656" spans="4:13" ht="20.25" x14ac:dyDescent="0.25">
      <c r="D656" s="87" t="s">
        <v>1319</v>
      </c>
      <c r="E656" s="90" t="s">
        <v>1406</v>
      </c>
      <c r="F656" s="89" t="str">
        <f>$E$105</f>
        <v>t CO2e</v>
      </c>
    </row>
    <row r="657" spans="4:6" ht="20.25" x14ac:dyDescent="0.25">
      <c r="D657" s="87" t="s">
        <v>1322</v>
      </c>
      <c r="E657" s="90">
        <f>VEERG_15_14_1_1__1_EmbeddedEmissionsFromUpstreamFreight_Incoming_Result_Method2+VEERG_15_14_1_1__1_EmbeddedEmissionsFromUpstreamFreight_Outgoing_Result_Method2</f>
        <v>5579340</v>
      </c>
      <c r="F657" s="89" t="str">
        <f>$E$105</f>
        <v>t CO2e</v>
      </c>
    </row>
  </sheetData>
  <dataValidations count="2">
    <dataValidation type="list" allowBlank="1" showInputMessage="1" showErrorMessage="1" sqref="J505:J514" xr:uid="{EBD12CD7-F5B2-45EA-9346-C1EA7100CB2F}">
      <formula1>"kg / amount unit, t / amount unit"</formula1>
    </dataValidation>
    <dataValidation type="list" allowBlank="1" showInputMessage="1" showErrorMessage="1" sqref="L42:L51 L61:L70 L79:L88 L445:L454 L463:L472 K120:K129 L382:L391 K137:K140 K177:K179 O23:O32 M236:M246 L320:L329 K288:K297 N351:N360 M505:M514 M252:M266 M414:M423 K481:K485 K494:K498 L624:L633 L642:L651" xr:uid="{5C79F23A-C56D-4673-BB55-FF036577A667}">
      <formula1>INDIRECT("Table_SourceData_DataScores_Scope3[Data source]")</formula1>
    </dataValidation>
  </dataValidations>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D845A-7812-4CCD-8304-02EE4D276332}">
  <sheetPr>
    <tabColor theme="9" tint="-0.249977111117893"/>
  </sheetPr>
  <dimension ref="A1:U160"/>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style="259" customWidth="1"/>
    <col min="2" max="2" width="5.28515625" style="259" customWidth="1"/>
    <col min="3" max="3" width="5.28515625" style="1" customWidth="1"/>
    <col min="4" max="10" width="35" style="1" customWidth="1"/>
    <col min="11" max="11" width="5.28515625" style="1" customWidth="1"/>
    <col min="12" max="12" width="5.28515625" style="259" customWidth="1"/>
    <col min="13" max="13" width="5.28515625" style="1" customWidth="1"/>
    <col min="14" max="20" width="35" style="1" customWidth="1"/>
    <col min="21" max="21" width="5.28515625" style="1" customWidth="1"/>
    <col min="22" max="16384" width="9.140625" style="259"/>
  </cols>
  <sheetData>
    <row r="1" spans="1:21" ht="30" customHeight="1" x14ac:dyDescent="0.35">
      <c r="A1" s="10" t="e" vm="1">
        <v>#VALUE!</v>
      </c>
      <c r="C1" s="20" t="s">
        <v>1434</v>
      </c>
      <c r="D1" s="20"/>
      <c r="E1" s="20"/>
      <c r="F1" s="20"/>
      <c r="G1" s="20"/>
      <c r="H1" s="20"/>
      <c r="I1" s="20"/>
      <c r="J1" s="20"/>
      <c r="K1" s="20"/>
      <c r="M1" s="20"/>
      <c r="N1" s="20"/>
      <c r="O1" s="20"/>
      <c r="P1" s="20"/>
      <c r="Q1" s="20"/>
      <c r="R1" s="20"/>
      <c r="S1" s="20"/>
      <c r="T1" s="20"/>
      <c r="U1" s="20"/>
    </row>
    <row r="2" spans="1:21" ht="20.100000000000001" customHeight="1" x14ac:dyDescent="0.25">
      <c r="A2"/>
      <c r="C2" s="3"/>
      <c r="D2" s="3"/>
      <c r="E2" s="3"/>
      <c r="F2" s="3"/>
      <c r="G2" s="3"/>
      <c r="H2" s="3"/>
      <c r="I2" s="3"/>
      <c r="J2" s="3"/>
      <c r="K2" s="3"/>
      <c r="M2" s="3"/>
      <c r="N2" s="3"/>
      <c r="O2" s="3"/>
      <c r="P2" s="3"/>
      <c r="Q2" s="3"/>
      <c r="R2" s="3"/>
      <c r="S2" s="3"/>
      <c r="T2" s="3"/>
      <c r="U2" s="3"/>
    </row>
    <row r="3" spans="1:21" ht="20.100000000000001" customHeight="1" x14ac:dyDescent="0.25">
      <c r="A3" s="5" t="str">
        <f>HYPERLINK("#'Home'!A1", "Home")</f>
        <v>Home</v>
      </c>
      <c r="C3" s="22"/>
      <c r="D3" s="22" t="s">
        <v>129</v>
      </c>
      <c r="E3" s="22"/>
      <c r="F3" s="22"/>
      <c r="G3" s="22"/>
      <c r="H3" s="22"/>
      <c r="I3" s="22"/>
      <c r="J3" s="22"/>
      <c r="K3" s="22"/>
      <c r="M3" s="22"/>
      <c r="N3" s="22" t="s">
        <v>130</v>
      </c>
      <c r="O3" s="22"/>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Fertiliser_Equations_OrganicN2O.VEERG_5_2_1_1__1_OrganicFertiliserApplicationN2OEmissions_Title()</f>
        <v>Nitrous oxide emissions from the application of all organic fertiliser types f to all production systems j</v>
      </c>
      <c r="N5" s="2"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5">
      <c r="A6" s="5" t="str">
        <f>HYPERLINK("#'Results'!A1", "Results")</f>
        <v>Results</v>
      </c>
      <c r="D6" s="17" t="str" cm="1">
        <f t="array" ref="D6">Fertiliser_Equations_OrganicN2O.VEERG_5_2_1_1__1_OrganicFertiliserApplicationN2OEmissions_Source()</f>
        <v>VEERG 2026: 5.2.1.1, Equation (1)</v>
      </c>
      <c r="N6" s="17" t="str" cm="1">
        <f t="array" ref="N6">Fertiliser_Equations_OrganicN2O.VEERG_5_2_1_1__1_OrganicFertiliserApplicationN2OEmissions_Source()</f>
        <v>VEERG 2026: 5.2.1.1, Equation (1)</v>
      </c>
    </row>
    <row r="7" spans="1:21" ht="20.100000000000001" customHeight="1" x14ac:dyDescent="0.25">
      <c r="A7"/>
      <c r="D7" s="117" t="s">
        <v>382</v>
      </c>
      <c r="E7" s="117" t="str">
        <f ca="1">Common_InputFunctions.Utility_DisplayFunctionName(VEERG_5_2_1_1__1_OrganicFertiliserApplicationN2OEmissions_Result_Method1)</f>
        <v>=Fertiliser_Equations_OrganicN2O.VEERG_5_2_1_1__1_OrganicFertiliserApplicationN2OEmissions</v>
      </c>
      <c r="N7" s="117" t="s">
        <v>382</v>
      </c>
      <c r="O7" s="117" t="str">
        <f ca="1">Common_InputFunctions.Utility_DisplayFunctionName(VEERG_5_2_1_1__1_OrganicFertiliserApplicationN2OEmissions_Result_Method2)</f>
        <v>=Fertiliser_Equations_OrganicN2O.VEERG_5_2_1_1__1_OrganicFertiliserApplicationN2OEmissions</v>
      </c>
    </row>
    <row r="8" spans="1:21" ht="20.100000000000001" customHeight="1" x14ac:dyDescent="0.25">
      <c r="A8"/>
    </row>
    <row r="9" spans="1:21" ht="20.100000000000001" customHeight="1" x14ac:dyDescent="0.25">
      <c r="A9" s="7" t="s">
        <v>0</v>
      </c>
    </row>
    <row r="10" spans="1:21" ht="20.100000000000001" customHeight="1" x14ac:dyDescent="0.25">
      <c r="A10" s="5" t="str">
        <f>HYPERLINK("#'Input - Enterprise'!A1", "Enterprise")</f>
        <v>Enterprise</v>
      </c>
      <c r="D10" s="76" t="s">
        <v>383</v>
      </c>
      <c r="E10" s="1" t="str" cm="1">
        <f t="array" ref="E10">Fertiliser_Equations_OrganicN2O.VEERG_5_2_1_1__1_OrganicFertiliserApplicationN2OEmissions_Variable()</f>
        <v>E_N2O</v>
      </c>
      <c r="N10" s="76" t="s">
        <v>383</v>
      </c>
      <c r="O10" s="1" t="str" cm="1">
        <f t="array" ref="O10">Fertiliser_Equations_OrganicN2O.VEERG_5_2_1_1__1_OrganicFertiliserApplicationN2OEmissions_Variable()</f>
        <v>E_N2O</v>
      </c>
    </row>
    <row r="11" spans="1:21" ht="20.100000000000001" customHeight="1" x14ac:dyDescent="0.25">
      <c r="A11" s="5" t="str">
        <f>HYPERLINK("#'Input - Site'!A1", "Site")</f>
        <v>Site</v>
      </c>
      <c r="D11" s="76" t="s">
        <v>118</v>
      </c>
      <c r="E11" s="9" t="str" cm="1">
        <f t="array" ref="E11">Fertiliser_Equations_OrganicN2O.VEERG_5_2_1_1__1_OrganicFertiliserApplicationN2OEmissions_Unit()</f>
        <v>t N2O</v>
      </c>
      <c r="N11" s="76" t="s">
        <v>118</v>
      </c>
      <c r="O11" s="9" t="str" cm="1">
        <f t="array" ref="O11">Fertiliser_Equations_OrganicN2O.VEERG_5_2_1_1__1_OrganicFertiliserApplicationN2OEmissions_Unit()</f>
        <v>t N2O</v>
      </c>
    </row>
    <row r="12" spans="1:21" ht="20.100000000000001" customHeight="1" x14ac:dyDescent="0.25">
      <c r="A12" s="5" t="str">
        <f>HYPERLINK("#'Input - Dairy'!A1", "Dairy")</f>
        <v>Dairy</v>
      </c>
    </row>
    <row r="13" spans="1:21" ht="20.100000000000001" customHeight="1" x14ac:dyDescent="0.25">
      <c r="A13" s="5" t="str">
        <f>HYPERLINK("#'Input - Livestock sales'!A1", "Livestock sales")</f>
        <v>Livestock sales</v>
      </c>
      <c r="D13" s="119" t="str" cm="1">
        <f t="array" ref="D13:E17">_xlfn.CHOOSECOLS(Fertiliser_Equations_OrganicN2O.VEERG_5_2_1_1__1_OrganicFertiliserApplicationN2OEmissions_Arguments(), 1, 2)</f>
        <v>MNSoil_jf</v>
      </c>
      <c r="E13" s="124" t="str">
        <v>mass of nitrogen in organic fertiliser type f applied to production system j</v>
      </c>
      <c r="F13" s="132"/>
      <c r="G13" s="125"/>
      <c r="H13" s="119" t="str" cm="1">
        <f t="array" ref="H13:I17">_xlfn.CHOOSECOLS(Fertiliser_Equations_OrganicN2O.VEERG_5_2_1_1__1_OrganicFertiliserApplicationN2OEmissions_Arguments(), 3,4)</f>
        <v>kg N</v>
      </c>
      <c r="I13" s="127" t="str">
        <v>Calculated from 5.2.1.1 (2)</v>
      </c>
      <c r="J13" s="119">
        <f>X_Cell_ManureSentOffsite_MassNitrogenManure_Method1</f>
        <v>1000</v>
      </c>
      <c r="N13" s="119" t="str" cm="1">
        <f t="array" ref="N13:O17">_xlfn.CHOOSECOLS(Fertiliser_Equations_OrganicN2O.VEERG_5_2_1_1__1_OrganicFertiliserApplicationN2OEmissions_Arguments(), 1, 2)</f>
        <v>MNSoil_jf</v>
      </c>
      <c r="O13" s="124" t="str">
        <v>mass of nitrogen in organic fertiliser type f applied to production system j</v>
      </c>
      <c r="P13" s="132"/>
      <c r="Q13" s="125"/>
      <c r="R13" s="119" t="str" cm="1">
        <f t="array" ref="R13:S17">_xlfn.CHOOSECOLS(Fertiliser_Equations_OrganicN2O.VEERG_5_2_1_1__1_OrganicFertiliserApplicationN2OEmissions_Arguments(), 3,4)</f>
        <v>kg N</v>
      </c>
      <c r="S13" s="127" t="str">
        <v>Calculated from 5.2.1.1 (2)</v>
      </c>
      <c r="T13" s="119">
        <f>X_Cell_ManureSentOffsite_MassNitrogenManure_Method2</f>
        <v>2000</v>
      </c>
    </row>
    <row r="14" spans="1:21" ht="20.100000000000001" customHeight="1" x14ac:dyDescent="0.25">
      <c r="A14" s="5" t="str">
        <f>HYPERLINK("#'Input - Dairy cattle purchases'!A1", "Dairy cattle purchases")</f>
        <v>Dairy cattle purchases</v>
      </c>
      <c r="D14" s="119" t="str">
        <v>EF_N2Oi</v>
      </c>
      <c r="E14" s="124" t="str">
        <v>emission factor for direct nitrous oxide emissions from organic fertiliser applied to soils and aquatic systems in climate zone i</v>
      </c>
      <c r="F14" s="132"/>
      <c r="G14" s="125"/>
      <c r="H14" s="119" t="str">
        <v>kg N2O-N/kg N</v>
      </c>
      <c r="I14" s="127" t="str">
        <v>Lookup</v>
      </c>
      <c r="J14" s="119">
        <f>Common_InputFunctions.Utility_LookupValueInTableNumber(J17, Table_SourceData_Common_EFOrganicFertCropResidues[Climate Zone],Table_SourceData_Common_EFOrganicFertCropResidues[EFNi &amp; EFN2Oi])</f>
        <v>5.0000000000000001E-3</v>
      </c>
      <c r="N14" s="119" t="str">
        <v>EF_N2Oi</v>
      </c>
      <c r="O14" s="124" t="str">
        <v>emission factor for direct nitrous oxide emissions from organic fertiliser applied to soils and aquatic systems in climate zone i</v>
      </c>
      <c r="P14" s="132"/>
      <c r="Q14" s="125"/>
      <c r="R14" s="119" t="str">
        <v>kg N2O-N/kg N</v>
      </c>
      <c r="S14" s="127" t="str">
        <v>Lookup</v>
      </c>
      <c r="T14" s="119"/>
    </row>
    <row r="15" spans="1:21" ht="20.100000000000001" customHeight="1" x14ac:dyDescent="0.25">
      <c r="A15" s="5" t="str">
        <f>HYPERLINK("#'Input - Pasture'!A1", "Pasture")</f>
        <v>Pasture</v>
      </c>
      <c r="D15" s="119" t="str">
        <v>C_N2O</v>
      </c>
      <c r="E15" s="124" t="str">
        <v>factor to convert elemental mass of nitrous oxide to molecular mass</v>
      </c>
      <c r="F15" s="132"/>
      <c r="G15" s="125"/>
      <c r="H15" s="119" t="str">
        <v/>
      </c>
      <c r="I15" s="127" t="str">
        <v>Constant</v>
      </c>
      <c r="J15" s="119">
        <f>Common_InputFunctions.Utility_LookupValueInTableNumber("N2O",Table_GasToMolecularConversionFactor[Gas],Table_GasToMolecularConversionFactor[Conversion factor combined])</f>
        <v>1.5714285714285714</v>
      </c>
      <c r="N15" s="119" t="str">
        <v>C_N2O</v>
      </c>
      <c r="O15" s="124" t="str">
        <v>factor to convert elemental mass of nitrous oxide to molecular mass</v>
      </c>
      <c r="P15" s="132"/>
      <c r="Q15" s="125"/>
      <c r="R15" s="119" t="str">
        <v/>
      </c>
      <c r="S15" s="127" t="str">
        <v>Constant</v>
      </c>
      <c r="T15" s="119"/>
    </row>
    <row r="16" spans="1:21" ht="20.100000000000001" customHeight="1" x14ac:dyDescent="0.25">
      <c r="A16" s="5" t="str">
        <f>HYPERLINK("#'Input - Fert Prod System'!A1", "Fert Prod System")</f>
        <v>Fert Prod System</v>
      </c>
      <c r="D16" s="119" t="str">
        <v>j</v>
      </c>
      <c r="E16" s="124" t="str">
        <v>Production system</v>
      </c>
      <c r="F16" s="132"/>
      <c r="G16" s="125"/>
      <c r="H16" s="119" t="str">
        <v/>
      </c>
      <c r="I16" s="272" t="str">
        <v>Input</v>
      </c>
      <c r="J16" s="119" t="str">
        <f>X_Cell_ManureSentOffsite_ManureProductionSystem</f>
        <v>Crop</v>
      </c>
      <c r="N16" s="119" t="str">
        <v>j</v>
      </c>
      <c r="O16" s="124" t="str">
        <v>Production system</v>
      </c>
      <c r="P16" s="132"/>
      <c r="Q16" s="125"/>
      <c r="R16" s="119" t="str">
        <v/>
      </c>
      <c r="S16" s="272" t="str">
        <v>Input</v>
      </c>
      <c r="T16" s="119"/>
    </row>
    <row r="17" spans="1:20" ht="20.100000000000001" customHeight="1" x14ac:dyDescent="0.25">
      <c r="A17" s="5" t="str">
        <f>HYPERLINK("#'Input - Fertiliser'!A1", "Fertiliser")</f>
        <v>Fertiliser</v>
      </c>
      <c r="D17" s="119" t="str">
        <v>i</v>
      </c>
      <c r="E17" s="124" t="str">
        <v>Wet or dry climate zone</v>
      </c>
      <c r="F17" s="132"/>
      <c r="G17" s="125"/>
      <c r="H17" s="119" t="str">
        <v/>
      </c>
      <c r="I17" s="272" t="str">
        <v>Input</v>
      </c>
      <c r="J17" s="119" t="str">
        <f>X_Cell_Site_WetOrDryClimateZone</f>
        <v>Dry climate zone</v>
      </c>
      <c r="N17" s="119" t="str">
        <v>i</v>
      </c>
      <c r="O17" s="124" t="str">
        <v>Wet or dry climate zone</v>
      </c>
      <c r="P17" s="132"/>
      <c r="Q17" s="125"/>
      <c r="R17" s="119" t="str">
        <v/>
      </c>
      <c r="S17" s="272" t="str">
        <v>Input</v>
      </c>
      <c r="T17" s="119"/>
    </row>
    <row r="18" spans="1:20" ht="20.100000000000001" customHeight="1" x14ac:dyDescent="0.25">
      <c r="A18" s="5" t="str">
        <f>HYPERLINK("#'Input - Fuel'!A1", "Fuel")</f>
        <v>Fuel</v>
      </c>
    </row>
    <row r="19" spans="1:20" ht="20.100000000000001" customHeight="1" x14ac:dyDescent="0.25">
      <c r="A19" s="5" t="str">
        <f>HYPERLINK("#'Input - Electricity'!A1", "Electricity")</f>
        <v>Electricity</v>
      </c>
      <c r="D19" s="87" t="s">
        <v>766</v>
      </c>
      <c r="E19" s="90" cm="1">
        <f t="array" ref="E19">Fertiliser_Equations_OrganicN2O.VEERG_5_2_1_1__1_OrganicFertiliserApplicationN2OEmissions(J13,J14,J15)</f>
        <v>7.8571428571428577E-3</v>
      </c>
      <c r="F19" s="89" t="str">
        <f>$E$11</f>
        <v>t N2O</v>
      </c>
      <c r="N19" s="87" t="s">
        <v>766</v>
      </c>
      <c r="O19" s="90" cm="1">
        <f t="array" ref="O19">Fertiliser_Equations_OrganicN2O.VEERG_5_2_1_1__1_OrganicFertiliserApplicationN2OEmissions(T13,J14,J15)</f>
        <v>1.5714285714285715E-2</v>
      </c>
      <c r="P19" s="89" t="str">
        <f>$E$11</f>
        <v>t N2O</v>
      </c>
    </row>
    <row r="20" spans="1:20" ht="20.100000000000001" customHeight="1" x14ac:dyDescent="0.25">
      <c r="A20" s="5" t="str">
        <f>HYPERLINK("#'Input - Common farm inputs'!A1", "Common farm inputs")</f>
        <v>Common farm inputs</v>
      </c>
    </row>
    <row r="21" spans="1:20" ht="20.100000000000001" customHeight="1" x14ac:dyDescent="0.25">
      <c r="A21" s="5" t="str">
        <f>HYPERLINK("#'Input - Crop pasture farm input'!A1", "Crop pasture farm input")</f>
        <v>Crop pasture farm input</v>
      </c>
    </row>
    <row r="22" spans="1:20" ht="20.100000000000001" customHeight="1" x14ac:dyDescent="0.25">
      <c r="A22" s="5" t="str">
        <f>HYPERLINK("#'Input - Livestock farm Inputs'!A1", "Livestock farm Inputs")</f>
        <v>Livestock farm Inputs</v>
      </c>
    </row>
    <row r="23" spans="1:20" ht="20.100000000000001" customHeight="1" x14ac:dyDescent="0.25">
      <c r="A23" s="5" t="str">
        <f>HYPERLINK("#'Input - Freight'!A1", "Freight")</f>
        <v>Freight</v>
      </c>
    </row>
    <row r="24" spans="1:20" ht="20.100000000000001" customHeight="1" x14ac:dyDescent="0.25">
      <c r="A24" s="5" t="str">
        <f>HYPERLINK("#'Input - Solid waste'!A1", "Solid waste")</f>
        <v>Solid waste</v>
      </c>
      <c r="D24" s="2" t="str" cm="1">
        <f t="array" ref="D24">Fertiliser_Equations_AtmosphericDeposition.VEERG_5_4_1_3__2_MassOfNitrogenVolatilisedFromOrganicFertiliser_Title()</f>
        <v>Mass of nitrogen volatilised from organic fertiliser applied to production system</v>
      </c>
      <c r="N24" s="2"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5">
      <c r="A25" s="5" t="str">
        <f>HYPERLINK("#'Input - Manure sent off-site'!A1", "Manure sent off-site")</f>
        <v>Manure sent off-site</v>
      </c>
      <c r="D25" s="17" t="str" cm="1">
        <f t="array" ref="D25">Fertiliser_Equations_AtmosphericDeposition.VEERG_5_4_1_3__2_MassOfNitrogenVolatilisedFromOrganicFertiliser_Source()</f>
        <v>VEERG 2026: 5.4.1.3, Equation (2)</v>
      </c>
      <c r="N25" s="17" t="str" cm="1">
        <f t="array" ref="N25">Fertiliser_Equations_AtmosphericDeposition.VEERG_5_4_1_3__2_MassOfNitrogenVolatilisedFromOrganicFertiliser_Source()</f>
        <v>VEERG 2026: 5.4.1.3, Equation (2)</v>
      </c>
    </row>
    <row r="26" spans="1:20" ht="20.100000000000001" customHeight="1" x14ac:dyDescent="0.25">
      <c r="A26" s="5" t="str">
        <f>HYPERLINK("#'Input - Refrigerants'!A1", "Refrigerants")</f>
        <v>Refrigerants</v>
      </c>
      <c r="D26" s="117" t="s">
        <v>382</v>
      </c>
      <c r="E26" s="117" t="str" cm="1">
        <f t="array" aca="1" ref="E26" ca="1">Common_InputFunctions.Utility_DisplayFunctionName(E35)</f>
        <v>=Fertiliser_Equations_AtmosphericDeposition.VEERG_5_4_1_3__2_MassOfNitrogenVolatilisedFromOrganicFertiliser</v>
      </c>
      <c r="N26" s="117" t="s">
        <v>382</v>
      </c>
      <c r="O26" s="117" t="str" cm="1">
        <f t="array" aca="1" ref="O26" ca="1">Common_InputFunctions.Utility_DisplayFunctionName(O35)</f>
        <v>=Fertiliser_Equations_AtmosphericDeposition.VEERG_5_4_1_3__2_MassOfNitrogenVolatilisedFromOrganicFertiliser</v>
      </c>
    </row>
    <row r="27" spans="1:20" ht="20.100000000000001" customHeight="1" x14ac:dyDescent="0.25">
      <c r="A27" s="5" t="str">
        <f>HYPERLINK("#'Input - Data quality'!A1", "Data quality")</f>
        <v>Data quality</v>
      </c>
    </row>
    <row r="28" spans="1:20" ht="20.100000000000001" customHeight="1" x14ac:dyDescent="0.25">
      <c r="A28"/>
    </row>
    <row r="29" spans="1:20" ht="20.100000000000001" customHeight="1" x14ac:dyDescent="0.25">
      <c r="A29"/>
      <c r="D29" s="76" t="s">
        <v>383</v>
      </c>
      <c r="E29" s="1" t="str" cm="1">
        <f t="array" ref="E29">Fertiliser_Equations_AtmosphericDeposition.VEERG_5_4_1_3__2_MassOfNitrogenVolatilisedFromOrganicFertiliser_Variable()</f>
        <v>M_volorganicjf</v>
      </c>
      <c r="N29" s="76" t="s">
        <v>383</v>
      </c>
      <c r="O29" s="1" t="str" cm="1">
        <f t="array" ref="O29">Fertiliser_Equations_AtmosphericDeposition.VEERG_5_4_1_3__2_MassOfNitrogenVolatilisedFromOrganicFertiliser_Variable()</f>
        <v>M_volorganicjf</v>
      </c>
    </row>
    <row r="30" spans="1:20" ht="20.100000000000001" customHeight="1" x14ac:dyDescent="0.25">
      <c r="A30" s="6" t="s">
        <v>2</v>
      </c>
      <c r="D30" s="76" t="s">
        <v>118</v>
      </c>
      <c r="E30" s="9" t="str" cm="1">
        <f t="array" ref="E30">Fertiliser_Equations_AtmosphericDeposition.VEERG_5_4_1_3__2_MassOfNitrogenVolatilisedFromOrganicFertiliser_Unit()</f>
        <v>kg N</v>
      </c>
      <c r="N30" s="76" t="s">
        <v>118</v>
      </c>
      <c r="O30" s="9" t="str" cm="1">
        <f t="array" ref="O30">Fertiliser_Equations_AtmosphericDeposition.VEERG_5_4_1_3__2_MassOfNitrogenVolatilisedFromOrganicFertiliser_Unit()</f>
        <v>kg N</v>
      </c>
    </row>
    <row r="31" spans="1:20" ht="20.100000000000001" customHeight="1" x14ac:dyDescent="0.25">
      <c r="A31" s="5" t="str">
        <f>HYPERLINK("#'3.3.1.1-2 Enteric Methane'!A1", "3.3.1.1-2 Enteric methane")</f>
        <v>3.3.1.1-2 Enteric methane</v>
      </c>
    </row>
    <row r="32" spans="1:20" ht="20.100000000000001" customHeight="1" x14ac:dyDescent="0.25">
      <c r="A32" s="5" t="str">
        <f>HYPERLINK("#'4.3.1.1-2 Methane'!A1", "4.3.1.1-2 Manure methane")</f>
        <v>4.3.1.1-2 Manure methane</v>
      </c>
      <c r="D32" s="119" t="str" cm="1">
        <f t="array" ref="D32:E33">_xlfn.CHOOSECOLS(Fertiliser_Equations_AtmosphericDeposition.VEERG_5_4_1_3__2_MassOfNitrogenVolatilisedFromOrganicFertiliser_Arguments(), 1, 2)</f>
        <v>MNSoil_jf</v>
      </c>
      <c r="E32" s="119" t="str">
        <v>mass of nitrogen in organic fertiliser type f applied to production system j</v>
      </c>
      <c r="F32" s="119"/>
      <c r="G32" s="119" t="str" cm="1">
        <f t="array" ref="G32:H33">_xlfn.CHOOSECOLS(Fertiliser_Equations_AtmosphericDeposition.VEERG_5_4_1_3__2_MassOfNitrogenVolatilisedFromOrganicFertiliser_Arguments(), 3,4)</f>
        <v>kg N</v>
      </c>
      <c r="H32" s="127" t="str">
        <v>Calculated from 5.2.1.1 (2)</v>
      </c>
      <c r="I32" s="119">
        <f>X_Cell_ManureSentOffsite_MassNitrogenManure_Method1</f>
        <v>1000</v>
      </c>
      <c r="N32" s="119" t="str" cm="1">
        <f t="array" ref="N32:O33">_xlfn.CHOOSECOLS(Fertiliser_Equations_AtmosphericDeposition.VEERG_5_4_1_3__2_MassOfNitrogenVolatilisedFromOrganicFertiliser_Arguments(), 1, 2)</f>
        <v>MNSoil_jf</v>
      </c>
      <c r="O32" s="119" t="str">
        <v>mass of nitrogen in organic fertiliser type f applied to production system j</v>
      </c>
      <c r="P32" s="119"/>
      <c r="Q32" s="119" t="str" cm="1">
        <f t="array" ref="Q32:R33">_xlfn.CHOOSECOLS(Fertiliser_Equations_AtmosphericDeposition.VEERG_5_4_1_3__2_MassOfNitrogenVolatilisedFromOrganicFertiliser_Arguments(), 3,4)</f>
        <v>kg N</v>
      </c>
      <c r="R32" s="127" t="str">
        <v>Calculated from 5.2.1.1 (2)</v>
      </c>
      <c r="S32" s="119">
        <f>X_Cell_ManureSentOffsite_MassNitrogenManure_Method2</f>
        <v>2000</v>
      </c>
    </row>
    <row r="33" spans="1:19" ht="20.100000000000001" customHeight="1" x14ac:dyDescent="0.25">
      <c r="A33" s="5" t="str">
        <f>HYPERLINK("#'4.3.1.3-4 Direct N20'!A1", "4.3.1.3-4 Direct N20")</f>
        <v>4.3.1.3-4 Direct N20</v>
      </c>
      <c r="D33" s="119" t="str">
        <v>FracGASM_soil</v>
      </c>
      <c r="E33" s="119" t="str">
        <v>fraction of organic fertiliser N that volatilises</v>
      </c>
      <c r="F33" s="119"/>
      <c r="G33" s="119" t="str">
        <v>(kg NH3-N + NOx-N)/kg N</v>
      </c>
      <c r="H33" s="127" t="str">
        <v>Constant</v>
      </c>
      <c r="I33" s="119">
        <f>Fertiliser_FracGASMSoil_Data</f>
        <v>0.21</v>
      </c>
      <c r="N33" s="119" t="str">
        <v>FracGASM_soil</v>
      </c>
      <c r="O33" s="119" t="str">
        <v>fraction of organic fertiliser N that volatilises</v>
      </c>
      <c r="P33" s="119"/>
      <c r="Q33" s="119" t="str">
        <v>(kg NH3-N + NOx-N)/kg N</v>
      </c>
      <c r="R33" s="127" t="str">
        <v>Constant</v>
      </c>
      <c r="S33" s="119"/>
    </row>
    <row r="34" spans="1:19" ht="20.100000000000001" customHeight="1" x14ac:dyDescent="0.25">
      <c r="A34" s="5" t="str">
        <f>HYPERLINK("#'4.3.1.5 Atmos deposition'!A1", "4.3.1.5 Atmos deposition")</f>
        <v>4.3.1.5 Atmos deposition</v>
      </c>
    </row>
    <row r="35" spans="1:19" ht="20.100000000000001" customHeight="1" x14ac:dyDescent="0.25">
      <c r="A35" s="5" t="str">
        <f>HYPERLINK("#'4.3.1.6-7 Leaching and runoff'!A1", "4.3.1.6-7 Leaching &amp; runoff")</f>
        <v>4.3.1.6-7 Leaching &amp; runoff</v>
      </c>
      <c r="D35" s="92" t="s">
        <v>1435</v>
      </c>
      <c r="E35" s="88" cm="1">
        <f t="array" ref="E35">Fertiliser_Equations_AtmosphericDeposition.VEERG_5_4_1_3__2_MassOfNitrogenVolatilisedFromOrganicFertiliser(I32,I33)</f>
        <v>210</v>
      </c>
      <c r="F35" s="93" t="str">
        <f>E30</f>
        <v>kg N</v>
      </c>
      <c r="N35" s="92" t="s">
        <v>1435</v>
      </c>
      <c r="O35" s="88" cm="1">
        <f t="array" ref="O35">Fertiliser_Equations_AtmosphericDeposition.VEERG_5_4_1_3__2_MassOfNitrogenVolatilisedFromOrganicFertiliser(S32,I33)</f>
        <v>420</v>
      </c>
      <c r="P35" s="93" t="str">
        <f>O30</f>
        <v>kg N</v>
      </c>
    </row>
    <row r="36" spans="1:19" ht="20.100000000000001" customHeight="1" x14ac:dyDescent="0.25">
      <c r="A36" s="5" t="str">
        <f>HYPERLINK("#'4.3.1.8 Manure applied to soils'!A1", "4.3.1.8 Manure applied to soils")</f>
        <v>4.3.1.8 Manure applied to soils</v>
      </c>
    </row>
    <row r="37" spans="1:19" ht="20.100000000000001" customHeight="1" x14ac:dyDescent="0.25">
      <c r="A37" s="5" t="str">
        <f>HYPERLINK("#'4.3.1.9 Soil direct N2O'!A1", "4.3.1.9 Soil direct N2O")</f>
        <v>4.3.1.9 Soil direct N2O</v>
      </c>
    </row>
    <row r="38" spans="1:19" ht="20.100000000000001" customHeight="1" x14ac:dyDescent="0.25">
      <c r="A38" s="5" t="str">
        <f>HYPERLINK("#'4.3.1.10-11 Soil Atmos Dep'!A1", "4.3.1.10-11 Soil Atmos Deposition")</f>
        <v>4.3.1.10-11 Soil Atmos Deposition</v>
      </c>
    </row>
    <row r="39" spans="1:19" ht="20.100000000000001" customHeight="1" x14ac:dyDescent="0.25">
      <c r="A39" s="5" t="str">
        <f>HYPERLINK("#'4.3.1.12-13 Soil leach runoff'!A1", "4.3.1.12-13 Soil leach &amp; runoff")</f>
        <v>4.3.1.12-13 Soil leach &amp; runoff</v>
      </c>
    </row>
    <row r="40" spans="1:19" ht="20.100000000000001" customHeight="1" x14ac:dyDescent="0.25">
      <c r="A40" s="5" t="str">
        <f>HYPERLINK("#'5.1.1.1-2 Inorganic fert N2O'!A1", "5.1.1.1-2 Inorganic fert N2O")</f>
        <v>5.1.1.1-2 Inorganic fert N2O</v>
      </c>
      <c r="D40" s="2" t="str" cm="1">
        <f t="array" ref="D40">Fertiliser_Equations_AtmosphericDeposition.VEERG_5_4_1_3__1_OrganicFertiliserAtmosphericDepositionN2OEmissions_Title()</f>
        <v>Nitrous oxide emissions from atmospheric deposition of all organic fertiliser types f and all production systems j</v>
      </c>
      <c r="N40" s="2"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5">
      <c r="A41" s="5" t="str">
        <f>HYPERLINK("#'5.1.1.3-4 Inorganic fert CO2'!A1", "5.1.1.3-4 Inorganic fert CO2")</f>
        <v>5.1.1.3-4 Inorganic fert CO2</v>
      </c>
      <c r="D41" s="17" t="str" cm="1">
        <f t="array" ref="D41">Fertiliser_Equations_AtmosphericDeposition.VEERG_5_4_1_3__1_OrganicFertiliserAtmosphericDepositionN2OEmissions_Source()</f>
        <v>VEERG 2026: 5.4.1.3, Equation (1)</v>
      </c>
      <c r="N41" s="17" t="str" cm="1">
        <f t="array" ref="N41">Fertiliser_Equations_AtmosphericDeposition.VEERG_5_4_1_3__1_OrganicFertiliserAtmosphericDepositionN2OEmissions_Source()</f>
        <v>VEERG 2026: 5.4.1.3, Equation (1)</v>
      </c>
    </row>
    <row r="42" spans="1:19" ht="20.100000000000001" customHeight="1" x14ac:dyDescent="0.25">
      <c r="A42" s="5" t="str">
        <f>HYPERLINK("#'5.2.1.1-2 Organic Fert N2O'!A1", "5.2.1.1-2 Organic fert N2O")</f>
        <v>5.2.1.1-2 Organic fert N2O</v>
      </c>
      <c r="D42" s="117" t="s">
        <v>382</v>
      </c>
      <c r="E42" s="117" t="str">
        <f ca="1">Common_InputFunctions.Utility_DisplayFunctionName(VEERG_5_4_1_3__1_OrganicFertiliserAtmosphericDepositionN2OEmissions_Result_Method1)</f>
        <v>=Fertiliser_Equations_AtmosphericDeposition.VEERG_5_4_1_3__1_OrganicFertiliserAtmosphericDepositionN2OEmissions</v>
      </c>
      <c r="N42" s="117" t="s">
        <v>382</v>
      </c>
      <c r="O42" s="117" t="str">
        <f ca="1">Common_InputFunctions.Utility_DisplayFunctionName(VEERG_5_4_1_3__1_OrganicFertiliserAtmosphericDepositionN2OEmissions_Result_Method2)</f>
        <v>=Fertiliser_Equations_AtmosphericDeposition.VEERG_5_4_1_3__1_OrganicFertiliserAtmosphericDepositionN2OEmissions</v>
      </c>
    </row>
    <row r="43" spans="1:19" ht="20.100000000000001" customHeight="1" x14ac:dyDescent="0.25">
      <c r="A43" s="5" t="str">
        <f>HYPERLINK("#'5.3.1.1-2 Lime CO2'!A1", "5.3.1.1-2 Lime CO2")</f>
        <v>5.3.1.1-2 Lime CO2</v>
      </c>
    </row>
    <row r="44" spans="1:19" ht="20.100000000000001" customHeight="1" x14ac:dyDescent="0.25">
      <c r="A44" s="5" t="str">
        <f>HYPERLINK("#'5.4.1.1-4 Atmos deposition'!A1", "5.4.1.1-4 Atmos. deposition")</f>
        <v>5.4.1.1-4 Atmos. deposition</v>
      </c>
    </row>
    <row r="45" spans="1:19" ht="20.100000000000001" customHeight="1" x14ac:dyDescent="0.25">
      <c r="A45" s="5" t="str">
        <f>HYPERLINK("#'5.5.1.1-2 Leaching and runoff'!A1", "5.5.1.1-2 Leaching &amp; runoff")</f>
        <v>5.5.1.1-2 Leaching &amp; runoff</v>
      </c>
      <c r="D45" s="76" t="s">
        <v>383</v>
      </c>
      <c r="E45" s="1" t="str" cm="1">
        <f t="array" ref="E45">Fertiliser_Equations_AtmosphericDeposition.VEERG_5_4_1_3__1_OrganicFertiliserAtmosphericDepositionN2OEmissions_Variable()</f>
        <v>E_adorganic</v>
      </c>
      <c r="N45" s="76" t="s">
        <v>383</v>
      </c>
      <c r="O45" s="1" t="str" cm="1">
        <f t="array" ref="O45">Fertiliser_Equations_AtmosphericDeposition.VEERG_5_4_1_3__1_OrganicFertiliserAtmosphericDepositionN2OEmissions_Variable()</f>
        <v>E_adorganic</v>
      </c>
    </row>
    <row r="46" spans="1:19" ht="20.100000000000001" customHeight="1" x14ac:dyDescent="0.25">
      <c r="A46" s="5" t="str">
        <f>HYPERLINK("#'6.2.1.1-2 Pasture residue N2O'!A1", "6.2.1.1-2 Pasture residue N2O")</f>
        <v>6.2.1.1-2 Pasture residue N2O</v>
      </c>
      <c r="D46" s="76" t="s">
        <v>118</v>
      </c>
      <c r="E46" s="9" t="str" cm="1">
        <f t="array" ref="E46">Fertiliser_Equations_AtmosphericDeposition.VEERG_5_4_1_3__1_OrganicFertiliserAtmosphericDepositionN2OEmissions_Unit()</f>
        <v>t N2O</v>
      </c>
      <c r="N46" s="76" t="s">
        <v>118</v>
      </c>
      <c r="O46" s="9" t="str" cm="1">
        <f t="array" ref="O46">Fertiliser_Equations_AtmosphericDeposition.VEERG_5_4_1_3__1_OrganicFertiliserAtmosphericDepositionN2OEmissions_Unit()</f>
        <v>t N2O</v>
      </c>
    </row>
    <row r="47" spans="1:19" ht="20.100000000000001" customHeight="1" x14ac:dyDescent="0.25">
      <c r="A47" s="5" t="str">
        <f>HYPERLINK("#'6.3.1.1-2 Leach runoff pasture'!A1", "6.3.1.1-2 Leach &amp; runoff (pasture)")</f>
        <v>6.3.1.1-2 Leach &amp; runoff (pasture)</v>
      </c>
    </row>
    <row r="48" spans="1:19" ht="20.100000000000001" customHeight="1" x14ac:dyDescent="0.25">
      <c r="A48" s="5" t="str">
        <f>HYPERLINK("#'8.1.1.1-2 Transport fuel'!A1", "8.1.1.1-2 Transport fuel")</f>
        <v>8.1.1.1-2 Transport fuel</v>
      </c>
      <c r="D48" s="119" t="str" cm="1">
        <f t="array" ref="D48:E53">_xlfn.CHOOSECOLS(Fertiliser_Equations_AtmosphericDeposition.VEERG_5_4_1_3__1_OrganicFertiliserAtmosphericDepositionN2OEmissions_Arguments(), 1, 2)</f>
        <v>M_volorganicjf</v>
      </c>
      <c r="E48" s="124" t="str">
        <v>mass of nitrogen volatilised from organic fertiliser applied to production system</v>
      </c>
      <c r="F48" s="125"/>
      <c r="G48" s="119" t="str" cm="1">
        <f t="array" ref="G48:H53">_xlfn.CHOOSECOLS(Fertiliser_Equations_AtmosphericDeposition.VEERG_5_4_1_3__1_OrganicFertiliserAtmosphericDepositionN2OEmissions_Arguments(), 3,4)</f>
        <v>kg N</v>
      </c>
      <c r="H48" s="127" t="str">
        <v>Calculated from 5.4.1.3 (2)</v>
      </c>
      <c r="I48" s="119">
        <f>E35</f>
        <v>210</v>
      </c>
      <c r="N48" s="119" t="str" cm="1">
        <f t="array" ref="N48:O53">_xlfn.CHOOSECOLS(Fertiliser_Equations_AtmosphericDeposition.VEERG_5_4_1_3__1_OrganicFertiliserAtmosphericDepositionN2OEmissions_Arguments(), 1, 2)</f>
        <v>M_volorganicjf</v>
      </c>
      <c r="O48" s="124" t="str">
        <v>mass of nitrogen volatilised from organic fertiliser applied to production system</v>
      </c>
      <c r="P48" s="125"/>
      <c r="Q48" s="119" t="str" cm="1">
        <f t="array" ref="Q48:R53">_xlfn.CHOOSECOLS(Fertiliser_Equations_AtmosphericDeposition.VEERG_5_4_1_3__1_OrganicFertiliserAtmosphericDepositionN2OEmissions_Arguments(), 3,4)</f>
        <v>kg N</v>
      </c>
      <c r="R48" s="127" t="str">
        <v>Calculated from 5.4.1.3 (2)</v>
      </c>
      <c r="S48" s="119">
        <f>O35</f>
        <v>420</v>
      </c>
    </row>
    <row r="49" spans="1:19" ht="20.100000000000001" customHeight="1" x14ac:dyDescent="0.25">
      <c r="A49" s="5" t="str">
        <f>HYPERLINK("#'8.2.1.1-2 Stationary fuel'!A1", "8.2.1.1-2 Stationary fuel")</f>
        <v>8.2.1.1-2 Stationary fuel</v>
      </c>
      <c r="D49" s="119" t="str">
        <v>EF_N2Oj</v>
      </c>
      <c r="E49" s="124" t="str">
        <v>emission factor for atmospheric deposition in production system j</v>
      </c>
      <c r="F49" s="125"/>
      <c r="G49" s="119" t="str">
        <v>kg N2O-N/kg N</v>
      </c>
      <c r="H49" s="127" t="str">
        <v>Constant</v>
      </c>
      <c r="I49" s="119">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19" t="str">
        <v>EF_N2Oj</v>
      </c>
      <c r="O49" s="124" t="str">
        <v>emission factor for atmospheric deposition in production system j</v>
      </c>
      <c r="P49" s="125"/>
      <c r="Q49" s="119" t="str">
        <v>kg N2O-N/kg N</v>
      </c>
      <c r="R49" s="127" t="str">
        <v>Constant</v>
      </c>
      <c r="S49" s="119"/>
    </row>
    <row r="50" spans="1:19" ht="20.100000000000001" customHeight="1" x14ac:dyDescent="0.25">
      <c r="A50" s="5" t="str">
        <f>HYPERLINK("#'9.1.1.1-2 Refrigerant use'!A1", "9.1.1.1-2 Refrigerant use")</f>
        <v>9.1.1.1-2 Refrigerant use</v>
      </c>
      <c r="D50" s="119" t="str">
        <v>C_N2O</v>
      </c>
      <c r="E50" s="124" t="str">
        <v>factor to convert elemental mass of nitrous oxide to molecular mass</v>
      </c>
      <c r="F50" s="125"/>
      <c r="G50" s="119" t="str">
        <v/>
      </c>
      <c r="H50" s="127" t="str">
        <v>Constant</v>
      </c>
      <c r="I50" s="131">
        <f>Common_InputFunctions.Utility_LookupValueInTableNumber("N2O",Table_GasToMolecularConversionFactor[Gas],Table_GasToMolecularConversionFactor[Conversion factor combined])</f>
        <v>1.5714285714285714</v>
      </c>
      <c r="N50" s="119" t="str">
        <v>C_N2O</v>
      </c>
      <c r="O50" s="124" t="str">
        <v>factor to convert elemental mass of nitrous oxide to molecular mass</v>
      </c>
      <c r="P50" s="125"/>
      <c r="Q50" s="119" t="str">
        <v/>
      </c>
      <c r="R50" s="127" t="str">
        <v>Constant</v>
      </c>
      <c r="S50" s="131"/>
    </row>
    <row r="51" spans="1:19" ht="20.100000000000001" customHeight="1" x14ac:dyDescent="0.25">
      <c r="A51" s="5" t="str">
        <f>HYPERLINK("#'10.1.1-2 Solid waste treatment'!A1", "10.1.1.1-2 Solid waste")</f>
        <v>10.1.1.1-2 Solid waste</v>
      </c>
      <c r="D51" s="119" t="str">
        <v>j</v>
      </c>
      <c r="E51" s="124" t="str">
        <v>Production system</v>
      </c>
      <c r="F51" s="125"/>
      <c r="G51" s="119" t="str">
        <v/>
      </c>
      <c r="H51" s="272" t="str">
        <v>Input</v>
      </c>
      <c r="I51" s="119" t="str">
        <f>IF(ISBLANK(X_Cell_ManureSentOffsite_ManureProductionSystem), "Pasture", X_Cell_ManureSentOffsite_ManureProductionSystem)</f>
        <v>Crop</v>
      </c>
      <c r="N51" s="119" t="str">
        <v>j</v>
      </c>
      <c r="O51" s="124" t="str">
        <v>Production system</v>
      </c>
      <c r="P51" s="125"/>
      <c r="Q51" s="119" t="str">
        <v/>
      </c>
      <c r="R51" s="272" t="str">
        <v>Input</v>
      </c>
      <c r="S51" s="119"/>
    </row>
    <row r="52" spans="1:19" ht="20.100000000000001" customHeight="1" x14ac:dyDescent="0.25">
      <c r="A52" s="5" t="str">
        <f>HYPERLINK("#'14.1.1-2 Purchased electricity'!A1", "14.1.1-2 Purchased electricity")</f>
        <v>14.1.1-2 Purchased electricity</v>
      </c>
      <c r="D52" s="119" t="str">
        <v>ir</v>
      </c>
      <c r="E52" s="124" t="str">
        <v>irrigation method</v>
      </c>
      <c r="F52" s="125"/>
      <c r="G52" s="119" t="str">
        <v/>
      </c>
      <c r="H52" s="272" t="str">
        <v>Input</v>
      </c>
      <c r="I52" s="119" t="str">
        <f>IF(ISBLANK(X_Cell_ManureSentOffsite_ManureIrrigationMethod), "Not irrigated", X_Cell_ManureSentOffsite_ManureIrrigationMethod)</f>
        <v>Sprinkler irrigation</v>
      </c>
      <c r="N52" s="119" t="str">
        <v>ir</v>
      </c>
      <c r="O52" s="124" t="str">
        <v>irrigation method</v>
      </c>
      <c r="P52" s="125"/>
      <c r="Q52" s="119" t="str">
        <v/>
      </c>
      <c r="R52" s="272" t="str">
        <v>Input</v>
      </c>
      <c r="S52" s="119"/>
    </row>
    <row r="53" spans="1:19" ht="20.100000000000001" customHeight="1" x14ac:dyDescent="0.25">
      <c r="A53" s="5" t="str">
        <f>HYPERLINK("#'15 Scope 3'!A1", "15 Scope 3")</f>
        <v>15 Scope 3</v>
      </c>
      <c r="D53" s="119" t="str">
        <v>r</v>
      </c>
      <c r="E53" s="124" t="str">
        <v>rainfall region</v>
      </c>
      <c r="F53" s="125"/>
      <c r="G53" s="119" t="str">
        <v/>
      </c>
      <c r="H53" s="272" t="str">
        <v>Input</v>
      </c>
      <c r="I53" s="119" t="str">
        <f>IF(ISBLANK(X_Cell_Site_RainfallZone), "Low rainfall", X_Cell_Site_RainfallZone)</f>
        <v>High rainfall</v>
      </c>
      <c r="N53" s="119" t="str">
        <v>r</v>
      </c>
      <c r="O53" s="124" t="str">
        <v>rainfall region</v>
      </c>
      <c r="P53" s="125"/>
      <c r="Q53" s="119" t="str">
        <v/>
      </c>
      <c r="R53" s="272" t="str">
        <v>Input</v>
      </c>
      <c r="S53" s="119"/>
    </row>
    <row r="54" spans="1:19" ht="20.100000000000001" customHeight="1" x14ac:dyDescent="0.25">
      <c r="A54" s="118" t="str">
        <f>HYPERLINK("#'Calcs - Manure sent off-site'!A1", "Calcs - Manure sent off-site")</f>
        <v>Calcs - Manure sent off-site</v>
      </c>
    </row>
    <row r="55" spans="1:19" ht="20.100000000000001" customHeight="1" x14ac:dyDescent="0.25">
      <c r="A55"/>
      <c r="D55" s="87" t="s">
        <v>812</v>
      </c>
      <c r="E55" s="90" cm="1">
        <f t="array" ref="E55">Fertiliser_Equations_AtmosphericDeposition.VEERG_5_4_1_3__1_OrganicFertiliserAtmosphericDepositionN2OEmissions(I48,I49,I50)</f>
        <v>2.31E-3</v>
      </c>
      <c r="F55" s="89" t="str">
        <f>$E$46</f>
        <v>t N2O</v>
      </c>
      <c r="N55" s="87" t="s">
        <v>812</v>
      </c>
      <c r="O55" s="90" cm="1">
        <f t="array" ref="O55">Fertiliser_Equations_AtmosphericDeposition.VEERG_5_4_1_3__1_OrganicFertiliserAtmosphericDepositionN2OEmissions(S48,I49,I50)</f>
        <v>4.62E-3</v>
      </c>
      <c r="P55" s="89" t="str">
        <f>$E$46</f>
        <v>t N2O</v>
      </c>
    </row>
    <row r="56" spans="1:19" ht="20.100000000000001" customHeight="1" x14ac:dyDescent="0.25">
      <c r="A56"/>
    </row>
    <row r="57" spans="1:19" ht="20.100000000000001" customHeight="1" x14ac:dyDescent="0.25">
      <c r="A57" s="82" t="s">
        <v>1</v>
      </c>
    </row>
    <row r="58" spans="1:19" ht="20.100000000000001" customHeight="1" x14ac:dyDescent="0.25">
      <c r="A58" s="5" t="str">
        <f>HYPERLINK("#'Constants - Dairy'!A1", "Constants - Dairy")</f>
        <v>Constants - Dairy</v>
      </c>
    </row>
    <row r="59" spans="1:19" ht="20.100000000000001" customHeight="1" x14ac:dyDescent="0.25">
      <c r="A59" s="5" t="str">
        <f>HYPERLINK("#'Constants - Ag Residue'!A1", "Constants - Ag residue")</f>
        <v>Constants - Ag residue</v>
      </c>
      <c r="D59" s="2" t="str" cm="1">
        <f t="array" ref="D59">Fertiliser_Equations_LeachingAndRunoff.VEERG_5_5_1_1__3_MassOfNitrogenLeachedFromOrganicFertiliser_Title()</f>
        <v>Mass of nitrogen lost through leaching and runoff from organic fertiliser application in production system j</v>
      </c>
      <c r="N59" s="2" t="str" cm="1">
        <f t="array" ref="N59">Fertiliser_Equations_LeachingAndRunoff.VEERG_5_5_1_1__3_MassOfNitrogenLeachedFromOrganicFertiliser_Title()</f>
        <v>Mass of nitrogen lost through leaching and runoff from organic fertiliser application in production system j</v>
      </c>
    </row>
    <row r="60" spans="1:19" ht="20.100000000000001" customHeight="1" x14ac:dyDescent="0.25">
      <c r="A60" s="5" t="str">
        <f>HYPERLINK("#'Constants - Common Livestock'!A1", "Constants - Common Livestock")</f>
        <v>Constants - Common Livestock</v>
      </c>
      <c r="D60" s="17" t="str" cm="1">
        <f t="array" ref="D60">Fertiliser_Equations_LeachingAndRunoff.VEERG_5_5_1_1__3_MassOfNitrogenLeachedFromOrganicFertiliser_Source()</f>
        <v>VEERG 2026: 5.5, Equation (3)</v>
      </c>
      <c r="N60" s="17" t="str" cm="1">
        <f t="array" ref="N60">Fertiliser_Equations_LeachingAndRunoff.VEERG_5_5_1_1__3_MassOfNitrogenLeachedFromOrganicFertiliser_Source()</f>
        <v>VEERG 2026: 5.5, Equation (3)</v>
      </c>
    </row>
    <row r="61" spans="1:19" ht="20.100000000000001" customHeight="1" x14ac:dyDescent="0.25">
      <c r="A61" s="5" t="str">
        <f>HYPERLINK("#'Constants - Electricity'!A1", "Constants - Electricity")</f>
        <v>Constants - Electricity</v>
      </c>
      <c r="D61" s="117" t="s">
        <v>382</v>
      </c>
      <c r="E61" s="117" t="str" cm="1">
        <f t="array" aca="1" ref="E61" ca="1">Common_InputFunctions.Utility_DisplayFunctionName(E74)</f>
        <v>=Fertiliser_Equations_LeachingAndRunoff.VEERG_5_5_1_1__3_MassOfNitrogenLeachedFromOrganicFertiliser</v>
      </c>
      <c r="N61" s="117" t="s">
        <v>382</v>
      </c>
      <c r="O61" s="117" t="str" cm="1">
        <f t="array" aca="1" ref="O61" ca="1">Common_InputFunctions.Utility_DisplayFunctionName(O74)</f>
        <v>=Fertiliser_Equations_LeachingAndRunoff.VEERG_5_5_1_1__3_MassOfNitrogenLeachedFromOrganicFertiliser</v>
      </c>
    </row>
    <row r="62" spans="1:19" ht="20.100000000000001" customHeight="1" x14ac:dyDescent="0.25">
      <c r="A62" s="5" t="str">
        <f>HYPERLINK("#'Constants - Fertiliser'!A1", "Constants - Fertiliser")</f>
        <v>Constants - Fertiliser</v>
      </c>
    </row>
    <row r="63" spans="1:19" ht="20.100000000000001" customHeight="1" x14ac:dyDescent="0.25">
      <c r="A63" s="5" t="str">
        <f>HYPERLINK("#'Constants - Fuel'!A1", "Constants - Fuel")</f>
        <v>Constants - Fuel</v>
      </c>
    </row>
    <row r="64" spans="1:19" ht="20.100000000000001" customHeight="1" x14ac:dyDescent="0.25">
      <c r="A64" s="5" t="str">
        <f>HYPERLINK("#'Constants - Scope 3'!A1", "Constants - Scope 3")</f>
        <v>Constants - Scope 3</v>
      </c>
      <c r="D64" s="76" t="s">
        <v>383</v>
      </c>
      <c r="E64" s="1" t="str" cm="1">
        <f t="array" ref="E64">Fertiliser_Equations_LeachingAndRunoff.VEERG_5_5_1_1__3_MassOfNitrogenLeachedFromOrganicFertiliser_Variable()</f>
        <v>M_leachorganicj</v>
      </c>
      <c r="N64" s="76" t="s">
        <v>383</v>
      </c>
      <c r="O64" s="1" t="str" cm="1">
        <f t="array" ref="O64">Fertiliser_Equations_LeachingAndRunoff.VEERG_5_5_1_1__3_MassOfNitrogenLeachedFromOrganicFertiliser_Variable()</f>
        <v>M_leachorganicj</v>
      </c>
    </row>
    <row r="65" spans="1:19" ht="20.100000000000001" customHeight="1" x14ac:dyDescent="0.25">
      <c r="A65" s="5" t="str">
        <f>HYPERLINK("#'Constants - Common'!A1", "Constants - Common")</f>
        <v>Constants - Common</v>
      </c>
      <c r="D65" s="76" t="s">
        <v>118</v>
      </c>
      <c r="E65" s="9" t="str" cm="1">
        <f t="array" ref="E65">Fertiliser_Equations_LeachingAndRunoff.VEERG_5_5_1_1__3_MassOfNitrogenLeachedFromOrganicFertiliser_Unit()</f>
        <v>kg N</v>
      </c>
      <c r="N65" s="76" t="s">
        <v>118</v>
      </c>
      <c r="O65" s="9" t="str" cm="1">
        <f t="array" ref="O65">Fertiliser_Equations_LeachingAndRunoff.VEERG_5_5_1_1__3_MassOfNitrogenLeachedFromOrganicFertiliser_Unit()</f>
        <v>kg N</v>
      </c>
    </row>
    <row r="66" spans="1:19" ht="20.100000000000001" customHeight="1" x14ac:dyDescent="0.25">
      <c r="A66" s="5" t="str">
        <f>HYPERLINK("#'Constants - Refrigerants'!A1", "Constants - Refrigerants")</f>
        <v>Constants - Refrigerants</v>
      </c>
    </row>
    <row r="67" spans="1:19" ht="20.100000000000001" customHeight="1" x14ac:dyDescent="0.25">
      <c r="A67" s="5" t="str">
        <f>HYPERLINK("#'Constants - Solid Waste'!A1", "Constants - Solid Waste")</f>
        <v>Constants - Solid Waste</v>
      </c>
      <c r="D67" s="119" t="str" cm="1">
        <f t="array" ref="D67:E72">_xlfn.CHOOSECOLS(Fertiliser_Equations_LeachingAndRunoff.VEERG_5_5_1_1__3_MassOfNitrogenLeachedFromOrganicFertiliser_Arguments(), 1, 2)</f>
        <v>MNSoil_jf</v>
      </c>
      <c r="E67" s="124" t="str">
        <v>mass of nitrogen in organic fertiliser</v>
      </c>
      <c r="F67" s="125"/>
      <c r="G67" s="119" t="str" cm="1">
        <f t="array" ref="G67:H72">_xlfn.CHOOSECOLS(Fertiliser_Equations_LeachingAndRunoff.VEERG_5_5_1_1__3_MassOfNitrogenLeachedFromOrganicFertiliser_Arguments(), 3,4)</f>
        <v>kg N</v>
      </c>
      <c r="H67" s="127" t="str">
        <v>Calculated from 5.2.1.1 (2)</v>
      </c>
      <c r="I67" s="119">
        <f>X_Cell_ManureSentOffsite_MassNitrogenManure_Method1</f>
        <v>1000</v>
      </c>
      <c r="N67" s="119" t="str" cm="1">
        <f t="array" ref="N67:O72">_xlfn.CHOOSECOLS(Fertiliser_Equations_LeachingAndRunoff.VEERG_5_5_1_1__3_MassOfNitrogenLeachedFromOrganicFertiliser_Arguments(), 1, 2)</f>
        <v>MNSoil_jf</v>
      </c>
      <c r="O67" s="124" t="str">
        <v>mass of nitrogen in organic fertiliser</v>
      </c>
      <c r="P67" s="125"/>
      <c r="Q67" s="119" t="str" cm="1">
        <f t="array" ref="Q67:R72">_xlfn.CHOOSECOLS(Fertiliser_Equations_LeachingAndRunoff.VEERG_5_5_1_1__3_MassOfNitrogenLeachedFromOrganicFertiliser_Arguments(), 3,4)</f>
        <v>kg N</v>
      </c>
      <c r="R67" s="127" t="str">
        <v>Calculated from 5.2.1.1 (2)</v>
      </c>
      <c r="S67" s="119">
        <f>X_Cell_ManureSentOffsite_MassNitrogenManure_Method2</f>
        <v>2000</v>
      </c>
    </row>
    <row r="68" spans="1:19" ht="20.100000000000001" customHeight="1" x14ac:dyDescent="0.25">
      <c r="A68" s="5" t="str">
        <f>HYPERLINK("#'Acknowledgements'!A1", "Acknowledgements")</f>
        <v>Acknowledgements</v>
      </c>
      <c r="D68" s="119" t="str">
        <v>FracWETj</v>
      </c>
      <c r="E68" s="124" t="str">
        <v>fraction of N available for leaching and runoff</v>
      </c>
      <c r="F68" s="125"/>
      <c r="G68" s="119" t="str">
        <v>fraction</v>
      </c>
      <c r="H68" s="127" t="str">
        <v>Constant</v>
      </c>
      <c r="I68" s="119">
        <f>Common_InputFunctions.CommonCropping_GetFracWET(I70,I72,Table_SourceData_FracWET[Is in leaching zone],Table_SourceData_FracWET[FracWET],Table_SourceData_FracWETIrrigation[Irrigation type i],Table_SourceData_FracWETIrrigation[FracWET])</f>
        <v>1</v>
      </c>
      <c r="N68" s="119" t="str">
        <v>FracWETj</v>
      </c>
      <c r="O68" s="124" t="str">
        <v>fraction of N available for leaching and runoff</v>
      </c>
      <c r="P68" s="125"/>
      <c r="Q68" s="119" t="str">
        <v>fraction</v>
      </c>
      <c r="R68" s="127" t="str">
        <v>Constant</v>
      </c>
      <c r="S68" s="119"/>
    </row>
    <row r="69" spans="1:19" ht="20.100000000000001" customHeight="1" x14ac:dyDescent="0.25">
      <c r="A69"/>
      <c r="D69" s="119" t="str">
        <v>FracLEACH</v>
      </c>
      <c r="E69" s="124" t="str">
        <v>fraction of N that is lost through leaching and runoff</v>
      </c>
      <c r="F69" s="125"/>
      <c r="G69" s="119" t="str">
        <v>fraction</v>
      </c>
      <c r="H69" s="127" t="str">
        <v>Constant</v>
      </c>
      <c r="I69" s="119">
        <f>Fertiliser_FracLEACH_Data</f>
        <v>0.24</v>
      </c>
      <c r="N69" s="119" t="str">
        <v>FracLEACH</v>
      </c>
      <c r="O69" s="124" t="str">
        <v>fraction of N that is lost through leaching and runoff</v>
      </c>
      <c r="P69" s="125"/>
      <c r="Q69" s="119" t="str">
        <v>fraction</v>
      </c>
      <c r="R69" s="127" t="str">
        <v>Constant</v>
      </c>
      <c r="S69" s="119"/>
    </row>
    <row r="70" spans="1:19" ht="20.100000000000001" customHeight="1" x14ac:dyDescent="0.25">
      <c r="A70"/>
      <c r="D70" s="119" t="str">
        <v>z</v>
      </c>
      <c r="E70" s="124" t="str">
        <v>location in leaching zone</v>
      </c>
      <c r="F70" s="125"/>
      <c r="G70" s="119" t="str">
        <v/>
      </c>
      <c r="H70" s="272" t="str">
        <v>Input</v>
      </c>
      <c r="I70" s="119" t="str">
        <f>X_Cell_Site_LeachingZone</f>
        <v>NO - Not in leaching zone</v>
      </c>
      <c r="N70" s="119" t="str">
        <v>z</v>
      </c>
      <c r="O70" s="124" t="str">
        <v>location in leaching zone</v>
      </c>
      <c r="P70" s="125"/>
      <c r="Q70" s="119" t="str">
        <v/>
      </c>
      <c r="R70" s="272" t="str">
        <v>Input</v>
      </c>
      <c r="S70" s="119"/>
    </row>
    <row r="71" spans="1:19" ht="20.100000000000001" customHeight="1" x14ac:dyDescent="0.25">
      <c r="A71"/>
      <c r="D71" s="119" t="str">
        <v>j</v>
      </c>
      <c r="E71" s="124" t="str">
        <v>production system</v>
      </c>
      <c r="F71" s="125"/>
      <c r="G71" s="119" t="str">
        <v/>
      </c>
      <c r="H71" s="272" t="str">
        <v>Input</v>
      </c>
      <c r="I71" s="119" t="str">
        <f>IF(ISBLANK(X_Cell_ManureSentOffsite_ManureProductionSystem), "Pasture", X_Cell_ManureSentOffsite_ManureProductionSystem)</f>
        <v>Crop</v>
      </c>
      <c r="N71" s="119" t="str">
        <v>j</v>
      </c>
      <c r="O71" s="124" t="str">
        <v>production system</v>
      </c>
      <c r="P71" s="125"/>
      <c r="Q71" s="119" t="str">
        <v/>
      </c>
      <c r="R71" s="272" t="str">
        <v>Input</v>
      </c>
      <c r="S71" s="119"/>
    </row>
    <row r="72" spans="1:19" ht="20.100000000000001" customHeight="1" x14ac:dyDescent="0.25">
      <c r="A72"/>
      <c r="D72" s="119" t="str">
        <v>ir</v>
      </c>
      <c r="E72" s="124" t="str">
        <v>irrigation method</v>
      </c>
      <c r="F72" s="125"/>
      <c r="G72" s="119" t="str">
        <v/>
      </c>
      <c r="H72" s="272" t="str">
        <v>Input</v>
      </c>
      <c r="I72" s="119" t="str">
        <f>IF(ISBLANK(X_Cell_ManureSentOffsite_ManureIrrigationMethod), "Not irrigated", X_Cell_ManureSentOffsite_ManureIrrigationMethod)</f>
        <v>Sprinkler irrigation</v>
      </c>
      <c r="N72" s="119" t="str">
        <v>ir</v>
      </c>
      <c r="O72" s="124" t="str">
        <v>irrigation method</v>
      </c>
      <c r="P72" s="125"/>
      <c r="Q72" s="119" t="str">
        <v/>
      </c>
      <c r="R72" s="272" t="str">
        <v>Input</v>
      </c>
      <c r="S72" s="119"/>
    </row>
    <row r="73" spans="1:19" ht="20.100000000000001" customHeight="1" x14ac:dyDescent="0.25">
      <c r="A73"/>
    </row>
    <row r="74" spans="1:19" ht="20.100000000000001" customHeight="1" x14ac:dyDescent="0.25">
      <c r="A74"/>
      <c r="D74" s="92" t="s">
        <v>1436</v>
      </c>
      <c r="E74" s="88" cm="1">
        <f t="array" ref="E74">Fertiliser_Equations_LeachingAndRunoff.VEERG_5_5_1_1__3_MassOfNitrogenLeachedFromOrganicFertiliser(I67,I68,I69)</f>
        <v>240</v>
      </c>
      <c r="F74" s="93" t="str">
        <f>$E$65</f>
        <v>kg N</v>
      </c>
      <c r="N74" s="92" t="s">
        <v>1436</v>
      </c>
      <c r="O74" s="88" cm="1">
        <f t="array" ref="O74">Fertiliser_Equations_LeachingAndRunoff.VEERG_5_5_1_1__3_MassOfNitrogenLeachedFromOrganicFertiliser(S67,I68,I69)</f>
        <v>480</v>
      </c>
      <c r="P74" s="93" t="str">
        <f>$E$65</f>
        <v>kg N</v>
      </c>
    </row>
    <row r="75" spans="1:19" ht="20.100000000000001" customHeight="1" x14ac:dyDescent="0.25">
      <c r="A75"/>
    </row>
    <row r="76" spans="1:19" ht="20.100000000000001" customHeight="1" x14ac:dyDescent="0.25">
      <c r="A76"/>
    </row>
    <row r="77" spans="1:19" ht="20.100000000000001" customHeight="1" x14ac:dyDescent="0.25">
      <c r="A77"/>
      <c r="D77" s="2" t="str" cm="1">
        <f t="array" ref="D77">Fertiliser_Equations_LeachingAndRunoff.VEERG_5_5_1_1__1_FertiliserLeachingAndRunoffN2OEmissions_Title()</f>
        <v>Nitrous oxide emissions from nitrogen leaching and runoff from the application of all fertilisers across all production systems j</v>
      </c>
      <c r="N77" s="2" t="str" cm="1">
        <f t="array" ref="N77">Fertiliser_Equations_LeachingAndRunoff.VEERG_5_5_1_1__1_FertiliserLeachingAndRunoffN2OEmissions_Title()</f>
        <v>Nitrous oxide emissions from nitrogen leaching and runoff from the application of all fertilisers across all production systems j</v>
      </c>
    </row>
    <row r="78" spans="1:19" ht="20.100000000000001" customHeight="1" x14ac:dyDescent="0.25">
      <c r="A78"/>
      <c r="D78" s="17" t="str" cm="1">
        <f t="array" ref="D78">Fertiliser_Equations_LeachingAndRunoff.VEERG_5_5_1_1__1_FertiliserLeachingAndRunoffN2OEmissions_Source()</f>
        <v>VEERG 2026: 5.5, Equation (1)</v>
      </c>
      <c r="N78" s="17" t="str" cm="1">
        <f t="array" ref="N78">Fertiliser_Equations_LeachingAndRunoff.VEERG_5_5_1_1__1_FertiliserLeachingAndRunoffN2OEmissions_Source()</f>
        <v>VEERG 2026: 5.5, Equation (1)</v>
      </c>
    </row>
    <row r="79" spans="1:19" ht="20.100000000000001" customHeight="1" x14ac:dyDescent="0.25">
      <c r="A79"/>
      <c r="D79" s="117" t="s">
        <v>382</v>
      </c>
      <c r="E79" s="117" t="str">
        <f ca="1">Common_InputFunctions.Utility_DisplayFunctionName(VEERG_5_5_1_1__1_FertiliserLeachingAndRunoffN2OEmissions_Result_Method1)</f>
        <v>=Fertiliser_Equations_LeachingAndRunoff.VEERG_5_5_1_1__1_FertiliserLeachingAndRunoffN2OEmissions</v>
      </c>
      <c r="N79" s="117" t="s">
        <v>382</v>
      </c>
      <c r="O79" s="117" t="str">
        <f ca="1">Common_InputFunctions.Utility_DisplayFunctionName(VEERG_5_5_1_1__1_FertiliserLeachingAndRunoffN2OEmissions_Result_Method2)</f>
        <v>=Fertiliser_Equations_LeachingAndRunoff.VEERG_5_5_1_1__1_FertiliserLeachingAndRunoffN2OEmissions</v>
      </c>
    </row>
    <row r="80" spans="1:19" ht="20.100000000000001" customHeight="1" x14ac:dyDescent="0.25">
      <c r="A80"/>
    </row>
    <row r="81" spans="1:20" ht="20.100000000000001" customHeight="1" x14ac:dyDescent="0.25">
      <c r="A81"/>
    </row>
    <row r="82" spans="1:20" ht="20.100000000000001" customHeight="1" x14ac:dyDescent="0.25">
      <c r="A82"/>
      <c r="D82" s="76" t="s">
        <v>383</v>
      </c>
      <c r="E82" s="1" t="str" cm="1">
        <f t="array" ref="E82">Fertiliser_Equations_LeachingAndRunoff.VEERG_5_5_1_1__1_FertiliserLeachingAndRunoffN2OEmissions_Variable()</f>
        <v>E_fertleach</v>
      </c>
      <c r="N82" s="76" t="s">
        <v>383</v>
      </c>
      <c r="O82" s="1" t="str" cm="1">
        <f t="array" ref="O82">Fertiliser_Equations_LeachingAndRunoff.VEERG_5_5_1_1__1_FertiliserLeachingAndRunoffN2OEmissions_Variable()</f>
        <v>E_fertleach</v>
      </c>
    </row>
    <row r="83" spans="1:20" x14ac:dyDescent="0.25">
      <c r="A83"/>
      <c r="D83" s="76" t="s">
        <v>118</v>
      </c>
      <c r="E83" s="9" t="str" cm="1">
        <f t="array" ref="E83">Fertiliser_Equations_LeachingAndRunoff.VEERG_5_5_1_1__1_FertiliserLeachingAndRunoffN2OEmissions_Unit()</f>
        <v>t N2O</v>
      </c>
      <c r="N83" s="76" t="s">
        <v>118</v>
      </c>
      <c r="O83" s="9" t="str" cm="1">
        <f t="array" ref="O83">Fertiliser_Equations_LeachingAndRunoff.VEERG_5_5_1_1__1_FertiliserLeachingAndRunoffN2OEmissions_Unit()</f>
        <v>t N2O</v>
      </c>
    </row>
    <row r="84" spans="1:20" x14ac:dyDescent="0.25">
      <c r="A84"/>
    </row>
    <row r="85" spans="1:20" x14ac:dyDescent="0.25">
      <c r="A85"/>
      <c r="D85" s="119" t="str" cm="1">
        <f t="array" ref="D85:E88">_xlfn.CHOOSECOLS(Fertiliser_Equations_LeachingAndRunoff.VEERG_5_5_1_1__1_FertiliserLeachingAndRunoffN2OEmissions_Arguments(), 1, 2)</f>
        <v>M_leachinorganicj</v>
      </c>
      <c r="E85" s="124" t="str">
        <v>mass of nitrogen lost through leaching and runoff from inorganic fertiliser application in production system j</v>
      </c>
      <c r="F85" s="132"/>
      <c r="G85" s="125"/>
      <c r="H85" s="119" t="str" cm="1">
        <f t="array" ref="H85:I88">_xlfn.CHOOSECOLS(Fertiliser_Equations_LeachingAndRunoff.VEERG_5_5_1_1__1_FertiliserLeachingAndRunoffN2OEmissions_Arguments(), 3,4)</f>
        <v>kg N</v>
      </c>
      <c r="I85" s="127" t="str">
        <v>Calculated from 5.5.1.1 (2)</v>
      </c>
      <c r="J85" s="119">
        <v>0</v>
      </c>
      <c r="N85" s="119" t="str" cm="1">
        <f t="array" ref="N85:O88">_xlfn.CHOOSECOLS(Fertiliser_Equations_LeachingAndRunoff.VEERG_5_5_1_1__1_FertiliserLeachingAndRunoffN2OEmissions_Arguments(), 1, 2)</f>
        <v>M_leachinorganicj</v>
      </c>
      <c r="O85" s="124" t="str">
        <v>mass of nitrogen lost through leaching and runoff from inorganic fertiliser application in production system j</v>
      </c>
      <c r="P85" s="132"/>
      <c r="Q85" s="125"/>
      <c r="R85" s="119" t="str" cm="1">
        <f t="array" ref="R85:S88">_xlfn.CHOOSECOLS(Fertiliser_Equations_LeachingAndRunoff.VEERG_5_5_1_1__1_FertiliserLeachingAndRunoffN2OEmissions_Arguments(), 3,4)</f>
        <v>kg N</v>
      </c>
      <c r="S85" s="127" t="str">
        <v>Calculated from 5.5.1.1 (2)</v>
      </c>
      <c r="T85" s="119"/>
    </row>
    <row r="86" spans="1:20" x14ac:dyDescent="0.25">
      <c r="A86"/>
      <c r="D86" s="119" t="str">
        <v>M_leachorganicj</v>
      </c>
      <c r="E86" s="124" t="str">
        <v>mass of nitrogen lost through leaching and runoff from organic fertiliser application</v>
      </c>
      <c r="F86" s="132"/>
      <c r="G86" s="125"/>
      <c r="H86" s="119" t="str">
        <v>kg N</v>
      </c>
      <c r="I86" s="127" t="str">
        <v>Calculated from 5.5.1.1 (3)</v>
      </c>
      <c r="J86" s="119">
        <f>E74</f>
        <v>240</v>
      </c>
      <c r="N86" s="119" t="str">
        <v>M_leachorganicj</v>
      </c>
      <c r="O86" s="124" t="str">
        <v>mass of nitrogen lost through leaching and runoff from organic fertiliser application</v>
      </c>
      <c r="P86" s="132"/>
      <c r="Q86" s="125"/>
      <c r="R86" s="119" t="str">
        <v>kg N</v>
      </c>
      <c r="S86" s="127" t="str">
        <v>Calculated from 5.5.1.1 (3)</v>
      </c>
      <c r="T86" s="119">
        <f>O74</f>
        <v>480</v>
      </c>
    </row>
    <row r="87" spans="1:20" x14ac:dyDescent="0.25">
      <c r="A87"/>
      <c r="D87" s="119" t="str">
        <v>EF_leach</v>
      </c>
      <c r="E87" s="124" t="str">
        <v>emission factor for nitrogen leaching and runoff</v>
      </c>
      <c r="F87" s="132"/>
      <c r="G87" s="125"/>
      <c r="H87" s="119" t="str">
        <v>kg N2O-N/kg N</v>
      </c>
      <c r="I87" s="127" t="str">
        <v>Constant</v>
      </c>
      <c r="J87" s="119">
        <f>Fertiliser_EFLeach_Data</f>
        <v>1.0999999999999999E-2</v>
      </c>
      <c r="N87" s="119" t="str">
        <v>EF_leach</v>
      </c>
      <c r="O87" s="124" t="str">
        <v>emission factor for nitrogen leaching and runoff</v>
      </c>
      <c r="P87" s="132"/>
      <c r="Q87" s="125"/>
      <c r="R87" s="119" t="str">
        <v>kg N2O-N/kg N</v>
      </c>
      <c r="S87" s="127" t="str">
        <v>Constant</v>
      </c>
      <c r="T87" s="119"/>
    </row>
    <row r="88" spans="1:20" x14ac:dyDescent="0.25">
      <c r="A88"/>
      <c r="D88" s="119" t="str">
        <v>C_N2O</v>
      </c>
      <c r="E88" s="124" t="str">
        <v>factor to convert elemental mass of nitrous oxide to molecular mass</v>
      </c>
      <c r="F88" s="132"/>
      <c r="G88" s="125"/>
      <c r="H88" s="119" t="str">
        <v/>
      </c>
      <c r="I88" s="127" t="str">
        <v>Constant</v>
      </c>
      <c r="J88" s="131">
        <f>Common_InputFunctions.Utility_LookupValueInTableNumber("N2O",Table_GasToMolecularConversionFactor[Gas],Table_GasToMolecularConversionFactor[Conversion factor combined])</f>
        <v>1.5714285714285714</v>
      </c>
      <c r="N88" s="119" t="str">
        <v>C_N2O</v>
      </c>
      <c r="O88" s="124" t="str">
        <v>factor to convert elemental mass of nitrous oxide to molecular mass</v>
      </c>
      <c r="P88" s="132"/>
      <c r="Q88" s="125"/>
      <c r="R88" s="119" t="str">
        <v/>
      </c>
      <c r="S88" s="127" t="str">
        <v>Constant</v>
      </c>
      <c r="T88" s="131"/>
    </row>
    <row r="89" spans="1:20" x14ac:dyDescent="0.25">
      <c r="A89"/>
    </row>
    <row r="90" spans="1:20" ht="23.25" x14ac:dyDescent="0.25">
      <c r="A90"/>
      <c r="D90" s="87" t="s">
        <v>829</v>
      </c>
      <c r="E90" s="90" cm="1">
        <f t="array" ref="E90">Fertiliser_Equations_LeachingAndRunoff.VEERG_5_5_1_1__1_FertiliserLeachingAndRunoffN2OEmissions(J85,J86,J87,J88)</f>
        <v>4.1485714285714277E-3</v>
      </c>
      <c r="F90" s="89" t="str">
        <f>$E$83</f>
        <v>t N2O</v>
      </c>
      <c r="N90" s="87" t="s">
        <v>829</v>
      </c>
      <c r="O90" s="90" cm="1">
        <f t="array" ref="O90">Fertiliser_Equations_LeachingAndRunoff.VEERG_5_5_1_1__1_FertiliserLeachingAndRunoffN2OEmissions(J85,T86,J87,J88)</f>
        <v>8.2971428571428554E-3</v>
      </c>
      <c r="P90" s="89" t="str">
        <f>$E$83</f>
        <v>t N2O</v>
      </c>
    </row>
    <row r="91" spans="1:20" x14ac:dyDescent="0.25">
      <c r="A91"/>
    </row>
    <row r="92" spans="1:20" x14ac:dyDescent="0.25">
      <c r="A92"/>
    </row>
    <row r="93" spans="1:20" x14ac:dyDescent="0.25">
      <c r="A93"/>
    </row>
    <row r="94" spans="1:20" x14ac:dyDescent="0.25">
      <c r="A94"/>
    </row>
    <row r="95" spans="1:20" x14ac:dyDescent="0.25">
      <c r="A95"/>
    </row>
    <row r="96" spans="1:20"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F945C-4C7C-46EE-BFD4-6101ACE97A22}">
  <sheetPr>
    <tabColor theme="2" tint="-0.499984740745262"/>
  </sheetPr>
  <dimension ref="A1:V288"/>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20" customFormat="1" ht="30" customHeight="1" x14ac:dyDescent="0.35">
      <c r="A1" s="10" t="e" vm="1">
        <v>#VALUE!</v>
      </c>
      <c r="C1" s="20" t="s">
        <v>614</v>
      </c>
    </row>
    <row r="2" spans="1:21" s="3" customFormat="1" ht="20.100000000000001" customHeight="1" x14ac:dyDescent="0.25">
      <c r="A2"/>
    </row>
    <row r="3" spans="1:21"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row>
    <row r="4" spans="1:21" ht="20.100000000000001" customHeight="1" x14ac:dyDescent="0.25">
      <c r="A4" s="5" t="str">
        <f>HYPERLINK("#'Results - Activity period'!A1", "Results - Activity period")</f>
        <v>Results - Activity period</v>
      </c>
      <c r="M4" s="8"/>
    </row>
    <row r="5" spans="1:21" ht="20.100000000000001" customHeight="1" x14ac:dyDescent="0.25">
      <c r="A5" s="5" t="str">
        <f>HYPERLINK("#'Results - Product EI'!A1", "Results - Product Emissions Intensity")</f>
        <v>Results - Product Emissions Intensity</v>
      </c>
      <c r="D5" s="2" t="s">
        <v>615</v>
      </c>
      <c r="G5" s="2" t="s">
        <v>616</v>
      </c>
      <c r="J5" s="2" t="s">
        <v>617</v>
      </c>
      <c r="L5" s="2" t="s">
        <v>618</v>
      </c>
      <c r="M5" s="1"/>
    </row>
    <row r="6" spans="1:21" ht="20.100000000000001" customHeight="1" x14ac:dyDescent="0.25">
      <c r="A6" s="5" t="str">
        <f>HYPERLINK("#'Results'!A1", "Results")</f>
        <v>Results</v>
      </c>
      <c r="L6" s="1" t="s">
        <v>619</v>
      </c>
      <c r="M6" s="1"/>
    </row>
    <row r="7" spans="1:21" ht="20.100000000000001" customHeight="1" x14ac:dyDescent="0.25">
      <c r="D7" s="141" t="s">
        <v>427</v>
      </c>
      <c r="E7" s="19" t="s">
        <v>620</v>
      </c>
      <c r="G7" s="19" t="s">
        <v>159</v>
      </c>
      <c r="J7" s="19" t="s">
        <v>63</v>
      </c>
      <c r="L7" s="19" t="s">
        <v>621</v>
      </c>
      <c r="M7" s="1"/>
    </row>
    <row r="8" spans="1:21" ht="20.100000000000001" customHeight="1" x14ac:dyDescent="0.25">
      <c r="D8" s="19" t="str">
        <f>'Constants - Common Livestock'!$E$10</f>
        <v>Anaerobic lagoon</v>
      </c>
      <c r="E8" s="19" t="str">
        <f>'Constants - Common Livestock'!$F$10</f>
        <v>Anaerobic lagoon (m=1)</v>
      </c>
      <c r="G8" s="19" t="str">
        <f>'Constants - Common'!$F$187</f>
        <v>Pasture</v>
      </c>
      <c r="J8" s="19" t="s">
        <v>622</v>
      </c>
      <c r="L8" s="19" t="s">
        <v>334</v>
      </c>
      <c r="M8" s="1"/>
    </row>
    <row r="9" spans="1:21" ht="20.100000000000001" customHeight="1" x14ac:dyDescent="0.25">
      <c r="A9" s="7" t="s">
        <v>0</v>
      </c>
      <c r="D9" s="19" t="str">
        <f>'Constants - Common Livestock'!$E$13</f>
        <v>Sump and dispersal system</v>
      </c>
      <c r="E9" s="19" t="str">
        <f>'Constants - Common Livestock'!$F$13</f>
        <v>Sump and dispersal system (m=3a)</v>
      </c>
      <c r="G9" s="1" t="str">
        <f>'Constants - Common'!$F$188</f>
        <v>Crop</v>
      </c>
      <c r="J9" s="19" t="s">
        <v>623</v>
      </c>
      <c r="L9" s="19" t="s">
        <v>335</v>
      </c>
      <c r="M9" s="1"/>
    </row>
    <row r="10" spans="1:21" ht="20.100000000000001" customHeight="1" x14ac:dyDescent="0.25">
      <c r="A10" s="5" t="str">
        <f>HYPERLINK("#'Input - Enterprise'!A1", "Enterprise")</f>
        <v>Enterprise</v>
      </c>
      <c r="D10" s="19" t="str">
        <f>'Constants - Common Livestock'!$E$14</f>
        <v>Drains to paddock</v>
      </c>
      <c r="E10" s="19" t="str">
        <f>'Constants - Common Livestock'!$F$14</f>
        <v>Drains to paddock (m=3b)</v>
      </c>
      <c r="J10" s="1" t="s">
        <v>380</v>
      </c>
      <c r="L10" s="19" t="s">
        <v>336</v>
      </c>
      <c r="M10" s="1"/>
    </row>
    <row r="11" spans="1:21" ht="20.100000000000001" customHeight="1" x14ac:dyDescent="0.25">
      <c r="A11" s="5" t="str">
        <f>HYPERLINK("#'Input - Site'!A1", "Site")</f>
        <v>Site</v>
      </c>
      <c r="D11" s="19" t="str">
        <f>'Constants - Common Livestock'!$E$15</f>
        <v>Solid storage</v>
      </c>
      <c r="E11" s="19" t="str">
        <f>'Constants - Common Livestock'!$F$15</f>
        <v>Solid storage (m=4)</v>
      </c>
      <c r="J11" s="1" t="s">
        <v>624</v>
      </c>
      <c r="L11" s="19" t="s">
        <v>337</v>
      </c>
      <c r="M11" s="1"/>
    </row>
    <row r="12" spans="1:21" ht="20.100000000000001" customHeight="1" x14ac:dyDescent="0.25">
      <c r="A12" s="5" t="str">
        <f>HYPERLINK("#'Input - Dairy'!A1", "Dairy")</f>
        <v>Dairy</v>
      </c>
      <c r="J12" s="1" t="s">
        <v>625</v>
      </c>
      <c r="L12" s="19" t="s">
        <v>338</v>
      </c>
      <c r="M12" s="1"/>
    </row>
    <row r="13" spans="1:21" ht="20.100000000000001" customHeight="1" x14ac:dyDescent="0.25">
      <c r="A13" s="5" t="str">
        <f>HYPERLINK("#'Input - Livestock sales'!A1", "Livestock sales")</f>
        <v>Livestock sales</v>
      </c>
      <c r="M13" s="1"/>
    </row>
    <row r="14" spans="1:21" ht="20.100000000000001" customHeight="1" x14ac:dyDescent="0.25">
      <c r="A14" s="5" t="str">
        <f>HYPERLINK("#'Input - Dairy cattle purchases'!A1", "Dairy cattle purchases")</f>
        <v>Dairy cattle purchases</v>
      </c>
      <c r="M14" s="1"/>
    </row>
    <row r="15" spans="1:21" ht="20.100000000000001" customHeight="1" x14ac:dyDescent="0.25">
      <c r="A15" s="5" t="str">
        <f>HYPERLINK("#'Input - Pasture'!A1", "Pasture")</f>
        <v>Pasture</v>
      </c>
      <c r="M15" s="1"/>
    </row>
    <row r="16" spans="1:21" ht="20.100000000000001" customHeight="1" x14ac:dyDescent="0.25">
      <c r="A16" s="5" t="str">
        <f>HYPERLINK("#'Input - Fert Prod System'!A1", "Fert Prod System")</f>
        <v>Fert Prod System</v>
      </c>
      <c r="D16" s="2" t="str" cm="1">
        <f t="array" ref="D16">SourceData_Dairy.SourceData_Dairy_LiveweightCowsAndHeifers_Title()</f>
        <v>Table A.1.3.1: Dairy cattle - Liveweight (kg) - Cows and Heifers (Wj)</v>
      </c>
      <c r="M16" s="1"/>
    </row>
    <row r="17" spans="1:13" ht="20.100000000000001" customHeight="1" x14ac:dyDescent="0.25">
      <c r="A17" s="5" t="str">
        <f>HYPERLINK("#'Input - Fertiliser'!A1", "Fertiliser")</f>
        <v>Fertiliser</v>
      </c>
      <c r="D17" s="17" t="str" cm="1">
        <f t="array" ref="D17">SourceData_Dairy.SourceData_Dairy_LiveweightCowsAndHeifers_Source()</f>
        <v>VEERG 2026: Table A.1.3.1</v>
      </c>
      <c r="M17" s="1"/>
    </row>
    <row r="18" spans="1:13" ht="20.100000000000001" customHeight="1" x14ac:dyDescent="0.25">
      <c r="A18" s="5" t="str">
        <f>HYPERLINK("#'Input - Fuel'!A1", "Fuel")</f>
        <v>Fuel</v>
      </c>
      <c r="D18" s="1" t="str" cm="1">
        <f t="array" ref="D18">SourceData_Dairy.SourceData_Dairy_LiveweightCowsAndHeifers_Variable()</f>
        <v>Wj</v>
      </c>
      <c r="M18" s="1"/>
    </row>
    <row r="19" spans="1:13" ht="20.100000000000001" customHeight="1" x14ac:dyDescent="0.25">
      <c r="A19" s="5" t="str">
        <f>HYPERLINK("#'Input - Electricity'!A1", "Electricity")</f>
        <v>Electricity</v>
      </c>
      <c r="D19" s="9" t="str" cm="1">
        <f t="array" ref="D19">SourceData_Dairy.SourceData_Dairy_LiveweightCowsAndHeifers_Unit()</f>
        <v>kg</v>
      </c>
      <c r="M19" s="1"/>
    </row>
    <row r="20" spans="1:13" ht="20.100000000000001" customHeight="1" x14ac:dyDescent="0.25">
      <c r="A20" s="5" t="str">
        <f>HYPERLINK("#'Input - Common farm inputs'!A1", "Common farm inputs")</f>
        <v>Common farm inputs</v>
      </c>
      <c r="D20" s="25" t="e" cm="1">
        <f t="array" aca="1" ref="D20" ca="1">SourceData_Dairy.SourceData_Dairy_LiveweightCowsAndHeifers_Variation()</f>
        <v>#NAME?</v>
      </c>
      <c r="M20" s="1"/>
    </row>
    <row r="21" spans="1:13" ht="20.100000000000001" customHeight="1" x14ac:dyDescent="0.25">
      <c r="A21" s="5" t="str">
        <f>HYPERLINK("#'Input - Crop pasture farm input'!A1", "Crop pasture farm input")</f>
        <v>Crop pasture farm input</v>
      </c>
      <c r="D21" s="19" t="s">
        <v>332</v>
      </c>
      <c r="E21" s="19" t="s">
        <v>334</v>
      </c>
      <c r="F21" s="19" t="s">
        <v>626</v>
      </c>
      <c r="G21" s="19" t="s">
        <v>627</v>
      </c>
      <c r="M21" s="1"/>
    </row>
    <row r="22" spans="1:13" ht="20.100000000000001" customHeight="1" x14ac:dyDescent="0.25">
      <c r="A22" s="5" t="str">
        <f>HYPERLINK("#'Input - Livestock farm Inputs'!A1", "Livestock farm Inputs")</f>
        <v>Livestock farm Inputs</v>
      </c>
      <c r="D22" s="19" t="str" cm="1">
        <f t="array" ref="D22">Common_InputFunctions.Utility_DisplayArrayInTable(SourceData_Dairy.SourceData_Dairy_LiveweightCowsAndHeifers_Data(), Table_SourceData_Dairy_WjCowsHeifers[[#Headers],[Breed]], 0)</f>
        <v>Medium Friesian</v>
      </c>
      <c r="E22" s="19" cm="1">
        <f t="array" ref="E22">Common_InputFunctions.Utility_DisplayArrayInTable(SourceData_Dairy.SourceData_Dairy_LiveweightCowsAndHeifers_Data(), Table_SourceData_Dairy_WjCowsHeifers[[#Headers],[Breed]], 0)</f>
        <v>550</v>
      </c>
      <c r="F22" s="19" cm="1">
        <f t="array" ref="F22">Common_InputFunctions.Utility_DisplayArrayInTable(SourceData_Dairy.SourceData_Dairy_LiveweightCowsAndHeifers_Data(), Table_SourceData_Dairy_WjCowsHeifers[[#Headers],[Breed]], 0)</f>
        <v>380</v>
      </c>
      <c r="G22" s="1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5" t="str">
        <f>HYPERLINK("#'Input - Freight'!A1", "Freight")</f>
        <v>Freight</v>
      </c>
      <c r="D23" s="19" t="str" cm="1">
        <f t="array" ref="D23">Common_InputFunctions.Utility_DisplayArrayInTable(SourceData_Dairy.SourceData_Dairy_LiveweightCowsAndHeifers_Data(), Table_SourceData_Dairy_WjCowsHeifers[[#Headers],[Breed]], 0)</f>
        <v>Large Friesian</v>
      </c>
      <c r="E23" s="19" cm="1">
        <f t="array" ref="E23">Common_InputFunctions.Utility_DisplayArrayInTable(SourceData_Dairy.SourceData_Dairy_LiveweightCowsAndHeifers_Data(), Table_SourceData_Dairy_WjCowsHeifers[[#Headers],[Breed]], 0)</f>
        <v>600</v>
      </c>
      <c r="F23" s="19" cm="1">
        <f t="array" ref="F23">Common_InputFunctions.Utility_DisplayArrayInTable(SourceData_Dairy.SourceData_Dairy_LiveweightCowsAndHeifers_Data(), Table_SourceData_Dairy_WjCowsHeifers[[#Headers],[Breed]], 0)</f>
        <v>415</v>
      </c>
      <c r="G23" s="1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5" t="str">
        <f>HYPERLINK("#'Input - Solid waste'!A1", "Solid waste")</f>
        <v>Solid waste</v>
      </c>
      <c r="D24" s="19" t="str" cm="1">
        <f t="array" ref="D24">Common_InputFunctions.Utility_DisplayArrayInTable(SourceData_Dairy.SourceData_Dairy_LiveweightCowsAndHeifers_Data(), Table_SourceData_Dairy_WjCowsHeifers[[#Headers],[Breed]], 0)</f>
        <v>Holstein-Friesian</v>
      </c>
      <c r="E24" s="19" cm="1">
        <f t="array" ref="E24">Common_InputFunctions.Utility_DisplayArrayInTable(SourceData_Dairy.SourceData_Dairy_LiveweightCowsAndHeifers_Data(), Table_SourceData_Dairy_WjCowsHeifers[[#Headers],[Breed]], 0)</f>
        <v>650</v>
      </c>
      <c r="F24" s="19" cm="1">
        <f t="array" ref="F24">Common_InputFunctions.Utility_DisplayArrayInTable(SourceData_Dairy.SourceData_Dairy_LiveweightCowsAndHeifers_Data(), Table_SourceData_Dairy_WjCowsHeifers[[#Headers],[Breed]], 0)</f>
        <v>450</v>
      </c>
      <c r="G24" s="19"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5" t="str">
        <f>HYPERLINK("#'Input - Manure sent off-site'!A1", "Manure sent off-site")</f>
        <v>Manure sent off-site</v>
      </c>
      <c r="D25" s="19" t="str" cm="1">
        <f t="array" ref="D25">Common_InputFunctions.Utility_DisplayArrayInTable(SourceData_Dairy.SourceData_Dairy_LiveweightCowsAndHeifers_Data(), Table_SourceData_Dairy_WjCowsHeifers[[#Headers],[Breed]], 0)</f>
        <v>Friesian crossbred</v>
      </c>
      <c r="E25" s="19" cm="1">
        <f t="array" ref="E25">Common_InputFunctions.Utility_DisplayArrayInTable(SourceData_Dairy.SourceData_Dairy_LiveweightCowsAndHeifers_Data(), Table_SourceData_Dairy_WjCowsHeifers[[#Headers],[Breed]], 0)</f>
        <v>500</v>
      </c>
      <c r="F25" s="19" cm="1">
        <f t="array" ref="F25">Common_InputFunctions.Utility_DisplayArrayInTable(SourceData_Dairy.SourceData_Dairy_LiveweightCowsAndHeifers_Data(), Table_SourceData_Dairy_WjCowsHeifers[[#Headers],[Breed]], 0)</f>
        <v>350</v>
      </c>
      <c r="G25" s="19" cm="1">
        <f t="array" ref="G25">Common_InputFunctions.Utility_DisplayArrayInTable(SourceData_Dairy.SourceData_Dairy_LiveweightCowsAndHeifers_Data(), Table_SourceData_Dairy_WjCowsHeifers[[#Headers],[Breed]], 0)</f>
        <v>145</v>
      </c>
      <c r="M25" s="1"/>
    </row>
    <row r="26" spans="1:13" ht="20.100000000000001" customHeight="1" x14ac:dyDescent="0.25">
      <c r="A26" s="5" t="str">
        <f>HYPERLINK("#'Input - Refrigerants'!A1", "Refrigerants")</f>
        <v>Refrigerants</v>
      </c>
      <c r="D26" s="19" t="str" cm="1">
        <f t="array" ref="D26">Common_InputFunctions.Utility_DisplayArrayInTable(SourceData_Dairy.SourceData_Dairy_LiveweightCowsAndHeifers_Data(), Table_SourceData_Dairy_WjCowsHeifers[[#Headers],[Breed]], 0)</f>
        <v>Jersey</v>
      </c>
      <c r="E26" s="19" cm="1">
        <f t="array" ref="E26">Common_InputFunctions.Utility_DisplayArrayInTable(SourceData_Dairy.SourceData_Dairy_LiveweightCowsAndHeifers_Data(), Table_SourceData_Dairy_WjCowsHeifers[[#Headers],[Breed]], 0)</f>
        <v>400</v>
      </c>
      <c r="F26" s="19" cm="1">
        <f t="array" ref="F26">Common_InputFunctions.Utility_DisplayArrayInTable(SourceData_Dairy.SourceData_Dairy_LiveweightCowsAndHeifers_Data(), Table_SourceData_Dairy_WjCowsHeifers[[#Headers],[Breed]], 0)</f>
        <v>275</v>
      </c>
      <c r="G26" s="19" cm="1">
        <f t="array" ref="G26">Common_InputFunctions.Utility_DisplayArrayInTable(SourceData_Dairy.SourceData_Dairy_LiveweightCowsAndHeifers_Data(), Table_SourceData_Dairy_WjCowsHeifers[[#Headers],[Breed]], 0)</f>
        <v>115</v>
      </c>
      <c r="M26" s="1"/>
    </row>
    <row r="27" spans="1:13" ht="20.100000000000001" customHeight="1" x14ac:dyDescent="0.25">
      <c r="A27" s="5" t="str">
        <f>HYPERLINK("#'Input - Data quality'!A1", "Data quality")</f>
        <v>Data quality</v>
      </c>
      <c r="D27" s="19" t="str" cm="1">
        <f t="array" ref="D27">Common_InputFunctions.Utility_DisplayArrayInTable(SourceData_Dairy.SourceData_Dairy_LiveweightCowsAndHeifers_Data(), Table_SourceData_Dairy_WjCowsHeifers[[#Headers],[Breed]], 0)</f>
        <v>Jersey crossbred</v>
      </c>
      <c r="E27" s="19" cm="1">
        <f t="array" ref="E27">Common_InputFunctions.Utility_DisplayArrayInTable(SourceData_Dairy.SourceData_Dairy_LiveweightCowsAndHeifers_Data(), Table_SourceData_Dairy_WjCowsHeifers[[#Headers],[Breed]], 0)</f>
        <v>450</v>
      </c>
      <c r="F27" s="19" cm="1">
        <f t="array" ref="F27">Common_InputFunctions.Utility_DisplayArrayInTable(SourceData_Dairy.SourceData_Dairy_LiveweightCowsAndHeifers_Data(), Table_SourceData_Dairy_WjCowsHeifers[[#Headers],[Breed]], 0)</f>
        <v>315</v>
      </c>
      <c r="G27" s="1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19" t="str" cm="1">
        <f t="array" ref="D28">Common_InputFunctions.Utility_DisplayArrayInTable(SourceData_Dairy.SourceData_Dairy_LiveweightCowsAndHeifers_Data(), Table_SourceData_Dairy_WjCowsHeifers[[#Headers],[Breed]], 0)</f>
        <v>Ayrshire</v>
      </c>
      <c r="E28" s="19" cm="1">
        <f t="array" ref="E28">Common_InputFunctions.Utility_DisplayArrayInTable(SourceData_Dairy.SourceData_Dairy_LiveweightCowsAndHeifers_Data(), Table_SourceData_Dairy_WjCowsHeifers[[#Headers],[Breed]], 0)</f>
        <v>540</v>
      </c>
      <c r="F28" s="19" cm="1">
        <f t="array" ref="F28">Common_InputFunctions.Utility_DisplayArrayInTable(SourceData_Dairy.SourceData_Dairy_LiveweightCowsAndHeifers_Data(), Table_SourceData_Dairy_WjCowsHeifers[[#Headers],[Breed]], 0)</f>
        <v>375</v>
      </c>
      <c r="G28" s="1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19" t="str" cm="1">
        <f t="array" ref="D29">Common_InputFunctions.Utility_DisplayArrayInTable(SourceData_Dairy.SourceData_Dairy_LiveweightCowsAndHeifers_Data(), Table_SourceData_Dairy_WjCowsHeifers[[#Headers],[Breed]], 0)</f>
        <v>Guernsey</v>
      </c>
      <c r="E29" s="19" cm="1">
        <f t="array" ref="E29">Common_InputFunctions.Utility_DisplayArrayInTable(SourceData_Dairy.SourceData_Dairy_LiveweightCowsAndHeifers_Data(), Table_SourceData_Dairy_WjCowsHeifers[[#Headers],[Breed]], 0)</f>
        <v>480</v>
      </c>
      <c r="F29" s="19" cm="1">
        <f t="array" ref="F29">Common_InputFunctions.Utility_DisplayArrayInTable(SourceData_Dairy.SourceData_Dairy_LiveweightCowsAndHeifers_Data(), Table_SourceData_Dairy_WjCowsHeifers[[#Headers],[Breed]], 0)</f>
        <v>335</v>
      </c>
      <c r="G29" s="19" cm="1">
        <f t="array" ref="G29">Common_InputFunctions.Utility_DisplayArrayInTable(SourceData_Dairy.SourceData_Dairy_LiveweightCowsAndHeifers_Data(), Table_SourceData_Dairy_WjCowsHeifers[[#Headers],[Breed]], 0)</f>
        <v>140</v>
      </c>
      <c r="M29" s="1"/>
    </row>
    <row r="30" spans="1:13" ht="20.100000000000001" customHeight="1" x14ac:dyDescent="0.25">
      <c r="A30" s="6" t="s">
        <v>2</v>
      </c>
      <c r="D30" s="19" t="str" cm="1">
        <f t="array" ref="D30">Common_InputFunctions.Utility_DisplayArrayInTable(SourceData_Dairy.SourceData_Dairy_LiveweightCowsAndHeifers_Data(), Table_SourceData_Dairy_WjCowsHeifers[[#Headers],[Breed]], 0)</f>
        <v>Brown Swiss</v>
      </c>
      <c r="E30" s="19" cm="1">
        <f t="array" ref="E30">Common_InputFunctions.Utility_DisplayArrayInTable(SourceData_Dairy.SourceData_Dairy_LiveweightCowsAndHeifers_Data(), Table_SourceData_Dairy_WjCowsHeifers[[#Headers],[Breed]], 0)</f>
        <v>600</v>
      </c>
      <c r="F30" s="19" cm="1">
        <f t="array" ref="F30">Common_InputFunctions.Utility_DisplayArrayInTable(SourceData_Dairy.SourceData_Dairy_LiveweightCowsAndHeifers_Data(), Table_SourceData_Dairy_WjCowsHeifers[[#Headers],[Breed]], 0)</f>
        <v>415</v>
      </c>
      <c r="G30" s="19" cm="1">
        <f t="array" ref="G30">Common_InputFunctions.Utility_DisplayArrayInTable(SourceData_Dairy.SourceData_Dairy_LiveweightCowsAndHeifers_Data(), Table_SourceData_Dairy_WjCowsHeifers[[#Headers],[Breed]], 0)</f>
        <v>170</v>
      </c>
      <c r="M30" s="1"/>
    </row>
    <row r="31" spans="1:13" ht="20.100000000000001" customHeight="1" x14ac:dyDescent="0.25">
      <c r="A31" s="5" t="str">
        <f>HYPERLINK("#'3.3.1.1-2 Enteric Methane'!A1", "3.3.1.1-2 Enteric methane")</f>
        <v>3.3.1.1-2 Enteric methane</v>
      </c>
      <c r="D31" s="19" t="str" cm="1">
        <f t="array" ref="D31">Common_InputFunctions.Utility_DisplayArrayInTable(SourceData_Dairy.SourceData_Dairy_LiveweightCowsAndHeifers_Data(), Table_SourceData_Dairy_WjCowsHeifers[[#Headers],[Breed]], 0)</f>
        <v>Illawarra/Aussie Red</v>
      </c>
      <c r="E31" s="19" cm="1">
        <f t="array" ref="E31">Common_InputFunctions.Utility_DisplayArrayInTable(SourceData_Dairy.SourceData_Dairy_LiveweightCowsAndHeifers_Data(), Table_SourceData_Dairy_WjCowsHeifers[[#Headers],[Breed]], 0)</f>
        <v>550</v>
      </c>
      <c r="F31" s="19" cm="1">
        <f t="array" ref="F31">Common_InputFunctions.Utility_DisplayArrayInTable(SourceData_Dairy.SourceData_Dairy_LiveweightCowsAndHeifers_Data(), Table_SourceData_Dairy_WjCowsHeifers[[#Headers],[Breed]], 0)</f>
        <v>375</v>
      </c>
      <c r="G31" s="19" cm="1">
        <f t="array" ref="G31">Common_InputFunctions.Utility_DisplayArrayInTable(SourceData_Dairy.SourceData_Dairy_LiveweightCowsAndHeifers_Data(), Table_SourceData_Dairy_WjCowsHeifers[[#Headers],[Breed]], 0)</f>
        <v>150</v>
      </c>
      <c r="M31" s="1"/>
    </row>
    <row r="32" spans="1:13" ht="20.100000000000001" customHeight="1" x14ac:dyDescent="0.25">
      <c r="A32" s="5" t="str">
        <f>HYPERLINK("#'4.3.1.1-2 Methane'!A1", "4.3.1.1-2 Manure methane")</f>
        <v>4.3.1.1-2 Manure methane</v>
      </c>
      <c r="M32" s="1"/>
    </row>
    <row r="33" spans="1:13" ht="20.100000000000001" customHeight="1" x14ac:dyDescent="0.25">
      <c r="A33" s="5" t="str">
        <f>HYPERLINK("#'4.3.1.3-4 Direct N20'!A1", "4.3.1.3-4 Direct N20")</f>
        <v>4.3.1.3-4 Direct N20</v>
      </c>
      <c r="M33" s="1"/>
    </row>
    <row r="34" spans="1:13" ht="20.100000000000001" customHeight="1" x14ac:dyDescent="0.25">
      <c r="A34" s="5" t="str">
        <f>HYPERLINK("#'4.3.1.5 Atmos deposition'!A1", "4.3.1.5 Atmos deposition")</f>
        <v>4.3.1.5 Atmos deposition</v>
      </c>
      <c r="D34" s="2" t="str" cm="1">
        <f t="array" ref="D34">SourceData_Dairy.SourceData_Dairy_LiveweightBulls_Title()</f>
        <v>Table A.1.3.2: Dairy cattle - Liveweight (kg) - Bulls (Wj)</v>
      </c>
      <c r="M34" s="1"/>
    </row>
    <row r="35" spans="1:13" ht="20.100000000000001" customHeight="1" x14ac:dyDescent="0.25">
      <c r="A35" s="5" t="str">
        <f>HYPERLINK("#'4.3.1.6-7 Leaching and runoff'!A1", "4.3.1.6-7 Leaching &amp; runoff")</f>
        <v>4.3.1.6-7 Leaching &amp; runoff</v>
      </c>
      <c r="D35" s="17" t="str" cm="1">
        <f t="array" ref="D35">SourceData_Dairy.SourceData_Dairy_LiveweightBulls_Source()</f>
        <v>VEERG 2026: Table A.1.3.2</v>
      </c>
      <c r="M35" s="1"/>
    </row>
    <row r="36" spans="1:13" ht="20.100000000000001" customHeight="1" x14ac:dyDescent="0.25">
      <c r="A36" s="5" t="str">
        <f>HYPERLINK("#'4.3.1.8 Manure applied to soils'!A1", "4.3.1.8 Manure applied to soils")</f>
        <v>4.3.1.8 Manure applied to soils</v>
      </c>
      <c r="D36" s="1" t="str" cm="1">
        <f t="array" ref="D36">SourceData_Dairy.SourceData_Dairy_LiveweightBulls_Variable()</f>
        <v>Wj</v>
      </c>
      <c r="M36" s="1"/>
    </row>
    <row r="37" spans="1:13" ht="20.100000000000001" customHeight="1" x14ac:dyDescent="0.25">
      <c r="A37" s="5" t="str">
        <f>HYPERLINK("#'4.3.1.9 Soil direct N2O'!A1", "4.3.1.9 Soil direct N2O")</f>
        <v>4.3.1.9 Soil direct N2O</v>
      </c>
      <c r="D37" s="9" t="str" cm="1">
        <f t="array" ref="D37">SourceData_Dairy.SourceData_Dairy_LiveweightBulls_Unit()</f>
        <v>kg</v>
      </c>
      <c r="M37" s="1"/>
    </row>
    <row r="38" spans="1:13" ht="20.100000000000001" customHeight="1" x14ac:dyDescent="0.25">
      <c r="A38" s="5" t="str">
        <f>HYPERLINK("#'4.3.1.10-11 Soil Atmos Dep'!A1", "4.3.1.10-11 Soil Atmos Deposition")</f>
        <v>4.3.1.10-11 Soil Atmos Deposition</v>
      </c>
      <c r="D38" s="19" t="s">
        <v>332</v>
      </c>
      <c r="E38" s="19" t="s">
        <v>628</v>
      </c>
      <c r="F38" s="19" t="s">
        <v>629</v>
      </c>
      <c r="M38" s="1"/>
    </row>
    <row r="39" spans="1:13" ht="20.100000000000001" customHeight="1" x14ac:dyDescent="0.25">
      <c r="A39" s="5" t="str">
        <f>HYPERLINK("#'4.3.1.12-13 Soil leach runoff'!A1", "4.3.1.12-13 Soil leach &amp; runoff")</f>
        <v>4.3.1.12-13 Soil leach &amp; runoff</v>
      </c>
      <c r="D39" s="19" t="str" cm="1">
        <f t="array" ref="D39">Common_InputFunctions.Utility_DisplayArrayInTable(SourceData_Dairy.SourceData_Dairy_LiveweightBulls_Data(), Table_SourceData_Dairy_WjBulls[[#Headers],[Breed]], 0)</f>
        <v>All breeds</v>
      </c>
      <c r="E39" s="19" cm="1">
        <f t="array" ref="E39">Common_InputFunctions.Utility_DisplayArrayInTable(SourceData_Dairy.SourceData_Dairy_LiveweightBulls_Data(), Table_SourceData_Dairy_WjBulls[[#Headers],[Breed]], 0)</f>
        <v>600</v>
      </c>
      <c r="F39" s="19" cm="1">
        <f t="array" ref="F39">Common_InputFunctions.Utility_DisplayArrayInTable(SourceData_Dairy.SourceData_Dairy_LiveweightBulls_Data(), Table_SourceData_Dairy_WjBulls[[#Headers],[Breed]], 0)</f>
        <v>225</v>
      </c>
      <c r="M39" s="1"/>
    </row>
    <row r="40" spans="1:13" ht="20.100000000000001" customHeight="1" x14ac:dyDescent="0.25">
      <c r="A40" s="5" t="str">
        <f>HYPERLINK("#'5.1.1.1-2 Inorganic fert N2O'!A1", "5.1.1.1-2 Inorganic fert N2O")</f>
        <v>5.1.1.1-2 Inorganic fert N2O</v>
      </c>
      <c r="M40" s="1"/>
    </row>
    <row r="41" spans="1:13" ht="20.100000000000001" customHeight="1" x14ac:dyDescent="0.25">
      <c r="A41" s="5" t="str">
        <f>HYPERLINK("#'5.1.1.3-4 Inorganic fert CO2'!A1", "5.1.1.3-4 Inorganic fert CO2")</f>
        <v>5.1.1.3-4 Inorganic fert CO2</v>
      </c>
      <c r="M41" s="1"/>
    </row>
    <row r="42" spans="1:13" ht="20.100000000000001" customHeight="1" x14ac:dyDescent="0.25">
      <c r="A42" s="5" t="str">
        <f>HYPERLINK("#'5.2.1.1-2 Organic Fert N2O'!A1", "5.2.1.1-2 Organic fert N2O")</f>
        <v>5.2.1.1-2 Organic fert N2O</v>
      </c>
      <c r="D42" s="2" t="str" cm="1">
        <f t="array" ref="D42">SourceData_Dairy.SourceData_Dairy_LiveweightGain_Title()</f>
        <v>Table A.1.3.3: Dairy cattle - Liveweight gain (kg) (LWGj)</v>
      </c>
      <c r="M42" s="1"/>
    </row>
    <row r="43" spans="1:13" ht="20.100000000000001" customHeight="1" x14ac:dyDescent="0.25">
      <c r="A43" s="5" t="str">
        <f>HYPERLINK("#'5.3.1.1-2 Lime CO2'!A1", "5.3.1.1-2 Lime CO2")</f>
        <v>5.3.1.1-2 Lime CO2</v>
      </c>
      <c r="D43" s="17" t="str" cm="1">
        <f t="array" ref="D43">SourceData_Dairy.SourceData_Dairy_LiveweightGain_Source()</f>
        <v>VEERG 2026: Table A.1.3.3</v>
      </c>
      <c r="M43" s="1"/>
    </row>
    <row r="44" spans="1:13" ht="20.100000000000001" customHeight="1" x14ac:dyDescent="0.25">
      <c r="A44" s="5" t="str">
        <f>HYPERLINK("#'5.4.1.1-4 Atmos deposition'!A1", "5.4.1.1-4 Atmos. deposition")</f>
        <v>5.4.1.1-4 Atmos. deposition</v>
      </c>
      <c r="D44" s="1" t="str" cm="1">
        <f t="array" ref="D44">SourceData_Dairy.SourceData_Dairy_LiveweightGain_Variable()</f>
        <v>LWGj</v>
      </c>
      <c r="M44" s="1"/>
    </row>
    <row r="45" spans="1:13" ht="20.100000000000001" customHeight="1" x14ac:dyDescent="0.25">
      <c r="A45" s="5" t="str">
        <f>HYPERLINK("#'5.5.1.1-2 Leaching and runoff'!A1", "5.5.1.1-2 Leaching &amp; runoff")</f>
        <v>5.5.1.1-2 Leaching &amp; runoff</v>
      </c>
      <c r="D45" s="9" t="str" cm="1">
        <f t="array" ref="D45">SourceData_Dairy.SourceData_Dairy_LiveweightGain_Unit()</f>
        <v>kg</v>
      </c>
      <c r="M45" s="1"/>
    </row>
    <row r="46" spans="1:13" ht="20.100000000000001" customHeight="1" x14ac:dyDescent="0.25">
      <c r="A46" s="5" t="str">
        <f>HYPERLINK("#'6.2.1.1-2 Pasture residue N2O'!A1", "6.2.1.1-2 Pasture residue N2O")</f>
        <v>6.2.1.1-2 Pasture residue N2O</v>
      </c>
      <c r="D46" s="19" t="s">
        <v>334</v>
      </c>
      <c r="E46" s="19" t="s">
        <v>626</v>
      </c>
      <c r="F46" s="19" t="s">
        <v>627</v>
      </c>
      <c r="G46" s="19" t="s">
        <v>628</v>
      </c>
      <c r="H46" s="19" t="s">
        <v>629</v>
      </c>
      <c r="M46" s="1"/>
    </row>
    <row r="47" spans="1:13" ht="20.100000000000001" customHeight="1" x14ac:dyDescent="0.25">
      <c r="A47" s="5" t="str">
        <f>HYPERLINK("#'6.3.1.1-2 Leach runoff pasture'!A1", "6.3.1.1-2 Leach &amp; runoff (pasture)")</f>
        <v>6.3.1.1-2 Leach &amp; runoff (pasture)</v>
      </c>
      <c r="D47" s="19" cm="1">
        <f t="array" ref="D47">Common_InputFunctions.Utility_DisplayArrayInTable(SourceData_Dairy.SourceData_Dairy_LiveweightGain_Data(), Table_SourceData_Dairy_LWGj[[#Headers],[Milking cows]], 0)</f>
        <v>1.6E-2</v>
      </c>
      <c r="E47" s="19" cm="1">
        <f t="array" ref="E47">Common_InputFunctions.Utility_DisplayArrayInTable(SourceData_Dairy.SourceData_Dairy_LiveweightGain_Data(), Table_SourceData_Dairy_LWGj[[#Headers],[Milking cows]], 0)</f>
        <v>0.6</v>
      </c>
      <c r="F47" s="19" cm="1">
        <f t="array" ref="F47">Common_InputFunctions.Utility_DisplayArrayInTable(SourceData_Dairy.SourceData_Dairy_LiveweightGain_Data(), Table_SourceData_Dairy_LWGj[[#Headers],[Milking cows]], 0)</f>
        <v>0.56999999999999995</v>
      </c>
      <c r="G47" s="19" cm="1">
        <f t="array" ref="G47">Common_InputFunctions.Utility_DisplayArrayInTable(SourceData_Dairy.SourceData_Dairy_LiveweightGain_Data(), Table_SourceData_Dairy_LWGj[[#Headers],[Milking cows]], 0)</f>
        <v>0.1</v>
      </c>
      <c r="H47" s="19" cm="1">
        <f t="array" ref="H47">Common_InputFunctions.Utility_DisplayArrayInTable(SourceData_Dairy.SourceData_Dairy_LiveweightGain_Data(), Table_SourceData_Dairy_LWGj[[#Headers],[Milking cows]], 0)</f>
        <v>0.8</v>
      </c>
      <c r="M47" s="1"/>
    </row>
    <row r="48" spans="1:13" ht="20.100000000000001" customHeight="1" x14ac:dyDescent="0.25">
      <c r="A48" s="5" t="str">
        <f>HYPERLINK("#'8.1.1.1-2 Transport fuel'!A1", "8.1.1.1-2 Transport fuel")</f>
        <v>8.1.1.1-2 Transport fuel</v>
      </c>
      <c r="M48" s="1"/>
    </row>
    <row r="49" spans="1:13" ht="20.100000000000001" customHeight="1" x14ac:dyDescent="0.25">
      <c r="A49" s="5" t="str">
        <f>HYPERLINK("#'8.2.1.1-2 Stationary fuel'!A1", "8.2.1.1-2 Stationary fuel")</f>
        <v>8.2.1.1-2 Stationary fuel</v>
      </c>
      <c r="M49" s="1"/>
    </row>
    <row r="50" spans="1:13" ht="20.100000000000001" customHeight="1" x14ac:dyDescent="0.25">
      <c r="A50" s="5" t="str">
        <f>HYPERLINK("#'9.1.1.1-2 Refrigerant use'!A1", "9.1.1.1-2 Refrigerant use")</f>
        <v>9.1.1.1-2 Refrigerant use</v>
      </c>
      <c r="D50" s="2" t="str" cm="1">
        <f t="array" ref="D50">SourceData_Dairy.SourceData_Dairy_ReferenceWeights_Title()</f>
        <v>Table A.1.3.4: Dairy cattle - Reference weights (kg) (WRj)</v>
      </c>
      <c r="M50" s="1"/>
    </row>
    <row r="51" spans="1:13" ht="20.100000000000001" customHeight="1" x14ac:dyDescent="0.25">
      <c r="A51" s="5" t="str">
        <f>HYPERLINK("#'10.1.1-2 Solid waste treatment'!A1", "10.1.1.1-2 Solid waste")</f>
        <v>10.1.1.1-2 Solid waste</v>
      </c>
      <c r="D51" s="17" t="str" cm="1">
        <f t="array" ref="D51">SourceData_Dairy.SourceData_Dairy_ReferenceWeights_Source()</f>
        <v>VEERG 2026: Table A.1.3.4</v>
      </c>
      <c r="M51" s="1"/>
    </row>
    <row r="52" spans="1:13" ht="20.100000000000001" customHeight="1" x14ac:dyDescent="0.25">
      <c r="A52" s="5" t="str">
        <f>HYPERLINK("#'14.1.1-2 Purchased electricity'!A1", "14.1.1-2 Purchased electricity")</f>
        <v>14.1.1-2 Purchased electricity</v>
      </c>
      <c r="D52" s="1" t="str" cm="1">
        <f t="array" ref="D52">SourceData_Dairy.SourceData_Dairy_ReferenceWeights_Variable()</f>
        <v>WRj</v>
      </c>
      <c r="M52" s="1"/>
    </row>
    <row r="53" spans="1:13" ht="20.100000000000001" customHeight="1" x14ac:dyDescent="0.25">
      <c r="A53" s="5" t="str">
        <f>HYPERLINK("#'15 Scope 3'!A1", "15 Scope 3")</f>
        <v>15 Scope 3</v>
      </c>
      <c r="D53" s="9" t="str" cm="1">
        <f t="array" ref="D53">SourceData_Dairy.SourceData_Dairy_ReferenceWeights_Unit()</f>
        <v>kg</v>
      </c>
      <c r="M53" s="1"/>
    </row>
    <row r="54" spans="1:13" ht="20.100000000000001" customHeight="1" x14ac:dyDescent="0.25">
      <c r="A54" s="5" t="str">
        <f>HYPERLINK("#'Calcs - Manure sent off-site'!A1", "Calcs - Manure sent off-site")</f>
        <v>Calcs - Manure sent off-site</v>
      </c>
      <c r="D54" s="142" t="s">
        <v>334</v>
      </c>
      <c r="E54" s="142" t="s">
        <v>626</v>
      </c>
      <c r="F54" s="142" t="s">
        <v>627</v>
      </c>
      <c r="G54" s="142" t="s">
        <v>628</v>
      </c>
      <c r="H54" s="142" t="s">
        <v>629</v>
      </c>
      <c r="M54" s="1"/>
    </row>
    <row r="55" spans="1: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A57" s="82" t="s">
        <v>1</v>
      </c>
      <c r="M57" s="1"/>
    </row>
    <row r="58" spans="1:13" ht="20.100000000000001" customHeight="1" x14ac:dyDescent="0.25">
      <c r="A58" s="83" t="str">
        <f>HYPERLINK("#'Constants - Dairy'!A1", "Constants - Dairy")</f>
        <v>Constants - Dairy</v>
      </c>
      <c r="D58" s="2" t="str" cm="1">
        <f t="array" ref="D58">SourceData_Dairy.SourceData_Dairy_PreWeanedCalves_Title()</f>
        <v>Table A.1.3.5: Dairy cattle - Data for pre - weaned calves</v>
      </c>
      <c r="M58" s="1"/>
    </row>
    <row r="59" spans="1:13" ht="20.100000000000001" customHeight="1" x14ac:dyDescent="0.25">
      <c r="A59" s="5" t="str">
        <f>HYPERLINK("#'Constants - Ag Residue'!A1", "Constants - Ag residue")</f>
        <v>Constants - Ag residue</v>
      </c>
      <c r="D59" s="17" t="str" cm="1">
        <f t="array" ref="D59">SourceData_Dairy.SourceData_Dairy_PreWeanedCalves_Source()</f>
        <v>VEERG 2026: Table A.1.3.5</v>
      </c>
      <c r="M59" s="1"/>
    </row>
    <row r="60" spans="1:13" ht="20.100000000000001" customHeight="1" x14ac:dyDescent="0.25">
      <c r="A60" s="5" t="str">
        <f>HYPERLINK("#'Constants - Common Livestock'!A1", "Constants - Common Livestock")</f>
        <v>Constants - Common Livestock</v>
      </c>
      <c r="D60" s="1" t="str" cm="1">
        <f t="array" ref="D60">SourceData_Dairy.SourceData_Dairy_PreWeanedCalves_Variable()</f>
        <v>VSj=3,5; NPWj=3,5</v>
      </c>
      <c r="M60" s="1"/>
    </row>
    <row r="61" spans="1:13" ht="20.100000000000001" customHeight="1" x14ac:dyDescent="0.25">
      <c r="A61" s="5" t="str">
        <f>HYPERLINK("#'Constants - Electricity'!A1", "Constants - Electricity")</f>
        <v>Constants - Electricity</v>
      </c>
      <c r="D61" s="9" t="str" cm="1">
        <f t="array" ref="D61">SourceData_Dairy.SourceData_Dairy_PreWeanedCalves_Unit()</f>
        <v>kg/day</v>
      </c>
      <c r="M61" s="1"/>
    </row>
    <row r="62" spans="1:13" ht="20.100000000000001" customHeight="1" x14ac:dyDescent="0.25">
      <c r="A62" s="5" t="str">
        <f>HYPERLINK("#'Constants - Fertiliser'!A1", "Constants - Fertiliser")</f>
        <v>Constants - Fertiliser</v>
      </c>
      <c r="D62" s="19" t="s">
        <v>630</v>
      </c>
      <c r="E62" s="19" t="s">
        <v>631</v>
      </c>
      <c r="F62" s="19" t="s">
        <v>632</v>
      </c>
      <c r="G62" s="19" t="s">
        <v>633</v>
      </c>
      <c r="M62" s="1"/>
    </row>
    <row r="63" spans="1:13" ht="20.100000000000001" customHeight="1" x14ac:dyDescent="0.25">
      <c r="A63" s="5" t="str">
        <f>HYPERLINK("#'Constants - Fuel'!A1", "Constants - Fuel")</f>
        <v>Constants - Fuel</v>
      </c>
      <c r="D63" s="19" t="str" cm="1">
        <f t="array" ref="D63">Common_InputFunctions.Utility_DisplayArrayInTable(SourceData_Dairy.SourceData_Dairy_PreWeanedCalves_Data(), Table_SourceData_Dairy_DataPreWeaned[[#Headers],[Animal class j]], -1)</f>
        <v>Heifers&lt;1</v>
      </c>
      <c r="E63" s="19" cm="1">
        <f t="array" ref="E63">Common_InputFunctions.Utility_DisplayArrayInTable(SourceData_Dairy.SourceData_Dairy_PreWeanedCalves_Data(), Table_SourceData_Dairy_DataPreWeaned[[#Headers],[Animal class j]], -1)</f>
        <v>1.7600000000000001E-2</v>
      </c>
      <c r="F63" s="19" cm="1">
        <f t="array" ref="F63">Common_InputFunctions.Utility_DisplayArrayInTable(SourceData_Dairy.SourceData_Dairy_PreWeanedCalves_Data(), Table_SourceData_Dairy_DataPreWeaned[[#Headers],[Animal class j]], -1)</f>
        <v>0.26850000000000002</v>
      </c>
      <c r="G63" s="1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A64" s="5" t="str">
        <f>HYPERLINK("#'Constants - Scope 3'!A1", "Constants - Scope 3")</f>
        <v>Constants - Scope 3</v>
      </c>
      <c r="D64" s="19" t="str" cm="1">
        <f t="array" ref="D64">Common_InputFunctions.Utility_DisplayArrayInTable(SourceData_Dairy.SourceData_Dairy_PreWeanedCalves_Data(), Table_SourceData_Dairy_DataPreWeaned[[#Headers],[Animal class j]], -1)</f>
        <v>Bulls&lt;1</v>
      </c>
      <c r="E64" s="19" cm="1">
        <f t="array" ref="E64">Common_InputFunctions.Utility_DisplayArrayInTable(SourceData_Dairy.SourceData_Dairy_PreWeanedCalves_Data(), Table_SourceData_Dairy_DataPreWeaned[[#Headers],[Animal class j]], -1)</f>
        <v>2.0400000000000001E-2</v>
      </c>
      <c r="F64" s="19" cm="1">
        <f t="array" ref="F64">Common_InputFunctions.Utility_DisplayArrayInTable(SourceData_Dairy.SourceData_Dairy_PreWeanedCalves_Data(), Table_SourceData_Dairy_DataPreWeaned[[#Headers],[Animal class j]], -1)</f>
        <v>0.30030000000000001</v>
      </c>
      <c r="G64" s="1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A65" s="5" t="str">
        <f>HYPERLINK("#'Constants - Common'!A1", "Constants - Common")</f>
        <v>Constants - Common</v>
      </c>
      <c r="M65" s="1"/>
    </row>
    <row r="66" spans="1:22" ht="20.100000000000001" customHeight="1" x14ac:dyDescent="0.25">
      <c r="A66" s="5" t="str">
        <f>HYPERLINK("#'Constants - Refrigerants'!A1", "Constants - Refrigerants")</f>
        <v>Constants - Refrigerants</v>
      </c>
      <c r="M66" s="1"/>
    </row>
    <row r="67" spans="1:22" ht="20.100000000000001" customHeight="1" x14ac:dyDescent="0.25">
      <c r="A67" s="5" t="str">
        <f>HYPERLINK("#'Constants - Solid Waste'!A1", "Constants - Solid Waste")</f>
        <v>Constants - Solid Waste</v>
      </c>
      <c r="D67" s="2" t="str" cm="1">
        <f t="array" ref="D67">SourceData_Dairy.SourceData_Dairy_MCF_Title()</f>
        <v>Table A.1.3.6: Dairy cattle - Dairy cattle - MCFs (fraction) (MCFjm)</v>
      </c>
      <c r="M67" s="1"/>
    </row>
    <row r="68" spans="1:22" ht="20.100000000000001" customHeight="1" x14ac:dyDescent="0.25">
      <c r="A68" s="5" t="str">
        <f>HYPERLINK("#'Acknowledgements'!A1", "Acknowledgements")</f>
        <v>Acknowledgements</v>
      </c>
      <c r="D68" s="17"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9" t="str" cm="1">
        <f t="array" ref="D70">SourceData_Dairy.SourceData_Dairy_MCF_Unit()</f>
        <v>fraction</v>
      </c>
      <c r="M70" s="1"/>
    </row>
    <row r="71" spans="1:22" ht="20.100000000000001" customHeight="1" x14ac:dyDescent="0.25">
      <c r="D71" s="25" t="str" cm="1">
        <f t="array" ref="D71">SourceData_Dairy.SourceData_Dairy_MCF_Variation()</f>
        <v>VARIATION OF SOURCE: Added 'NIR reference' column to aid lookup</v>
      </c>
      <c r="M71" s="1"/>
      <c r="V71" s="1"/>
    </row>
    <row r="72" spans="1:22" ht="20.100000000000001" customHeight="1" x14ac:dyDescent="0.25">
      <c r="D72" s="19" t="s">
        <v>634</v>
      </c>
      <c r="E72" s="19" t="s">
        <v>635</v>
      </c>
      <c r="F72" s="19" t="s">
        <v>636</v>
      </c>
      <c r="G72" s="19" t="s">
        <v>637</v>
      </c>
      <c r="H72" s="19" t="s">
        <v>638</v>
      </c>
      <c r="I72" s="19" t="s">
        <v>639</v>
      </c>
      <c r="J72" s="19" t="s">
        <v>640</v>
      </c>
      <c r="K72" s="19" t="s">
        <v>641</v>
      </c>
      <c r="L72" s="19" t="s">
        <v>642</v>
      </c>
      <c r="M72" s="19" t="s">
        <v>643</v>
      </c>
      <c r="V72" s="1"/>
    </row>
    <row r="73" spans="1:22" ht="20.100000000000001" customHeight="1" x14ac:dyDescent="0.25">
      <c r="D73" s="19" t="str" cm="1">
        <f t="array" ref="D73">Common_InputFunctions.Utility_DisplayArrayInTable(SourceData_Dairy.SourceData_Dairy_MCF_Data(), Table_SourceData_Dairy_MCFjm[[#Headers],[MMS m]], 0)</f>
        <v>Pasture</v>
      </c>
      <c r="E73" s="19" cm="1">
        <f t="array" ref="E73">Common_InputFunctions.Utility_DisplayArrayInTable(SourceData_Dairy.SourceData_Dairy_MCF_Data(), Table_SourceData_Dairy_MCFjm[[#Headers],[MMS m]], 0)</f>
        <v>0.01</v>
      </c>
      <c r="F73" s="19" cm="1">
        <f t="array" ref="F73">Common_InputFunctions.Utility_DisplayArrayInTable(SourceData_Dairy.SourceData_Dairy_MCF_Data(), Table_SourceData_Dairy_MCFjm[[#Headers],[MMS m]], 0)</f>
        <v>0.01</v>
      </c>
      <c r="G73" s="19" cm="1">
        <f t="array" ref="G73">Common_InputFunctions.Utility_DisplayArrayInTable(SourceData_Dairy.SourceData_Dairy_MCF_Data(), Table_SourceData_Dairy_MCFjm[[#Headers],[MMS m]], 0)</f>
        <v>0.02</v>
      </c>
      <c r="H73" s="19" cm="1">
        <f t="array" ref="H73">Common_InputFunctions.Utility_DisplayArrayInTable(SourceData_Dairy.SourceData_Dairy_MCF_Data(), Table_SourceData_Dairy_MCFjm[[#Headers],[MMS m]], 0)</f>
        <v>0.01</v>
      </c>
      <c r="I73" s="19" cm="1">
        <f t="array" ref="I73">Common_InputFunctions.Utility_DisplayArrayInTable(SourceData_Dairy.SourceData_Dairy_MCF_Data(), Table_SourceData_Dairy_MCFjm[[#Headers],[MMS m]], 0)</f>
        <v>0.01</v>
      </c>
      <c r="J73" s="19" cm="1">
        <f t="array" ref="J73">Common_InputFunctions.Utility_DisplayArrayInTable(SourceData_Dairy.SourceData_Dairy_MCF_Data(), Table_SourceData_Dairy_MCFjm[[#Headers],[MMS m]], 0)</f>
        <v>0.01</v>
      </c>
      <c r="K73" s="19" cm="1">
        <f t="array" ref="K73">Common_InputFunctions.Utility_DisplayArrayInTable(SourceData_Dairy.SourceData_Dairy_MCF_Data(), Table_SourceData_Dairy_MCFjm[[#Headers],[MMS m]], 0)</f>
        <v>0.01</v>
      </c>
      <c r="L73" s="19" cm="1">
        <f t="array" ref="L73">Common_InputFunctions.Utility_DisplayArrayInTable(SourceData_Dairy.SourceData_Dairy_MCF_Data(), Table_SourceData_Dairy_MCFjm[[#Headers],[MMS m]], 0)</f>
        <v>0.01</v>
      </c>
      <c r="M73" s="1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19" cm="1">
        <f t="array" ref="E74">Common_InputFunctions.Utility_DisplayArrayInTable(SourceData_Dairy.SourceData_Dairy_MCF_Data(), Table_SourceData_Dairy_MCFjm[[#Headers],[MMS m]], 0)</f>
        <v>0.72</v>
      </c>
      <c r="F74" s="19" cm="1">
        <f t="array" ref="F74">Common_InputFunctions.Utility_DisplayArrayInTable(SourceData_Dairy.SourceData_Dairy_MCF_Data(), Table_SourceData_Dairy_MCFjm[[#Headers],[MMS m]], 0)</f>
        <v>0.76</v>
      </c>
      <c r="G74" s="19" cm="1">
        <f t="array" ref="G74">Common_InputFunctions.Utility_DisplayArrayInTable(SourceData_Dairy.SourceData_Dairy_MCF_Data(), Table_SourceData_Dairy_MCFjm[[#Headers],[MMS m]], 0)</f>
        <v>0.8</v>
      </c>
      <c r="H74" s="19" cm="1">
        <f t="array" ref="H74">Common_InputFunctions.Utility_DisplayArrayInTable(SourceData_Dairy.SourceData_Dairy_MCF_Data(), Table_SourceData_Dairy_MCFjm[[#Headers],[MMS m]], 0)</f>
        <v>0.78</v>
      </c>
      <c r="I74" s="19" cm="1">
        <f t="array" ref="I74">Common_InputFunctions.Utility_DisplayArrayInTable(SourceData_Dairy.SourceData_Dairy_MCF_Data(), Table_SourceData_Dairy_MCFjm[[#Headers],[MMS m]], 0)</f>
        <v>0.74</v>
      </c>
      <c r="J74" s="19" cm="1">
        <f t="array" ref="J74">Common_InputFunctions.Utility_DisplayArrayInTable(SourceData_Dairy.SourceData_Dairy_MCF_Data(), Table_SourceData_Dairy_MCFjm[[#Headers],[MMS m]], 0)</f>
        <v>0.69</v>
      </c>
      <c r="K74" s="19" cm="1">
        <f t="array" ref="K74">Common_InputFunctions.Utility_DisplayArrayInTable(SourceData_Dairy.SourceData_Dairy_MCF_Data(), Table_SourceData_Dairy_MCFjm[[#Headers],[MMS m]], 0)</f>
        <v>0.73</v>
      </c>
      <c r="L74" s="19" cm="1">
        <f t="array" ref="L74">Common_InputFunctions.Utility_DisplayArrayInTable(SourceData_Dairy.SourceData_Dairy_MCF_Data(), Table_SourceData_Dairy_MCFjm[[#Headers],[MMS m]], 0)</f>
        <v>0.76</v>
      </c>
      <c r="M74" s="1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19" cm="1">
        <f t="array" ref="E75">Common_InputFunctions.Utility_DisplayArrayInTable(SourceData_Dairy.SourceData_Dairy_MCF_Data(), Table_SourceData_Dairy_MCFjm[[#Headers],[MMS m]], 0)</f>
        <v>5.0000000000000001E-3</v>
      </c>
      <c r="F75" s="19" cm="1">
        <f t="array" ref="F75">Common_InputFunctions.Utility_DisplayArrayInTable(SourceData_Dairy.SourceData_Dairy_MCF_Data(), Table_SourceData_Dairy_MCFjm[[#Headers],[MMS m]], 0)</f>
        <v>5.0000000000000001E-3</v>
      </c>
      <c r="G75" s="19" cm="1">
        <f t="array" ref="G75">Common_InputFunctions.Utility_DisplayArrayInTable(SourceData_Dairy.SourceData_Dairy_MCF_Data(), Table_SourceData_Dairy_MCFjm[[#Headers],[MMS m]], 0)</f>
        <v>0.01</v>
      </c>
      <c r="H75" s="19" cm="1">
        <f t="array" ref="H75">Common_InputFunctions.Utility_DisplayArrayInTable(SourceData_Dairy.SourceData_Dairy_MCF_Data(), Table_SourceData_Dairy_MCFjm[[#Headers],[MMS m]], 0)</f>
        <v>5.0000000000000001E-3</v>
      </c>
      <c r="I75" s="19" cm="1">
        <f t="array" ref="I75">Common_InputFunctions.Utility_DisplayArrayInTable(SourceData_Dairy.SourceData_Dairy_MCF_Data(), Table_SourceData_Dairy_MCFjm[[#Headers],[MMS m]], 0)</f>
        <v>5.0000000000000001E-3</v>
      </c>
      <c r="J75" s="19" cm="1">
        <f t="array" ref="J75">Common_InputFunctions.Utility_DisplayArrayInTable(SourceData_Dairy.SourceData_Dairy_MCF_Data(), Table_SourceData_Dairy_MCFjm[[#Headers],[MMS m]], 0)</f>
        <v>1E-3</v>
      </c>
      <c r="K75" s="19" cm="1">
        <f t="array" ref="K75">Common_InputFunctions.Utility_DisplayArrayInTable(SourceData_Dairy.SourceData_Dairy_MCF_Data(), Table_SourceData_Dairy_MCFjm[[#Headers],[MMS m]], 0)</f>
        <v>5.0000000000000001E-3</v>
      </c>
      <c r="L75" s="19" cm="1">
        <f t="array" ref="L75">Common_InputFunctions.Utility_DisplayArrayInTable(SourceData_Dairy.SourceData_Dairy_MCF_Data(), Table_SourceData_Dairy_MCFjm[[#Headers],[MMS m]], 0)</f>
        <v>5.0000000000000001E-3</v>
      </c>
      <c r="M75" s="1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19" cm="1">
        <f t="array" ref="E76">Common_InputFunctions.Utility_DisplayArrayInTable(SourceData_Dairy.SourceData_Dairy_MCF_Data(), Table_SourceData_Dairy_MCFjm[[#Headers],[MMS m]], 0)</f>
        <v>0.15</v>
      </c>
      <c r="F76" s="19" cm="1">
        <f t="array" ref="F76">Common_InputFunctions.Utility_DisplayArrayInTable(SourceData_Dairy.SourceData_Dairy_MCF_Data(), Table_SourceData_Dairy_MCFjm[[#Headers],[MMS m]], 0)</f>
        <v>0.18</v>
      </c>
      <c r="G76" s="19" cm="1">
        <f t="array" ref="G76">Common_InputFunctions.Utility_DisplayArrayInTable(SourceData_Dairy.SourceData_Dairy_MCF_Data(), Table_SourceData_Dairy_MCFjm[[#Headers],[MMS m]], 0)</f>
        <v>0.5</v>
      </c>
      <c r="H76" s="19" cm="1">
        <f t="array" ref="H76">Common_InputFunctions.Utility_DisplayArrayInTable(SourceData_Dairy.SourceData_Dairy_MCF_Data(), Table_SourceData_Dairy_MCFjm[[#Headers],[MMS m]], 0)</f>
        <v>0.24</v>
      </c>
      <c r="I76" s="19" cm="1">
        <f t="array" ref="I76">Common_InputFunctions.Utility_DisplayArrayInTable(SourceData_Dairy.SourceData_Dairy_MCF_Data(), Table_SourceData_Dairy_MCFjm[[#Headers],[MMS m]], 0)</f>
        <v>0.17</v>
      </c>
      <c r="J76" s="19" cm="1">
        <f t="array" ref="J76">Common_InputFunctions.Utility_DisplayArrayInTable(SourceData_Dairy.SourceData_Dairy_MCF_Data(), Table_SourceData_Dairy_MCFjm[[#Headers],[MMS m]], 0)</f>
        <v>0.13</v>
      </c>
      <c r="K76" s="19" cm="1">
        <f t="array" ref="K76">Common_InputFunctions.Utility_DisplayArrayInTable(SourceData_Dairy.SourceData_Dairy_MCF_Data(), Table_SourceData_Dairy_MCFjm[[#Headers],[MMS m]], 0)</f>
        <v>0.17</v>
      </c>
      <c r="L76" s="19" cm="1">
        <f t="array" ref="L76">Common_InputFunctions.Utility_DisplayArrayInTable(SourceData_Dairy.SourceData_Dairy_MCF_Data(), Table_SourceData_Dairy_MCFjm[[#Headers],[MMS m]], 0)</f>
        <v>0.18</v>
      </c>
      <c r="M76" s="1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19" cm="1">
        <f t="array" ref="E77">Common_InputFunctions.Utility_DisplayArrayInTable(SourceData_Dairy.SourceData_Dairy_MCF_Data(), Table_SourceData_Dairy_MCFjm[[#Headers],[MMS m]], 0)</f>
        <v>0.02</v>
      </c>
      <c r="F77" s="19" cm="1">
        <f t="array" ref="F77">Common_InputFunctions.Utility_DisplayArrayInTable(SourceData_Dairy.SourceData_Dairy_MCF_Data(), Table_SourceData_Dairy_MCFjm[[#Headers],[MMS m]], 0)</f>
        <v>0.02</v>
      </c>
      <c r="G77" s="19" cm="1">
        <f t="array" ref="G77">Common_InputFunctions.Utility_DisplayArrayInTable(SourceData_Dairy.SourceData_Dairy_MCF_Data(), Table_SourceData_Dairy_MCFjm[[#Headers],[MMS m]], 0)</f>
        <v>0.02</v>
      </c>
      <c r="H77" s="19" cm="1">
        <f t="array" ref="H77">Common_InputFunctions.Utility_DisplayArrayInTable(SourceData_Dairy.SourceData_Dairy_MCF_Data(), Table_SourceData_Dairy_MCFjm[[#Headers],[MMS m]], 0)</f>
        <v>0.02</v>
      </c>
      <c r="I77" s="19" cm="1">
        <f t="array" ref="I77">Common_InputFunctions.Utility_DisplayArrayInTable(SourceData_Dairy.SourceData_Dairy_MCF_Data(), Table_SourceData_Dairy_MCFjm[[#Headers],[MMS m]], 0)</f>
        <v>0.02</v>
      </c>
      <c r="J77" s="19" cm="1">
        <f t="array" ref="J77">Common_InputFunctions.Utility_DisplayArrayInTable(SourceData_Dairy.SourceData_Dairy_MCF_Data(), Table_SourceData_Dairy_MCFjm[[#Headers],[MMS m]], 0)</f>
        <v>0.02</v>
      </c>
      <c r="K77" s="19" cm="1">
        <f t="array" ref="K77">Common_InputFunctions.Utility_DisplayArrayInTable(SourceData_Dairy.SourceData_Dairy_MCF_Data(), Table_SourceData_Dairy_MCFjm[[#Headers],[MMS m]], 0)</f>
        <v>0.02</v>
      </c>
      <c r="L77" s="19" cm="1">
        <f t="array" ref="L77">Common_InputFunctions.Utility_DisplayArrayInTable(SourceData_Dairy.SourceData_Dairy_MCF_Data(), Table_SourceData_Dairy_MCFjm[[#Headers],[MMS m]], 0)</f>
        <v>0.02</v>
      </c>
      <c r="M77" s="1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19" cm="1">
        <f t="array" ref="E78">Common_InputFunctions.Utility_DisplayArrayInTable(SourceData_Dairy.SourceData_Dairy_MCF_Data(), Table_SourceData_Dairy_MCFjm[[#Headers],[MMS m]], 0)</f>
        <v>0</v>
      </c>
      <c r="F78" s="19" cm="1">
        <f t="array" ref="F78">Common_InputFunctions.Utility_DisplayArrayInTable(SourceData_Dairy.SourceData_Dairy_MCF_Data(), Table_SourceData_Dairy_MCFjm[[#Headers],[MMS m]], 0)</f>
        <v>0</v>
      </c>
      <c r="G78" s="19" cm="1">
        <f t="array" ref="G78">Common_InputFunctions.Utility_DisplayArrayInTable(SourceData_Dairy.SourceData_Dairy_MCF_Data(), Table_SourceData_Dairy_MCFjm[[#Headers],[MMS m]], 0)</f>
        <v>0</v>
      </c>
      <c r="H78" s="19" cm="1">
        <f t="array" ref="H78">Common_InputFunctions.Utility_DisplayArrayInTable(SourceData_Dairy.SourceData_Dairy_MCF_Data(), Table_SourceData_Dairy_MCFjm[[#Headers],[MMS m]], 0)</f>
        <v>0</v>
      </c>
      <c r="I78" s="19" cm="1">
        <f t="array" ref="I78">Common_InputFunctions.Utility_DisplayArrayInTable(SourceData_Dairy.SourceData_Dairy_MCF_Data(), Table_SourceData_Dairy_MCFjm[[#Headers],[MMS m]], 0)</f>
        <v>0</v>
      </c>
      <c r="J78" s="19" cm="1">
        <f t="array" ref="J78">Common_InputFunctions.Utility_DisplayArrayInTable(SourceData_Dairy.SourceData_Dairy_MCF_Data(), Table_SourceData_Dairy_MCFjm[[#Headers],[MMS m]], 0)</f>
        <v>0</v>
      </c>
      <c r="K78" s="19" cm="1">
        <f t="array" ref="K78">Common_InputFunctions.Utility_DisplayArrayInTable(SourceData_Dairy.SourceData_Dairy_MCF_Data(), Table_SourceData_Dairy_MCFjm[[#Headers],[MMS m]], 0)</f>
        <v>0</v>
      </c>
      <c r="L78" s="19" cm="1">
        <f t="array" ref="L78">Common_InputFunctions.Utility_DisplayArrayInTable(SourceData_Dairy.SourceData_Dairy_MCF_Data(), Table_SourceData_Dairy_MCFjm[[#Headers],[MMS m]], 0)</f>
        <v>0</v>
      </c>
      <c r="M78" s="19" t="str" cm="1">
        <f t="array" ref="M78">Common_InputFunctions.Utility_DisplayArrayInTable(SourceData_Dairy.SourceData_Dairy_MCF_Data(), Table_SourceData_Dairy_MCFjm[[#Headers],[MMS m]], 0)</f>
        <v>Direct application</v>
      </c>
    </row>
    <row r="79" spans="1:22" ht="20.100000000000001" customHeight="1" x14ac:dyDescent="0.25">
      <c r="M79" s="1"/>
    </row>
    <row r="80" spans="1:22" ht="20.100000000000001" customHeight="1" x14ac:dyDescent="0.25">
      <c r="M80" s="1"/>
    </row>
    <row r="81" spans="4:22" ht="20.100000000000001" customHeight="1" x14ac:dyDescent="0.25">
      <c r="D81" s="2" t="str" cm="1">
        <f t="array" ref="D81">SourceData_Dairy.SourceData_Dairy_NitrousOxideEFsAndFracGASM_Title()</f>
        <v>Table A.1.3.7: Dairy cattle - Nitrous oxide EFs and fraction of N volatilised by MMS</v>
      </c>
      <c r="M81" s="1"/>
    </row>
    <row r="82" spans="4:22" ht="20.100000000000001" customHeight="1" x14ac:dyDescent="0.25">
      <c r="D82" s="17"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9" t="str" cm="1">
        <f t="array" ref="D84">SourceData_Dairy.SourceData_Dairy_NitrousOxideEFsAndFracGASM_Unit()</f>
        <v>kg N2O-N/kg N excreted</v>
      </c>
      <c r="M84" s="1"/>
    </row>
    <row r="85" spans="4:22" ht="20.100000000000001" customHeight="1" x14ac:dyDescent="0.25">
      <c r="D85" s="25" t="str" cm="1">
        <f t="array" ref="D85">SourceData_Dairy.SourceData_Dairy_NitrousOxideEFsAndFracGASM_Variation()</f>
        <v>VARIATION OF SOURCE: Added 'NIR reference' column to aid lookup</v>
      </c>
      <c r="M85" s="1"/>
      <c r="V85" s="1"/>
    </row>
    <row r="86" spans="4:22" ht="20.100000000000001" customHeight="1" x14ac:dyDescent="0.25">
      <c r="D86" s="19" t="s">
        <v>634</v>
      </c>
      <c r="E86" s="19" t="s">
        <v>644</v>
      </c>
      <c r="F86" s="19" t="s">
        <v>645</v>
      </c>
      <c r="G86" s="19" t="s">
        <v>643</v>
      </c>
      <c r="M86" s="1"/>
      <c r="V86" s="1"/>
    </row>
    <row r="87" spans="4:22" ht="20.100000000000001" customHeight="1" x14ac:dyDescent="0.25">
      <c r="D87" s="19" t="str" cm="1">
        <f t="array" ref="D87">Common_InputFunctions.Utility_DisplayArrayInTable(SourceData_Dairy.SourceData_Dairy_NitrousOxideEFsAndFracGASM_Data(), Table_SourceData_Dairy_EFmFracGASM[[#Headers],[MMS m]], 0)</f>
        <v>M=14 Pasture</v>
      </c>
      <c r="E87" s="19" cm="1">
        <f t="array" ref="E87">Common_InputFunctions.Utility_DisplayArrayInTable(SourceData_Dairy.SourceData_Dairy_NitrousOxideEFsAndFracGASM_Data(), Table_SourceData_Dairy_EFmFracGASM[[#Headers],[MMS m]], 0)</f>
        <v>0</v>
      </c>
      <c r="F87" s="19" cm="1">
        <f t="array" ref="F87">Common_InputFunctions.Utility_DisplayArrayInTable(SourceData_Dairy.SourceData_Dairy_NitrousOxideEFsAndFracGASM_Data(), Table_SourceData_Dairy_EFmFracGASM[[#Headers],[MMS m]], 0)</f>
        <v>0</v>
      </c>
      <c r="G87" s="1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19" cm="1">
        <f t="array" ref="E88">Common_InputFunctions.Utility_DisplayArrayInTable(SourceData_Dairy.SourceData_Dairy_NitrousOxideEFsAndFracGASM_Data(), Table_SourceData_Dairy_EFmFracGASM[[#Headers],[MMS m]], 0)</f>
        <v>0</v>
      </c>
      <c r="F88" s="19" cm="1">
        <f t="array" ref="F88">Common_InputFunctions.Utility_DisplayArrayInTable(SourceData_Dairy.SourceData_Dairy_NitrousOxideEFsAndFracGASM_Data(), Table_SourceData_Dairy_EFmFracGASM[[#Headers],[MMS m]], 0)</f>
        <v>0.35</v>
      </c>
      <c r="G88" s="1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19" cm="1">
        <f t="array" ref="E89">Common_InputFunctions.Utility_DisplayArrayInTable(SourceData_Dairy.SourceData_Dairy_NitrousOxideEFsAndFracGASM_Data(), Table_SourceData_Dairy_EFmFracGASM[[#Headers],[MMS m]], 0)</f>
        <v>0</v>
      </c>
      <c r="F89" s="19" cm="1">
        <f t="array" ref="F89">Common_InputFunctions.Utility_DisplayArrayInTable(SourceData_Dairy.SourceData_Dairy_NitrousOxideEFsAndFracGASM_Data(), Table_SourceData_Dairy_EFmFracGASM[[#Headers],[MMS m]], 0)</f>
        <v>7.0000000000000007E-2</v>
      </c>
      <c r="G89" s="1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19" cm="1">
        <f t="array" ref="E90">Common_InputFunctions.Utility_DisplayArrayInTable(SourceData_Dairy.SourceData_Dairy_NitrousOxideEFsAndFracGASM_Data(), Table_SourceData_Dairy_EFmFracGASM[[#Headers],[MMS m]], 0)</f>
        <v>0</v>
      </c>
      <c r="F90" s="19" cm="1">
        <f t="array" ref="F90">Common_InputFunctions.Utility_DisplayArrayInTable(SourceData_Dairy.SourceData_Dairy_NitrousOxideEFsAndFracGASM_Data(), Table_SourceData_Dairy_EFmFracGASM[[#Headers],[MMS m]], 0)</f>
        <v>0.2</v>
      </c>
      <c r="G90" s="1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19" cm="1">
        <f t="array" ref="E91">Common_InputFunctions.Utility_DisplayArrayInTable(SourceData_Dairy.SourceData_Dairy_NitrousOxideEFsAndFracGASM_Data(), Table_SourceData_Dairy_EFmFracGASM[[#Headers],[MMS m]], 0)</f>
        <v>5.0000000000000001E-3</v>
      </c>
      <c r="F91" s="19" cm="1">
        <f t="array" ref="F91">Common_InputFunctions.Utility_DisplayArrayInTable(SourceData_Dairy.SourceData_Dairy_NitrousOxideEFsAndFracGASM_Data(), Table_SourceData_Dairy_EFmFracGASM[[#Headers],[MMS m]], 0)</f>
        <v>0.3</v>
      </c>
      <c r="G91" s="1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2"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17"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9" t="str" cm="1">
        <f t="array" ref="D97">SourceData_Dairy.SourceData_Dairy_MethaneProductionPreWeanedCalves_Unit()</f>
        <v>kg CH4/head/day</v>
      </c>
      <c r="M97" s="1"/>
    </row>
    <row r="98" spans="4:13" ht="20.100000000000001" customHeight="1" x14ac:dyDescent="0.25">
      <c r="D98" s="19" t="s">
        <v>630</v>
      </c>
      <c r="E98" s="19" t="s">
        <v>646</v>
      </c>
      <c r="M98" s="1"/>
    </row>
    <row r="99" spans="4:13" ht="20.100000000000001" customHeight="1" x14ac:dyDescent="0.25">
      <c r="D99" s="19" t="str" cm="1">
        <f t="array" ref="D99">Common_InputFunctions.Utility_DisplayArrayInTable(SourceData_Dairy.SourceData_Dairy_MethaneProductionPreWeanedCalves_Data(), Table_SourceData_Dairy_MPWENTERIC[[#Headers],[Animal class j]], 0)</f>
        <v>Heifers &lt; 1 year</v>
      </c>
      <c r="E99" s="19"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19"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2" t="str" cm="1">
        <f t="array" ref="D103">SourceData_Dairy.SourceData_Dairy_IncreasedMetabolicRateMilk_Title()</f>
        <v>Table A.1.3.9: Dairy cattle - Increased metabolic rate when producing milk (MRj)</v>
      </c>
      <c r="M103" s="1"/>
    </row>
    <row r="104" spans="4:13" ht="20.100000000000001" customHeight="1" x14ac:dyDescent="0.25">
      <c r="D104" s="17"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9" t="str" cm="1">
        <f t="array" ref="D106">SourceData_Dairy.SourceData_Dairy_IncreasedMetabolicRateMilk_Unit()</f>
        <v/>
      </c>
      <c r="M106" s="1"/>
    </row>
    <row r="107" spans="4:13" ht="20.100000000000001" customHeight="1" x14ac:dyDescent="0.25">
      <c r="D107" s="19" t="s">
        <v>630</v>
      </c>
      <c r="E107" s="19" t="s">
        <v>647</v>
      </c>
      <c r="M107" s="1"/>
    </row>
    <row r="108" spans="4:13" ht="20.100000000000001" customHeight="1" x14ac:dyDescent="0.25">
      <c r="D108" s="19" t="str" cm="1">
        <f t="array" ref="D108">Common_InputFunctions.Utility_DisplayArrayInTable(SourceData_Dairy.SourceData_Dairy_IncreasedMetabolicRateMilk_Data(), Table_SourceData_Dairy_MRj[[#Headers],[Animal class j]], 0)</f>
        <v>Milking cows, and house cows</v>
      </c>
      <c r="E108" s="19"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19"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2"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17"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9" t="str" cm="1">
        <f t="array" ref="D115">SourceData_Dairy.SourceData_Dairy_FractionVolatileSolidsVoidedMMS_Unit()</f>
        <v>fraction</v>
      </c>
      <c r="M115" s="1"/>
      <c r="V115" s="1"/>
    </row>
    <row r="116" spans="4:22" ht="20.100000000000001" customHeight="1" x14ac:dyDescent="0.25">
      <c r="D116" s="19" t="s">
        <v>648</v>
      </c>
      <c r="E116" s="19" t="s">
        <v>162</v>
      </c>
      <c r="F116" s="19" t="s">
        <v>366</v>
      </c>
      <c r="G116" s="19" t="s">
        <v>649</v>
      </c>
      <c r="M116" s="1"/>
      <c r="V116" s="1"/>
    </row>
    <row r="117" spans="4:22" ht="20.100000000000001" customHeight="1" x14ac:dyDescent="0.25">
      <c r="D117" s="19" t="str" cm="1">
        <f t="array" ref="D117">Common_InputFunctions.Utility_DisplayArrayInTable(SourceData_Dairy.SourceData_Dairy_FractionVolatileSolidsVoidedMMS_Data(), Table_SourceData_Dairy_ProductionSystemTemplates[[#Headers],[Area]], 0)</f>
        <v>System 1: Grazed Only</v>
      </c>
      <c r="E117" s="19" cm="1">
        <f t="array" ref="E117">Common_InputFunctions.Utility_DisplayArrayInTable(SourceData_Dairy.SourceData_Dairy_FractionVolatileSolidsVoidedMMS_Data(), Table_SourceData_Dairy_ProductionSystemTemplates[[#Headers],[Area]], 0)</f>
        <v>0.89</v>
      </c>
      <c r="F117" s="19" cm="1">
        <f t="array" ref="F117">Common_InputFunctions.Utility_DisplayArrayInTable(SourceData_Dairy.SourceData_Dairy_FractionVolatileSolidsVoidedMMS_Data(), Table_SourceData_Dairy_ProductionSystemTemplates[[#Headers],[Area]], 0)</f>
        <v>0.11</v>
      </c>
      <c r="G117" s="1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19" cm="1">
        <f t="array" ref="E118">Common_InputFunctions.Utility_DisplayArrayInTable(SourceData_Dairy.SourceData_Dairy_FractionVolatileSolidsVoidedMMS_Data(), Table_SourceData_Dairy_ProductionSystemTemplates[[#Headers],[Area]], 0)</f>
        <v>0.79</v>
      </c>
      <c r="F118" s="19" cm="1">
        <f t="array" ref="F118">Common_InputFunctions.Utility_DisplayArrayInTable(SourceData_Dairy.SourceData_Dairy_FractionVolatileSolidsVoidedMMS_Data(), Table_SourceData_Dairy_ProductionSystemTemplates[[#Headers],[Area]], 0)</f>
        <v>0.11</v>
      </c>
      <c r="G118" s="1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19" cm="1">
        <f t="array" ref="E119">Common_InputFunctions.Utility_DisplayArrayInTable(SourceData_Dairy.SourceData_Dairy_FractionVolatileSolidsVoidedMMS_Data(), Table_SourceData_Dairy_ProductionSystemTemplates[[#Headers],[Area]], 0)</f>
        <v>0.53400000000000003</v>
      </c>
      <c r="F119" s="19" cm="1">
        <f t="array" ref="F119">Common_InputFunctions.Utility_DisplayArrayInTable(SourceData_Dairy.SourceData_Dairy_FractionVolatileSolidsVoidedMMS_Data(), Table_SourceData_Dairy_ProductionSystemTemplates[[#Headers],[Area]], 0)</f>
        <v>0.11</v>
      </c>
      <c r="G119" s="1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19" cm="1">
        <f t="array" ref="E120">Common_InputFunctions.Utility_DisplayArrayInTable(SourceData_Dairy.SourceData_Dairy_FractionVolatileSolidsVoidedMMS_Data(), Table_SourceData_Dairy_ProductionSystemTemplates[[#Headers],[Area]], 0)</f>
        <v>0</v>
      </c>
      <c r="F120" s="19" cm="1">
        <f t="array" ref="F120">Common_InputFunctions.Utility_DisplayArrayInTable(SourceData_Dairy.SourceData_Dairy_FractionVolatileSolidsVoidedMMS_Data(), Table_SourceData_Dairy_ProductionSystemTemplates[[#Headers],[Area]], 0)</f>
        <v>0.11</v>
      </c>
      <c r="G120" s="1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2" t="str" cm="1">
        <f t="array" ref="D123">SourceData_Dairy.SourceData_Dairy_EFNitrousOxidePerMMS_Title()</f>
        <v>Table A.1.3.11: Dairy cattle - EF for nitrous oxide per MMS (kg N2O-N/kg N) (EFm)</v>
      </c>
      <c r="M123" s="1"/>
    </row>
    <row r="124" spans="4:22" ht="20.100000000000001" customHeight="1" x14ac:dyDescent="0.25">
      <c r="D124" s="17"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9" t="str" cm="1">
        <f t="array" ref="D126">SourceData_Dairy.SourceData_Dairy_EFNitrousOxidePerMMS_Unit()</f>
        <v>kg N2O-N/kg N</v>
      </c>
      <c r="M126" s="1"/>
      <c r="V126" s="1"/>
    </row>
    <row r="127" spans="4:22" ht="20.100000000000001" customHeight="1" x14ac:dyDescent="0.25">
      <c r="D127" s="25" t="str" cm="1">
        <f t="array" ref="D127">SourceData_Dairy.SourceData_Dairy_EFNitrousOxidePerMMS_Variation()</f>
        <v>VARIATION OF SOURCE: Added 'NIR reference' column to aid lookup</v>
      </c>
      <c r="M127" s="1"/>
      <c r="V127" s="1"/>
    </row>
    <row r="128" spans="4:22" ht="20.100000000000001" customHeight="1" x14ac:dyDescent="0.25">
      <c r="D128" s="19" t="s">
        <v>634</v>
      </c>
      <c r="E128" s="19" t="s">
        <v>644</v>
      </c>
      <c r="F128" s="19" t="s">
        <v>643</v>
      </c>
      <c r="G128" s="143" t="s">
        <v>650</v>
      </c>
      <c r="M128" s="1"/>
      <c r="N128" s="8"/>
      <c r="V128" s="1"/>
    </row>
    <row r="129" spans="4:22" ht="20.100000000000001" customHeight="1" x14ac:dyDescent="0.25">
      <c r="D129" s="19" t="str" cm="1">
        <f t="array" ref="D129">Common_InputFunctions.Utility_DisplayArrayInTable(SourceData_Dairy.SourceData_Dairy_EFNitrousOxidePerMMS_Data(), Table_SourceData_Dairy_EFm[[#Headers],[MMS m]], 0)</f>
        <v>m=14 Pasture</v>
      </c>
      <c r="E129" s="19" cm="1">
        <f t="array" ref="E129">Common_InputFunctions.Utility_DisplayArrayInTable(SourceData_Dairy.SourceData_Dairy_EFNitrousOxidePerMMS_Data(), Table_SourceData_Dairy_EFm[[#Headers],[MMS m]], 0)</f>
        <v>0</v>
      </c>
      <c r="F129" s="19" t="str" cm="1">
        <f t="array" ref="F129">Common_InputFunctions.Utility_DisplayArrayInTable(SourceData_Dairy.SourceData_Dairy_EFNitrousOxidePerMMS_Data(), Table_SourceData_Dairy_EFm[[#Headers],[MMS m]], 0)</f>
        <v>Pasture range and paddock</v>
      </c>
      <c r="M129" s="1"/>
      <c r="N129" s="8"/>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19" cm="1">
        <f t="array" ref="E130">Common_InputFunctions.Utility_DisplayArrayInTable(SourceData_Dairy.SourceData_Dairy_EFNitrousOxidePerMMS_Data(), Table_SourceData_Dairy_EFm[[#Headers],[MMS m]], 0)</f>
        <v>0</v>
      </c>
      <c r="F130" s="19" t="str" cm="1">
        <f t="array" ref="F130">Common_InputFunctions.Utility_DisplayArrayInTable(SourceData_Dairy.SourceData_Dairy_EFNitrousOxidePerMMS_Data(), Table_SourceData_Dairy_EFm[[#Headers],[MMS m]], 0)</f>
        <v>Anaerobic lagoon</v>
      </c>
      <c r="M130" s="1"/>
      <c r="N130" s="8"/>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19" cm="1">
        <f t="array" ref="E131">Common_InputFunctions.Utility_DisplayArrayInTable(SourceData_Dairy.SourceData_Dairy_EFNitrousOxidePerMMS_Data(), Table_SourceData_Dairy_EFm[[#Headers],[MMS m]], 0)</f>
        <v>0</v>
      </c>
      <c r="F131" s="19" t="str" cm="1">
        <f t="array" ref="F131">Common_InputFunctions.Utility_DisplayArrayInTable(SourceData_Dairy.SourceData_Dairy_EFNitrousOxidePerMMS_Data(), Table_SourceData_Dairy_EFm[[#Headers],[MMS m]], 0)</f>
        <v>Sump and dispersal system</v>
      </c>
      <c r="M131" s="1"/>
      <c r="N131" s="8"/>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19" cm="1">
        <f t="array" ref="E132">Common_InputFunctions.Utility_DisplayArrayInTable(SourceData_Dairy.SourceData_Dairy_EFNitrousOxidePerMMS_Data(), Table_SourceData_Dairy_EFm[[#Headers],[MMS m]], 0)</f>
        <v>0</v>
      </c>
      <c r="F132" s="19" t="str" cm="1">
        <f t="array" ref="F132">Common_InputFunctions.Utility_DisplayArrayInTable(SourceData_Dairy.SourceData_Dairy_EFNitrousOxidePerMMS_Data(), Table_SourceData_Dairy_EFm[[#Headers],[MMS m]], 0)</f>
        <v>Drains to paddock</v>
      </c>
      <c r="M132" s="8"/>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19" cm="1">
        <f t="array" ref="E133">Common_InputFunctions.Utility_DisplayArrayInTable(SourceData_Dairy.SourceData_Dairy_EFNitrousOxidePerMMS_Data(), Table_SourceData_Dairy_EFm[[#Headers],[MMS m]], 0)</f>
        <v>5.0000000000000001E-3</v>
      </c>
      <c r="F133" s="19" t="str" cm="1">
        <f t="array" ref="F133">Common_InputFunctions.Utility_DisplayArrayInTable(SourceData_Dairy.SourceData_Dairy_EFNitrousOxidePerMMS_Data(), Table_SourceData_Dairy_EFm[[#Headers],[MMS m]], 0)</f>
        <v>Solid storage</v>
      </c>
      <c r="M133" s="8"/>
    </row>
    <row r="134" spans="4:22" ht="20.100000000000001" customHeight="1" x14ac:dyDescent="0.25">
      <c r="M134" s="8"/>
    </row>
    <row r="135" spans="4:22" ht="20.100000000000001" customHeight="1" x14ac:dyDescent="0.25">
      <c r="M135" s="8"/>
    </row>
    <row r="136" spans="4:22" ht="20.100000000000001" customHeight="1" x14ac:dyDescent="0.25">
      <c r="D136" s="2" t="str" cm="1">
        <f t="array" ref="D136">SourceData_Dairy.SourceData_Dairy_DurationOfStay_Title()</f>
        <v>Duration of stay for each dairy cattle input class</v>
      </c>
      <c r="M136" s="8"/>
    </row>
    <row r="137" spans="4:22" ht="20.100000000000001" customHeight="1" x14ac:dyDescent="0.25">
      <c r="D137" s="17" t="str" cm="1">
        <f t="array" ref="D137">SourceData_Dairy.SourceData_Dairy_DurationOfStay_Source()</f>
        <v>VEERG 2026: 4.3.2.2	DATA (METHOD 1 AND 2 OPTIONS)</v>
      </c>
      <c r="M137" s="8"/>
    </row>
    <row r="138" spans="4:22" ht="20.100000000000001" customHeight="1" x14ac:dyDescent="0.25">
      <c r="D138" s="1" t="str" cm="1">
        <f t="array" ref="D138">SourceData_Dairy.SourceData_Dairy_DurationOfStay_Variable()</f>
        <v>D</v>
      </c>
      <c r="M138" s="8"/>
    </row>
    <row r="139" spans="4:22" ht="20.100000000000001" customHeight="1" x14ac:dyDescent="0.25">
      <c r="D139" s="9" t="str" cm="1">
        <f t="array" ref="D139">SourceData_Dairy.SourceData_Dairy_DurationOfStay_Unit()</f>
        <v>days</v>
      </c>
      <c r="M139" s="8"/>
    </row>
    <row r="140" spans="4:22" ht="20.100000000000001" customHeight="1" x14ac:dyDescent="0.25">
      <c r="D140" s="25" t="str" cm="1">
        <f t="array" ref="D140">SourceData_Dairy.SourceData_Dairy_DurationOfStay_Variation()</f>
        <v>VARIATION OF SOURCE: Converted free text in document to table, matching livestock class names.</v>
      </c>
      <c r="M140" s="8"/>
    </row>
    <row r="141" spans="4:22" ht="20.100000000000001" customHeight="1" x14ac:dyDescent="0.25">
      <c r="D141" s="19" t="s">
        <v>630</v>
      </c>
      <c r="E141" s="19" t="s">
        <v>651</v>
      </c>
      <c r="F141" s="19" t="s">
        <v>652</v>
      </c>
      <c r="M141" s="8"/>
    </row>
    <row r="142" spans="4:22" ht="20.100000000000001" customHeight="1" x14ac:dyDescent="0.25">
      <c r="D142" s="19" t="str" cm="1">
        <f t="array" ref="D142">Common_InputFunctions.Utility_DisplayArrayInTable(SourceData_Dairy.SourceData_Dairy_DurationOfStay_Data(), Table_SourceData_Dairy_Duration[[#Headers],[Animal class j]], 0)</f>
        <v>Milking cows</v>
      </c>
      <c r="E142" s="19" cm="1">
        <f t="array" ref="E142">Common_InputFunctions.Utility_DisplayArrayInTable(SourceData_Dairy.SourceData_Dairy_DurationOfStay_Data(), Table_SourceData_Dairy_Duration[[#Headers],[Animal class j]], 0)</f>
        <v>365</v>
      </c>
      <c r="F142" s="19" cm="1">
        <f t="array" ref="F142">Common_InputFunctions.Utility_DisplayArrayInTable(SourceData_Dairy.SourceData_Dairy_DurationOfStay_Data(), Table_SourceData_Dairy_Duration[[#Headers],[Animal class j]], 0)</f>
        <v>0</v>
      </c>
      <c r="M142" s="8"/>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19" cm="1">
        <f t="array" ref="E143">Common_InputFunctions.Utility_DisplayArrayInTable(SourceData_Dairy.SourceData_Dairy_DurationOfStay_Data(), Table_SourceData_Dairy_Duration[[#Headers],[Animal class j]], 0)</f>
        <v>365</v>
      </c>
      <c r="F143" s="19" cm="1">
        <f t="array" ref="F143">Common_InputFunctions.Utility_DisplayArrayInTable(SourceData_Dairy.SourceData_Dairy_DurationOfStay_Data(), Table_SourceData_Dairy_Duration[[#Headers],[Animal class j]], 0)</f>
        <v>0</v>
      </c>
      <c r="M143" s="8"/>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19" cm="1">
        <f t="array" ref="E144">Common_InputFunctions.Utility_DisplayArrayInTable(SourceData_Dairy.SourceData_Dairy_DurationOfStay_Data(), Table_SourceData_Dairy_Duration[[#Headers],[Animal class j]], 0)</f>
        <v>281</v>
      </c>
      <c r="F144" s="19" cm="1">
        <f t="array" ref="F144">Common_InputFunctions.Utility_DisplayArrayInTable(SourceData_Dairy.SourceData_Dairy_DurationOfStay_Data(), Table_SourceData_Dairy_Duration[[#Headers],[Animal class j]], 0)</f>
        <v>84</v>
      </c>
      <c r="M144" s="8"/>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19" cm="1">
        <f t="array" ref="E145">Common_InputFunctions.Utility_DisplayArrayInTable(SourceData_Dairy.SourceData_Dairy_DurationOfStay_Data(), Table_SourceData_Dairy_Duration[[#Headers],[Animal class j]], 0)</f>
        <v>365</v>
      </c>
      <c r="F145" s="19" cm="1">
        <f t="array" ref="F145">Common_InputFunctions.Utility_DisplayArrayInTable(SourceData_Dairy.SourceData_Dairy_DurationOfStay_Data(), Table_SourceData_Dairy_Duration[[#Headers],[Animal class j]], 0)</f>
        <v>0</v>
      </c>
      <c r="M145" s="8"/>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19" cm="1">
        <f t="array" ref="E146">Common_InputFunctions.Utility_DisplayArrayInTable(SourceData_Dairy.SourceData_Dairy_DurationOfStay_Data(), Table_SourceData_Dairy_Duration[[#Headers],[Animal class j]], 0)</f>
        <v>281</v>
      </c>
      <c r="F146" s="19" cm="1">
        <f t="array" ref="F146">Common_InputFunctions.Utility_DisplayArrayInTable(SourceData_Dairy.SourceData_Dairy_DurationOfStay_Data(), Table_SourceData_Dairy_Duration[[#Headers],[Animal class j]], 0)</f>
        <v>84</v>
      </c>
      <c r="M146" s="8"/>
    </row>
    <row r="147" spans="4:13" ht="20.100000000000001" customHeight="1" x14ac:dyDescent="0.25">
      <c r="M147" s="8"/>
    </row>
    <row r="148" spans="4:13" ht="20.100000000000001" customHeight="1" x14ac:dyDescent="0.25">
      <c r="M148" s="8"/>
    </row>
    <row r="149" spans="4:13" ht="20.100000000000001" customHeight="1" x14ac:dyDescent="0.25">
      <c r="D149" s="2" t="str" cm="1">
        <f t="array" ref="D149">SourceData_Dairy.SourceData_Dairy_CrudeProtein_Title()</f>
        <v>Crude protein content of feed intake</v>
      </c>
      <c r="M149" s="8"/>
    </row>
    <row r="150" spans="4:13" ht="20.100000000000001" customHeight="1" x14ac:dyDescent="0.25">
      <c r="D150" s="17" t="str" cm="1">
        <f t="array" ref="D150">SourceData_Dairy.SourceData_Dairy_CrudeProtein_Source()</f>
        <v>VEERG 2026: 4.3.2.2	DATA (METHOD 1 AND 2 OPTIONS)</v>
      </c>
      <c r="M150" s="8"/>
    </row>
    <row r="151" spans="4:13" ht="20.100000000000001" customHeight="1" x14ac:dyDescent="0.25">
      <c r="D151" s="1" t="str" cm="1">
        <f t="array" ref="D151">SourceData_Dairy.SourceData_Dairy_CrudeProtein_Variable()</f>
        <v>CP</v>
      </c>
      <c r="M151" s="8"/>
    </row>
    <row r="152" spans="4:13" ht="20.100000000000001" customHeight="1" x14ac:dyDescent="0.25">
      <c r="D152" s="9" t="str" cm="1">
        <f t="array" ref="D152">SourceData_Dairy.SourceData_Dairy_CrudeProtein_Unit()</f>
        <v>fraction</v>
      </c>
      <c r="M152" s="8"/>
    </row>
    <row r="153" spans="4:13" ht="20.100000000000001" customHeight="1" x14ac:dyDescent="0.25">
      <c r="D153" s="76" cm="1">
        <f t="array" ref="D153">SourceData_Dairy.SourceData_Dairy_CrudeProtein_Data()</f>
        <v>0.2</v>
      </c>
      <c r="M153" s="8"/>
    </row>
    <row r="154" spans="4:13" ht="20.100000000000001" customHeight="1" x14ac:dyDescent="0.25">
      <c r="M154" s="8"/>
    </row>
    <row r="155" spans="4:13" ht="20.100000000000001" customHeight="1" x14ac:dyDescent="0.25">
      <c r="M155" s="8"/>
    </row>
    <row r="156" spans="4:13" ht="20.100000000000001" customHeight="1" x14ac:dyDescent="0.25">
      <c r="D156" s="2" t="str" cm="1">
        <f t="array" ref="D156">SourceData_Dairy.SourceData_Dairy_DryMatterDigestibility_Title()</f>
        <v>Dry matter digestibility</v>
      </c>
      <c r="M156" s="8"/>
    </row>
    <row r="157" spans="4:13" ht="20.100000000000001" customHeight="1" x14ac:dyDescent="0.25">
      <c r="D157" s="17" t="str" cm="1">
        <f t="array" ref="D157">SourceData_Dairy.SourceData_Dairy_DryMatterDigestibility_Source()</f>
        <v>VEERG 2026: 3.3.2.2	DATA (METHOD 1 AND 2 OPTIONS)</v>
      </c>
      <c r="M157" s="8"/>
    </row>
    <row r="158" spans="4:13" ht="20.100000000000001" customHeight="1" x14ac:dyDescent="0.25">
      <c r="D158" s="1" t="str" cm="1">
        <f t="array" ref="D158">SourceData_Dairy.SourceData_Dairy_DryMatterDigestibility_Variable()</f>
        <v>DMD</v>
      </c>
      <c r="M158" s="8"/>
    </row>
    <row r="159" spans="4:13" ht="20.100000000000001" customHeight="1" x14ac:dyDescent="0.25">
      <c r="D159" s="9" t="str" cm="1">
        <f t="array" ref="D159">SourceData_Dairy.SourceData_Dairy_DryMatterDigestibility_Unit()</f>
        <v>fraction</v>
      </c>
      <c r="M159" s="8"/>
    </row>
    <row r="160" spans="4:13" ht="20.100000000000001" customHeight="1" x14ac:dyDescent="0.25">
      <c r="D160" s="76" cm="1">
        <f t="array" ref="D160">SourceData_Dairy.SourceData_Dairy_DryMatterDigestibility_Data()</f>
        <v>0.75</v>
      </c>
      <c r="M160" s="8"/>
    </row>
    <row r="161" spans="1:13" ht="20.100000000000001" customHeight="1" x14ac:dyDescent="0.25">
      <c r="M161" s="8"/>
    </row>
    <row r="162" spans="1:13" ht="20.100000000000001" customHeight="1" x14ac:dyDescent="0.25">
      <c r="M162" s="8"/>
    </row>
    <row r="163" spans="1:13" ht="20.100000000000001" customHeight="1" x14ac:dyDescent="0.25">
      <c r="D163" s="2" t="str" cm="1">
        <f t="array" ref="D163">SourceData_Dairy.SourceData_Dairy_NetEnergy_Title()</f>
        <v>Net energy required for milk production</v>
      </c>
      <c r="M163" s="8"/>
    </row>
    <row r="164" spans="1:13" ht="20.100000000000001" customHeight="1" x14ac:dyDescent="0.25">
      <c r="D164" s="17" t="str" cm="1">
        <f t="array" ref="D164">SourceData_Dairy.SourceData_Dairy_NetEnergy_Source()</f>
        <v>VEERG 2026: 3.3.2.3 CONSTANTS</v>
      </c>
      <c r="M164" s="8"/>
    </row>
    <row r="165" spans="1:13" ht="20.100000000000001" customHeight="1" x14ac:dyDescent="0.25">
      <c r="D165" s="1" t="str" cm="1">
        <f t="array" ref="D165">SourceData_Dairy.SourceData_Dairy_NetEnergy_Variable()</f>
        <v>NE</v>
      </c>
      <c r="M165" s="8"/>
    </row>
    <row r="166" spans="1:13" x14ac:dyDescent="0.25">
      <c r="D166" s="9" t="str" cm="1">
        <f t="array" ref="D166">SourceData_Dairy.SourceData_Dairy_NetEnergy_Unit()</f>
        <v>MJ net energy / kg milk</v>
      </c>
      <c r="M166" s="8"/>
    </row>
    <row r="167" spans="1:13" x14ac:dyDescent="0.25">
      <c r="D167" s="76" cm="1">
        <f t="array" ref="D167">SourceData_Dairy.SourceData_Dairy_NetEnergy_Data()</f>
        <v>3.0539999999999998</v>
      </c>
      <c r="M167" s="8"/>
    </row>
    <row r="168" spans="1:13" x14ac:dyDescent="0.25">
      <c r="M168" s="8"/>
    </row>
    <row r="169" spans="1:13" x14ac:dyDescent="0.25">
      <c r="M169" s="8"/>
    </row>
    <row r="170" spans="1:13" ht="23.25" x14ac:dyDescent="0.25">
      <c r="D170" s="2" t="str" cm="1">
        <f t="array" ref="D170">SourceData_Dairy.SourceData_Dairy_GrossEnergyContent_Title()</f>
        <v>Gross energy content of feed dry matter</v>
      </c>
      <c r="M170" s="8"/>
    </row>
    <row r="171" spans="1:13" x14ac:dyDescent="0.25">
      <c r="D171" s="17" t="str" cm="1">
        <f t="array" ref="D171">SourceData_Dairy.SourceData_Dairy_GrossEnergyContent_Source()</f>
        <v>VEERG 2026: 3.3.2.3 CONSTANTS</v>
      </c>
      <c r="M171" s="8"/>
    </row>
    <row r="172" spans="1:13" x14ac:dyDescent="0.25">
      <c r="D172" s="1" t="str" cm="1">
        <f t="array" ref="D172">SourceData_Dairy.SourceData_Dairy_GrossEnergyContent_Variable()</f>
        <v>GEC</v>
      </c>
      <c r="M172" s="8"/>
    </row>
    <row r="173" spans="1:13" x14ac:dyDescent="0.25">
      <c r="D173" s="9" t="str" cm="1">
        <f t="array" ref="D173">SourceData_Dairy.SourceData_Dairy_GrossEnergyContent_Unit()</f>
        <v>MJ / kgDM</v>
      </c>
      <c r="M173" s="8"/>
    </row>
    <row r="174" spans="1:13" x14ac:dyDescent="0.25">
      <c r="A174" s="128" t="str">
        <f>HYPERLINK("#A1", "▲ Back to top")</f>
        <v>▲ Back to top</v>
      </c>
      <c r="D174" s="76" cm="1">
        <f t="array" ref="D174">SourceData_Dairy.SourceData_Dairy_GrossEnergyContent_Data()</f>
        <v>18.399999999999999</v>
      </c>
      <c r="M174" s="8"/>
    </row>
    <row r="175" spans="1:13" x14ac:dyDescent="0.25">
      <c r="M175" s="8"/>
    </row>
    <row r="176" spans="1:13" x14ac:dyDescent="0.25">
      <c r="M176" s="8"/>
    </row>
    <row r="177" spans="4:13" ht="23.25" x14ac:dyDescent="0.25">
      <c r="D177" s="2" t="str" cm="1">
        <f t="array" ref="D177">SourceData_Dairy.SourceData_Dairy_EfficiencyOfUseOfMetabolizableEnergy_Title()</f>
        <v>Efficiency of use of metabolizable energy for milk production</v>
      </c>
      <c r="M177" s="8"/>
    </row>
    <row r="178" spans="4:13" x14ac:dyDescent="0.25">
      <c r="D178" s="17" t="str" cm="1">
        <f t="array" ref="D178">SourceData_Dairy.SourceData_Dairy_EfficiencyOfUseOfMetabolizableEnergy_Source()</f>
        <v>VEERG 2026: 3.3.2.3 CONSTANTS</v>
      </c>
      <c r="M178" s="8"/>
    </row>
    <row r="179" spans="4:13" x14ac:dyDescent="0.25">
      <c r="D179" s="1" t="str" cm="1">
        <f t="array" ref="D179">SourceData_Dairy.SourceData_Dairy_EfficiencyOfUseOfMetabolizableEnergy_Variable()</f>
        <v>k</v>
      </c>
      <c r="M179" s="8"/>
    </row>
    <row r="180" spans="4:13" x14ac:dyDescent="0.25">
      <c r="D180" s="9" t="str" cm="1">
        <f t="array" ref="D180">SourceData_Dairy.SourceData_Dairy_EfficiencyOfUseOfMetabolizableEnergy_Unit()</f>
        <v>fraction</v>
      </c>
      <c r="M180" s="8"/>
    </row>
    <row r="181" spans="4:13" x14ac:dyDescent="0.25">
      <c r="D181" s="76" cm="1">
        <f t="array" ref="D181">SourceData_Dairy.SourceData_Dairy_EfficiencyOfUseOfMetabolizableEnergy_Data()</f>
        <v>0.6</v>
      </c>
      <c r="M181" s="8"/>
    </row>
    <row r="182" spans="4:13" x14ac:dyDescent="0.25">
      <c r="M182" s="8"/>
    </row>
    <row r="183" spans="4:13" x14ac:dyDescent="0.25">
      <c r="M183" s="8"/>
    </row>
    <row r="184" spans="4:13" ht="23.25" x14ac:dyDescent="0.25">
      <c r="D184" s="2" t="str" cm="1">
        <f t="array" ref="D184">SourceData_Dairy.SourceData_Dairy_AshContent_Title()</f>
        <v>Ash content of manure</v>
      </c>
      <c r="M184" s="8"/>
    </row>
    <row r="185" spans="4:13" x14ac:dyDescent="0.25">
      <c r="D185" s="17" t="str" cm="1">
        <f t="array" ref="D185">SourceData_Dairy.SourceData_Dairy_AshContent_Source()</f>
        <v>VEERG 2026: 4.3.2.3 CONSTANTS</v>
      </c>
      <c r="M185" s="8"/>
    </row>
    <row r="186" spans="4:13" x14ac:dyDescent="0.25">
      <c r="D186" s="1" t="str" cm="1">
        <f t="array" ref="D186">SourceData_Dairy.SourceData_Dairy_AshContent_Variable()</f>
        <v>A</v>
      </c>
      <c r="M186" s="8"/>
    </row>
    <row r="187" spans="4:13" x14ac:dyDescent="0.25">
      <c r="D187" s="9" t="str" cm="1">
        <f t="array" ref="D187">SourceData_Dairy.SourceData_Dairy_AshContent_Unit()</f>
        <v>fraction</v>
      </c>
      <c r="M187" s="8"/>
    </row>
    <row r="188" spans="4:13" x14ac:dyDescent="0.25">
      <c r="D188" s="76" cm="1">
        <f t="array" ref="D188">SourceData_Dairy.SourceData_Dairy_AshContent_Data()</f>
        <v>0.08</v>
      </c>
      <c r="M188" s="8"/>
    </row>
    <row r="189" spans="4:13" x14ac:dyDescent="0.25">
      <c r="M189" s="8"/>
    </row>
    <row r="190" spans="4:13" x14ac:dyDescent="0.25">
      <c r="M190" s="8"/>
    </row>
    <row r="191" spans="4:13" ht="23.25" x14ac:dyDescent="0.25">
      <c r="D191" s="2" t="str" cm="1">
        <f t="array" ref="D191">SourceData_Dairy.SourceData_Dairy_MethaneEmissionsPotential_Title()</f>
        <v>Methane emissions potential</v>
      </c>
      <c r="M191" s="8"/>
    </row>
    <row r="192" spans="4:13" x14ac:dyDescent="0.25">
      <c r="D192" s="17" t="str" cm="1">
        <f t="array" ref="D192">SourceData_Dairy.SourceData_Dairy_MethaneEmissionsPotential_Source()</f>
        <v>VEERG 2026: 4.3.2.3 CONSTANTS</v>
      </c>
      <c r="M192" s="8"/>
    </row>
    <row r="193" spans="4:13" x14ac:dyDescent="0.25">
      <c r="D193" s="1" t="str" cm="1">
        <f t="array" ref="D193">SourceData_Dairy.SourceData_Dairy_MethaneEmissionsPotential_Variable()</f>
        <v>B_o</v>
      </c>
      <c r="M193" s="8"/>
    </row>
    <row r="194" spans="4:13" x14ac:dyDescent="0.25">
      <c r="D194" s="9" t="str" cm="1">
        <f t="array" ref="D194">SourceData_Dairy.SourceData_Dairy_MethaneEmissionsPotential_Unit()</f>
        <v>m3 CH4/kgVS</v>
      </c>
      <c r="M194" s="8"/>
    </row>
    <row r="195" spans="4:13" x14ac:dyDescent="0.25">
      <c r="D195" s="76" cm="1">
        <f t="array" ref="D195">SourceData_Dairy.SourceData_Dairy_MethaneEmissionsPotential_Data()</f>
        <v>0.24</v>
      </c>
      <c r="M195" s="8"/>
    </row>
    <row r="196" spans="4:13" x14ac:dyDescent="0.25">
      <c r="M196" s="8"/>
    </row>
    <row r="197" spans="4:13" x14ac:dyDescent="0.25">
      <c r="M197" s="8"/>
    </row>
    <row r="198" spans="4:13" ht="23.25" x14ac:dyDescent="0.25">
      <c r="D198" s="2" t="str" cm="1">
        <f t="array" ref="D198">SourceData_Dairy.SourceData_Dairy_EmissionFactorForLeachingAndRunoff_Title()</f>
        <v>Emission factor for leaching and runoff</v>
      </c>
      <c r="M198" s="8"/>
    </row>
    <row r="199" spans="4:13" x14ac:dyDescent="0.25">
      <c r="D199" s="17" t="str" cm="1">
        <f t="array" ref="D199">SourceData_Dairy.SourceData_Dairy_EmissionFactorForLeachingAndRunoff_Source()</f>
        <v>VEERG 2026: 4.3.2.3 CONSTANTS</v>
      </c>
      <c r="M199" s="8"/>
    </row>
    <row r="200" spans="4:13" x14ac:dyDescent="0.25">
      <c r="D200" s="1" t="str" cm="1">
        <f t="array" ref="D200">SourceData_Dairy.SourceData_Dairy_EmissionFactorForLeachingAndRunoff_Variable()</f>
        <v>EF_leach</v>
      </c>
      <c r="M200" s="8"/>
    </row>
    <row r="201" spans="4:13" x14ac:dyDescent="0.25">
      <c r="D201" s="9" t="str" cm="1">
        <f t="array" ref="D201">SourceData_Dairy.SourceData_Dairy_EmissionFactorForLeachingAndRunoff_Unit()</f>
        <v>kg N2O-N/kg N</v>
      </c>
      <c r="M201" s="8"/>
    </row>
    <row r="202" spans="4:13" x14ac:dyDescent="0.25">
      <c r="D202" s="76" cm="1">
        <f t="array" ref="D202">SourceData_Dairy.SourceData_Dairy_EmissionFactorForLeachingAndRunoff_Data()</f>
        <v>1.0999999999999999E-2</v>
      </c>
      <c r="M202" s="8"/>
    </row>
    <row r="203" spans="4:13" x14ac:dyDescent="0.25">
      <c r="M203" s="8"/>
    </row>
    <row r="204" spans="4:13" x14ac:dyDescent="0.25">
      <c r="M204" s="8"/>
    </row>
    <row r="205" spans="4:13" ht="23.25" x14ac:dyDescent="0.25">
      <c r="D205" s="2" t="str" cm="1">
        <f t="array" ref="D205">SourceData_Dairy.SourceData_Dairy_FractionOfNitrogenLostThroughLeachingAndRunoff_Title()</f>
        <v>Default fraction of N that is lost through leaching and runoff when manure is excreted to pasture, range and paddock (m=14).</v>
      </c>
      <c r="M205" s="8"/>
    </row>
    <row r="206" spans="4:13" x14ac:dyDescent="0.25">
      <c r="D206" s="17" t="str" cm="1">
        <f t="array" ref="D206">SourceData_Dairy.SourceData_Dairy_FractionOfNitrogenLostThroughLeachingAndRunoff_Source()</f>
        <v>VEERG 2026: 4.3.2.3 CONSTANTS</v>
      </c>
      <c r="M206" s="8"/>
    </row>
    <row r="207" spans="4:13" x14ac:dyDescent="0.25">
      <c r="D207" s="1" t="str" cm="1">
        <f t="array" ref="D207">SourceData_Dairy.SourceData_Dairy_FractionOfNitrogenLostThroughLeachingAndRunoff_Variable()</f>
        <v>Frac_LEACH_MS</v>
      </c>
      <c r="M207" s="8"/>
    </row>
    <row r="208" spans="4:13" x14ac:dyDescent="0.25">
      <c r="D208" s="9" t="str" cm="1">
        <f t="array" ref="D208">SourceData_Dairy.SourceData_Dairy_FractionOfNitrogenLostThroughLeachingAndRunoff_Unit()</f>
        <v>Fraction</v>
      </c>
      <c r="M208" s="8"/>
    </row>
    <row r="209" spans="1:13" x14ac:dyDescent="0.25">
      <c r="D209" s="76" cm="1">
        <f t="array" ref="D209">SourceData_Dairy.SourceData_Dairy_FractionOfNitrogenLostThroughLeachingAndRunoff_Data()</f>
        <v>0.24</v>
      </c>
      <c r="M209" s="8"/>
    </row>
    <row r="210" spans="1:13" x14ac:dyDescent="0.25">
      <c r="M210" s="8"/>
    </row>
    <row r="211" spans="1:13" ht="23.25" x14ac:dyDescent="0.25">
      <c r="D211" s="2" t="str" cm="1">
        <f t="array" ref="D211">SourceData_Dairy.SourceData_Dairy_FractionOfNitrogenLostThroughLeachingAndRunoffSolidStorage_Title()</f>
        <v>Fraction of nitrogen lost through leaching and runoff for solid storage MMS only</v>
      </c>
      <c r="M211" s="8"/>
    </row>
    <row r="212" spans="1:13" x14ac:dyDescent="0.25">
      <c r="D212" s="17" t="str" cm="1">
        <f t="array" ref="D212">SourceData_Dairy.SourceData_Dairy_FractionOfNitrogenLostThroughLeachingAndRunoffSolidStorage_Source()</f>
        <v>VEERG 2026: 4.3.2.3 CONSTANTS</v>
      </c>
      <c r="M212" s="8"/>
    </row>
    <row r="213" spans="1:13" x14ac:dyDescent="0.25">
      <c r="D213" s="1" t="str" cm="1">
        <f t="array" ref="D213">SourceData_Dairy.SourceData_Dairy_FractionOfNitrogenLostThroughLeachingAndRunoffSolidStorage_Variable()</f>
        <v>Frac_LEACH_MS</v>
      </c>
      <c r="M213" s="8"/>
    </row>
    <row r="214" spans="1:13" x14ac:dyDescent="0.25">
      <c r="D214" s="9" t="str" cm="1">
        <f t="array" ref="D214">SourceData_Dairy.SourceData_Dairy_FractionOfNitrogenLostThroughLeachingAndRunoffSolidStorage_Unit()</f>
        <v>Fraction</v>
      </c>
      <c r="M214" s="8"/>
    </row>
    <row r="215" spans="1:13" x14ac:dyDescent="0.25">
      <c r="A215" s="128" t="str">
        <f>HYPERLINK("#A1", "▲ Back to top")</f>
        <v>▲ Back to top</v>
      </c>
      <c r="D215" s="76" cm="1">
        <f t="array" ref="D215">SourceData_Dairy.SourceData_Dairy_FractionOfNitrogenLostThroughLeachingAndRunoffSolidStorage_Data()</f>
        <v>0.02</v>
      </c>
      <c r="M215" s="8"/>
    </row>
    <row r="216" spans="1:13" x14ac:dyDescent="0.25">
      <c r="M216" s="8"/>
    </row>
    <row r="217" spans="1:13" ht="23.25" x14ac:dyDescent="0.25">
      <c r="D217" s="2" t="str" cm="1">
        <f t="array" ref="D217">SourceData_Dairy.SourceData_Dairy_FracGASMSoil_Title()</f>
        <v>Fraction of nitrogen volatilized from urine and faeces deposited on pasture</v>
      </c>
      <c r="M217" s="8"/>
    </row>
    <row r="218" spans="1:13" x14ac:dyDescent="0.25">
      <c r="D218" s="17" t="str" cm="1">
        <f t="array" ref="D218">SourceData_Dairy.SourceData_Dairy_FracGASMSoil_Source()</f>
        <v>VEERG 2026: 4.3.2.3 CONSTANTS</v>
      </c>
      <c r="M218" s="8"/>
    </row>
    <row r="219" spans="1:13" x14ac:dyDescent="0.25">
      <c r="D219" s="1" t="str" cm="1">
        <f t="array" ref="D219">SourceData_Dairy.SourceData_Dairy_FracGASMSoil_Variable()</f>
        <v>FracGASMsoil</v>
      </c>
      <c r="M219" s="8"/>
    </row>
    <row r="220" spans="1:13" x14ac:dyDescent="0.25">
      <c r="D220" s="9" t="str" cm="1">
        <f t="array" ref="D220">SourceData_Dairy.SourceData_Dairy_FracGASMSoil_Unit()</f>
        <v>(kg NH3-N + NOx-N)/kg N</v>
      </c>
      <c r="M220" s="8"/>
    </row>
    <row r="221" spans="1:13" x14ac:dyDescent="0.25">
      <c r="D221" s="76" cm="1">
        <f t="array" ref="D221">SourceData_Dairy.SourceData_Dairy_FracGASMSoil_Data()</f>
        <v>0.21</v>
      </c>
      <c r="M221" s="8"/>
    </row>
    <row r="222" spans="1:13" x14ac:dyDescent="0.25">
      <c r="M222" s="8"/>
    </row>
    <row r="223" spans="1:13" ht="23.25" x14ac:dyDescent="0.25">
      <c r="D223" s="2" t="str" cm="1">
        <f t="array" ref="D223">SourceData_Dairy.SourceData_Dairy_FatContentInMilk_Title()</f>
        <v>Fat content in fat and protein corrected milk</v>
      </c>
      <c r="M223" s="8"/>
    </row>
    <row r="224" spans="1:13" x14ac:dyDescent="0.25">
      <c r="D224" s="17" t="str" cm="1">
        <f t="array" ref="D224">SourceData_Dairy.SourceData_Dairy_FatContentInMilk_Source()</f>
        <v>VEERG 2026: 3.3.2.2 DATA (METHOD 1 AND 2 OPTIONS)</v>
      </c>
      <c r="M224" s="8"/>
    </row>
    <row r="225" spans="4:13" x14ac:dyDescent="0.25">
      <c r="D225" s="1" t="str" cm="1">
        <f t="array" ref="D225">SourceData_Dairy.SourceData_Dairy_FatContentInMilk_Variable()</f>
        <v>FC_j</v>
      </c>
      <c r="M225" s="8"/>
    </row>
    <row r="226" spans="4:13" x14ac:dyDescent="0.25">
      <c r="D226" s="9" t="str" cm="1">
        <f t="array" ref="D226">SourceData_Dairy.SourceData_Dairy_FatContentInMilk_Unit()</f>
        <v>percent</v>
      </c>
      <c r="M226" s="8"/>
    </row>
    <row r="227" spans="4:13" x14ac:dyDescent="0.25">
      <c r="D227" s="76" cm="1">
        <f t="array" ref="D227">SourceData_Dairy.SourceData_Dairy_FatContentInMilk_Data()</f>
        <v>4</v>
      </c>
      <c r="M227" s="8"/>
    </row>
    <row r="228" spans="4:13" x14ac:dyDescent="0.25">
      <c r="M228" s="8"/>
    </row>
    <row r="229" spans="4:13" ht="23.25" x14ac:dyDescent="0.25">
      <c r="D229" s="2" t="str" cm="1">
        <f t="array" ref="D229">SourceData_Dairy.SourceData_Dairy_ProteinContentInMilk_Title()</f>
        <v>Protein content in fat and protein corrected milk</v>
      </c>
      <c r="M229" s="8"/>
    </row>
    <row r="230" spans="4:13" x14ac:dyDescent="0.25">
      <c r="D230" s="17" t="str" cm="1">
        <f t="array" ref="D230">SourceData_Dairy.SourceData_Dairy_ProteinContentInMilk_Source()</f>
        <v>VEERG 2026: 3.3.2.2 DATA (METHOD 1 AND 2 OPTIONS)</v>
      </c>
      <c r="M230" s="8"/>
    </row>
    <row r="231" spans="4:13" x14ac:dyDescent="0.25">
      <c r="D231" s="1" t="str" cm="1">
        <f t="array" ref="D231">SourceData_Dairy.SourceData_Dairy_ProteinContentInMilk_Variable()</f>
        <v>PC_j</v>
      </c>
      <c r="M231" s="8"/>
    </row>
    <row r="232" spans="4:13" x14ac:dyDescent="0.25">
      <c r="D232" s="9" t="str" cm="1">
        <f t="array" ref="D232">SourceData_Dairy.SourceData_Dairy_ProteinContentInMilk_Unit()</f>
        <v>percent</v>
      </c>
      <c r="M232" s="8"/>
    </row>
    <row r="233" spans="4:13" x14ac:dyDescent="0.25">
      <c r="D233" s="76" cm="1">
        <f t="array" ref="D233">SourceData_Dairy.SourceData_Dairy_ProteinContentInMilk_Data()</f>
        <v>3.3</v>
      </c>
      <c r="M233" s="8"/>
    </row>
    <row r="234" spans="4:13" x14ac:dyDescent="0.25">
      <c r="M234" s="8"/>
    </row>
    <row r="235" spans="4:13" x14ac:dyDescent="0.25">
      <c r="M235" s="8"/>
    </row>
    <row r="236" spans="4:13" x14ac:dyDescent="0.25">
      <c r="M236" s="8"/>
    </row>
    <row r="237" spans="4:13" x14ac:dyDescent="0.25">
      <c r="M237" s="8"/>
    </row>
    <row r="238" spans="4:13" x14ac:dyDescent="0.25">
      <c r="M238" s="8"/>
    </row>
    <row r="239" spans="4:13" x14ac:dyDescent="0.25">
      <c r="M239" s="8"/>
    </row>
    <row r="240" spans="4: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10636-C4B5-473B-B5FB-195150455CEB}">
  <sheetPr>
    <tabColor theme="2" tint="-0.499984740745262"/>
  </sheetPr>
  <dimension ref="A1:AI235"/>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20" customFormat="1" ht="30" customHeight="1" x14ac:dyDescent="0.35">
      <c r="A1" s="10" t="e" vm="1">
        <v>#VALUE!</v>
      </c>
      <c r="C1" s="20" t="s">
        <v>1160</v>
      </c>
      <c r="AG1"/>
      <c r="AH1"/>
      <c r="AI1"/>
    </row>
    <row r="2" spans="1:35" s="3" customFormat="1" ht="20.100000000000001" customHeight="1" x14ac:dyDescent="0.25">
      <c r="A2"/>
      <c r="AG2"/>
      <c r="AH2"/>
      <c r="AI2"/>
    </row>
    <row r="3" spans="1:35"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Agresidue_SourceData.CropPurposeAndYield_Title()</f>
        <v>Crop purpose and yield</v>
      </c>
    </row>
    <row r="6" spans="1:35" ht="20.100000000000001" customHeight="1" x14ac:dyDescent="0.25">
      <c r="A6" s="5" t="str">
        <f>HYPERLINK("#'Results'!A1", "Results")</f>
        <v>Results</v>
      </c>
    </row>
    <row r="7" spans="1:35" ht="20.100000000000001" customHeight="1" x14ac:dyDescent="0.25">
      <c r="D7" s="258" t="s">
        <v>1161</v>
      </c>
      <c r="E7" s="258" t="s">
        <v>1162</v>
      </c>
      <c r="F7" s="258" t="s">
        <v>1163</v>
      </c>
      <c r="G7" s="258" t="s">
        <v>1164</v>
      </c>
      <c r="H7" s="258" t="s">
        <v>1165</v>
      </c>
      <c r="I7" s="258" t="s">
        <v>1166</v>
      </c>
      <c r="J7" s="258" t="s">
        <v>1167</v>
      </c>
      <c r="K7" s="258" t="s">
        <v>1168</v>
      </c>
      <c r="AG7" s="1"/>
      <c r="AH7" s="1"/>
      <c r="AI7" s="1"/>
    </row>
    <row r="8" spans="1:35" ht="20.100000000000001" customHeight="1" x14ac:dyDescent="0.25">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7" t="s">
        <v>0</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5" t="str">
        <f>HYPERLINK("#'Input - Enterprise'!A1", "Enterprise")</f>
        <v>Enterprise</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c r="A11" s="5" t="str">
        <f>HYPERLINK("#'Input - Site'!A1", "Site")</f>
        <v>Site</v>
      </c>
    </row>
    <row r="12" spans="1:35" ht="20.100000000000001" customHeight="1" x14ac:dyDescent="0.25">
      <c r="A12" s="5" t="str">
        <f>HYPERLINK("#'Input - Dairy'!A1", "Dairy")</f>
        <v>Dairy</v>
      </c>
    </row>
    <row r="13" spans="1:35" ht="20.100000000000001" customHeight="1" x14ac:dyDescent="0.25">
      <c r="A13" s="5" t="str">
        <f>HYPERLINK("#'Input - Livestock sales'!A1", "Livestock sales")</f>
        <v>Livestock sales</v>
      </c>
    </row>
    <row r="14" spans="1:35" ht="20.100000000000001" customHeight="1" x14ac:dyDescent="0.25">
      <c r="A14" s="5" t="str">
        <f>HYPERLINK("#'Input - Dairy cattle purchases'!A1", "Dairy cattle purchases")</f>
        <v>Dairy cattle purchases</v>
      </c>
    </row>
    <row r="15" spans="1:35" ht="20.100000000000001" customHeight="1" x14ac:dyDescent="0.25">
      <c r="A15" s="5" t="str">
        <f>HYPERLINK("#'Input - Pasture'!A1", "Pasture")</f>
        <v>Pasture</v>
      </c>
      <c r="D15" s="2" t="str" cm="1">
        <f t="array" ref="D15">Agresidue_SourceData.CropAttributes_Title()</f>
        <v>Table A.2.1.1: Crop attributes</v>
      </c>
      <c r="E15" s="8"/>
      <c r="F15" s="8"/>
      <c r="G15" s="8"/>
      <c r="H15" s="8"/>
      <c r="I15" s="8"/>
      <c r="J15" s="8"/>
      <c r="K15" s="8"/>
      <c r="L15" s="8"/>
    </row>
    <row r="16" spans="1:35" ht="20.100000000000001" customHeight="1" x14ac:dyDescent="0.25">
      <c r="A16" s="5" t="str">
        <f>HYPERLINK("#'Input - Fert Prod System'!A1", "Fert Prod System")</f>
        <v>Fert Prod System</v>
      </c>
      <c r="D16" s="17" t="str" cm="1">
        <f t="array" ref="D16">Agresidue_SourceData.CropAttributes_Source()</f>
        <v>VEERG 2026: Table A.2.1.1: Crop attributes</v>
      </c>
      <c r="E16" s="8"/>
      <c r="F16" s="8"/>
      <c r="G16" s="8"/>
      <c r="H16" s="8"/>
      <c r="I16" s="8"/>
      <c r="J16" s="8"/>
      <c r="K16" s="8"/>
      <c r="L16" s="8"/>
    </row>
    <row r="17" spans="1:14" ht="20.100000000000001" customHeight="1" x14ac:dyDescent="0.25">
      <c r="A17" s="5" t="str">
        <f>HYPERLINK("#'Input - Fertiliser'!A1", "Fertiliser")</f>
        <v>Fertiliser</v>
      </c>
      <c r="D17" s="25" t="str" cm="1">
        <f t="array" ref="D17">"⚠️" &amp; Agresidue_SourceData.CropAttributes_Variation()</f>
        <v>⚠️VARIATION FROM SOURCE: 'N/A' values passed as zero for calculations.</v>
      </c>
      <c r="E17" s="8"/>
      <c r="F17" s="8"/>
      <c r="G17" s="8"/>
      <c r="H17" s="8"/>
      <c r="I17" s="8"/>
      <c r="J17" s="8"/>
      <c r="K17" s="8"/>
      <c r="L17" s="8"/>
    </row>
    <row r="18" spans="1:14" ht="20.100000000000001" customHeight="1" x14ac:dyDescent="0.25">
      <c r="A18" s="5" t="str">
        <f>HYPERLINK("#'Input - Fuel'!A1", "Fuel")</f>
        <v>Fuel</v>
      </c>
      <c r="D18" s="8"/>
      <c r="E18" s="8"/>
      <c r="F18" s="8"/>
      <c r="G18" s="8"/>
      <c r="H18" s="8"/>
      <c r="I18" s="8"/>
      <c r="J18" s="8"/>
      <c r="K18" s="8"/>
      <c r="L18" s="8"/>
    </row>
    <row r="19" spans="1:14" ht="20.100000000000001" customHeight="1" x14ac:dyDescent="0.25">
      <c r="A19" s="5" t="str">
        <f>HYPERLINK("#'Input - Electricity'!A1", "Electricity")</f>
        <v>Electricity</v>
      </c>
      <c r="D19" t="s">
        <v>160</v>
      </c>
      <c r="E19" t="s">
        <v>1169</v>
      </c>
      <c r="F19" t="s">
        <v>1170</v>
      </c>
      <c r="G19" t="s">
        <v>1171</v>
      </c>
      <c r="H19" t="s">
        <v>1172</v>
      </c>
      <c r="I19" t="s">
        <v>1173</v>
      </c>
      <c r="J19" t="s">
        <v>1174</v>
      </c>
      <c r="K19" t="s">
        <v>1175</v>
      </c>
      <c r="L19" t="s">
        <v>1176</v>
      </c>
      <c r="N19" s="2" t="s">
        <v>617</v>
      </c>
    </row>
    <row r="20" spans="1:14" ht="20.100000000000001" customHeight="1" x14ac:dyDescent="0.25">
      <c r="A20" s="5" t="str">
        <f>HYPERLINK("#'Input - Common farm inputs'!A1", "Common farm inputs")</f>
        <v>Common farm inputs</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A21" s="5" t="str">
        <f>HYPERLINK("#'Input - Crop pasture farm input'!A1", "Crop pasture farm input")</f>
        <v>Crop pasture farm input</v>
      </c>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19" t="s">
        <v>63</v>
      </c>
    </row>
    <row r="22" spans="1:14" ht="20.100000000000001" customHeight="1" x14ac:dyDescent="0.25">
      <c r="A22" s="5" t="str">
        <f>HYPERLINK("#'Input - Livestock farm Inputs'!A1", "Livestock farm Inputs")</f>
        <v>Livestock farm Inputs</v>
      </c>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19" t="s">
        <v>622</v>
      </c>
    </row>
    <row r="23" spans="1:14" ht="20.100000000000001" customHeight="1" x14ac:dyDescent="0.25">
      <c r="A23" s="5" t="str">
        <f>HYPERLINK("#'Input - Freight'!A1", "Freight")</f>
        <v>Freight</v>
      </c>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19" t="s">
        <v>623</v>
      </c>
    </row>
    <row r="24" spans="1:14" ht="20.100000000000001" customHeight="1" x14ac:dyDescent="0.25">
      <c r="A24" s="5" t="str">
        <f>HYPERLINK("#'Input - Solid waste'!A1", "Solid waste")</f>
        <v>Solid waste</v>
      </c>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380</v>
      </c>
    </row>
    <row r="25" spans="1:14" ht="20.100000000000001" customHeight="1" x14ac:dyDescent="0.25">
      <c r="A25" s="5" t="str">
        <f>HYPERLINK("#'Input - Manure sent off-site'!A1", "Manure sent off-site")</f>
        <v>Manure sent off-site</v>
      </c>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624</v>
      </c>
    </row>
    <row r="26" spans="1:14" ht="20.100000000000001" customHeight="1" x14ac:dyDescent="0.25">
      <c r="A26" s="5" t="str">
        <f>HYPERLINK("#'Input - Refrigerants'!A1", "Refrigerants")</f>
        <v>Refrigerants</v>
      </c>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625</v>
      </c>
    </row>
    <row r="27" spans="1:14" ht="20.100000000000001" customHeight="1" x14ac:dyDescent="0.25">
      <c r="A27" s="5" t="str">
        <f>HYPERLINK("#'Input - Data quality'!A1", "Data quality")</f>
        <v>Data quality</v>
      </c>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A30" s="6" t="s">
        <v>2</v>
      </c>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A31" s="5" t="str">
        <f>HYPERLINK("#'3.3.1.1-2 Enteric Methane'!A1", "3.3.1.1-2 Enteric methane")</f>
        <v>3.3.1.1-2 Enteric methane</v>
      </c>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A32" s="5" t="str">
        <f>HYPERLINK("#'4.3.1.1-2 Methane'!A1", "4.3.1.1-2 Manure methane")</f>
        <v>4.3.1.1-2 Manure methane</v>
      </c>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1:13" ht="20.100000000000001" customHeight="1" x14ac:dyDescent="0.25">
      <c r="A33" s="5" t="str">
        <f>HYPERLINK("#'4.3.1.3-4 Direct N20'!A1", "4.3.1.3-4 Direct N20")</f>
        <v>4.3.1.3-4 Direct N20</v>
      </c>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1:13" ht="20.100000000000001" customHeight="1" x14ac:dyDescent="0.25">
      <c r="A34" s="5" t="str">
        <f>HYPERLINK("#'4.3.1.5 Atmos deposition'!A1", "4.3.1.5 Atmos deposition")</f>
        <v>4.3.1.5 Atmos deposition</v>
      </c>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1:13" ht="20.100000000000001" customHeight="1" x14ac:dyDescent="0.25">
      <c r="A35" s="5" t="str">
        <f>HYPERLINK("#'4.3.1.6-7 Leaching and runoff'!A1", "4.3.1.6-7 Leaching &amp; runoff")</f>
        <v>4.3.1.6-7 Leaching &amp; runoff</v>
      </c>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1:13" ht="20.100000000000001" customHeight="1" x14ac:dyDescent="0.25">
      <c r="A36" s="5" t="str">
        <f>HYPERLINK("#'4.3.1.8 Manure applied to soils'!A1", "4.3.1.8 Manure applied to soils")</f>
        <v>4.3.1.8 Manure applied to soils</v>
      </c>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1:13" ht="20.100000000000001" customHeight="1" x14ac:dyDescent="0.25">
      <c r="A37" s="5" t="str">
        <f>HYPERLINK("#'4.3.1.9 Soil direct N2O'!A1", "4.3.1.9 Soil direct N2O")</f>
        <v>4.3.1.9 Soil direct N2O</v>
      </c>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1:13" ht="20.100000000000001" customHeight="1" x14ac:dyDescent="0.25">
      <c r="A38" s="5" t="str">
        <f>HYPERLINK("#'4.3.1.10-11 Soil Atmos Dep'!A1", "4.3.1.10-11 Soil Atmos Deposition")</f>
        <v>4.3.1.10-11 Soil Atmos Deposition</v>
      </c>
      <c r="D38" s="8"/>
      <c r="E38" s="8"/>
      <c r="F38" s="8"/>
      <c r="G38" s="8"/>
      <c r="H38" s="8"/>
      <c r="I38" s="8"/>
      <c r="J38" s="8"/>
      <c r="K38" s="8"/>
      <c r="L38" s="8"/>
    </row>
    <row r="39" spans="1:13" ht="20.100000000000001" customHeight="1" x14ac:dyDescent="0.25">
      <c r="A39" s="5" t="str">
        <f>HYPERLINK("#'4.3.1.12-13 Soil leach runoff'!A1", "4.3.1.12-13 Soil leach &amp; runoff")</f>
        <v>4.3.1.12-13 Soil leach &amp; runoff</v>
      </c>
      <c r="D39" s="8"/>
      <c r="E39" s="8"/>
      <c r="F39" s="8"/>
      <c r="G39" s="8"/>
      <c r="H39" s="8"/>
      <c r="I39" s="8"/>
      <c r="J39" s="8"/>
      <c r="K39" s="8"/>
      <c r="L39" s="8"/>
    </row>
    <row r="40" spans="1:13" ht="20.100000000000001" customHeight="1" x14ac:dyDescent="0.25">
      <c r="A40" s="5" t="str">
        <f>HYPERLINK("#'5.1.1.1-2 Inorganic fert N2O'!A1", "5.1.1.1-2 Inorganic fert N2O")</f>
        <v>5.1.1.1-2 Inorganic fert N2O</v>
      </c>
      <c r="D40" s="2" t="str" cm="1">
        <f t="array" ref="D40">Agresidue_SourceData.N2OEFOrganicFertiliser_Title()</f>
        <v>Emission factor for organic fertiliser and crop residues returned to the soil</v>
      </c>
      <c r="E40" s="24"/>
      <c r="F40" s="24"/>
      <c r="G40" s="8"/>
      <c r="H40" s="8"/>
      <c r="I40" s="8"/>
      <c r="J40" s="8"/>
      <c r="K40" s="8"/>
      <c r="L40" s="8"/>
    </row>
    <row r="41" spans="1:13" ht="20.100000000000001" customHeight="1" x14ac:dyDescent="0.25">
      <c r="A41" s="5" t="str">
        <f>HYPERLINK("#'5.1.1.3-4 Inorganic fert CO2'!A1", "5.1.1.3-4 Inorganic fert CO2")</f>
        <v>5.1.1.3-4 Inorganic fert CO2</v>
      </c>
      <c r="D41" s="17" t="str" cm="1">
        <f t="array" ref="D41">Agresidue_SourceData.N2OEFOrganicFertiliser_Source()</f>
        <v>VEERG 2026: Table A.2.1.4</v>
      </c>
      <c r="E41" s="24"/>
      <c r="F41" s="24"/>
      <c r="G41" s="8"/>
      <c r="H41" s="8"/>
      <c r="I41" s="8"/>
      <c r="J41" s="8"/>
      <c r="K41" s="8"/>
      <c r="L41" s="8"/>
    </row>
    <row r="42" spans="1:13" ht="20.100000000000001" customHeight="1" x14ac:dyDescent="0.25">
      <c r="A42" s="5" t="str">
        <f>HYPERLINK("#'5.2.1.1-2 Organic Fert N2O'!A1", "5.2.1.1-2 Organic fert N2O")</f>
        <v>5.2.1.1-2 Organic fert N2O</v>
      </c>
      <c r="D42" s="17"/>
      <c r="E42" s="24"/>
      <c r="F42" s="24"/>
      <c r="H42" s="8"/>
      <c r="I42" s="8"/>
      <c r="M42" s="24"/>
    </row>
    <row r="43" spans="1:13" ht="20.100000000000001" customHeight="1" x14ac:dyDescent="0.25">
      <c r="A43" s="5" t="str">
        <f>HYPERLINK("#'5.3.1.1-2 Lime CO2'!A1", "5.3.1.1-2 Lime CO2")</f>
        <v>5.3.1.1-2 Lime CO2</v>
      </c>
      <c r="D43" s="192" t="s">
        <v>1177</v>
      </c>
      <c r="E43" s="192" t="s">
        <v>1178</v>
      </c>
      <c r="F43" s="24"/>
      <c r="H43" s="8"/>
      <c r="I43" s="8"/>
      <c r="M43" s="24"/>
    </row>
    <row r="44" spans="1:13" ht="20.100000000000001" customHeight="1" x14ac:dyDescent="0.25">
      <c r="A44" s="5" t="str">
        <f>HYPERLINK("#'5.4.1.1-4 Atmos deposition'!A1", "5.4.1.1-4 Atmos. deposition")</f>
        <v>5.4.1.1-4 Atmos. deposition</v>
      </c>
      <c r="D44" s="26" t="str" cm="1">
        <f t="array" ref="D44">Common_InputFunctions.Utility_DisplayArrayInTable(Agresidue_SourceData.N2OEFOrganicFertiliser_Data(), Table_SourceData_N2OEFOrganicFert[[#Headers],[Climate zone type i]], 0)</f>
        <v>Wet climate zone</v>
      </c>
      <c r="E44" s="26" cm="1">
        <f t="array" ref="E44">Common_InputFunctions.Utility_DisplayArrayInTable(Agresidue_SourceData.N2OEFOrganicFertiliser_Data(), Table_SourceData_N2OEFOrganicFert[[#Headers],[Climate zone type i]], 0)</f>
        <v>6.0000000000000001E-3</v>
      </c>
      <c r="F44" s="24"/>
      <c r="H44" s="8"/>
      <c r="I44" s="8"/>
      <c r="M44" s="24"/>
    </row>
    <row r="45" spans="1:13" ht="20.100000000000001" customHeight="1" x14ac:dyDescent="0.25">
      <c r="A45" s="5" t="str">
        <f>HYPERLINK("#'5.5.1.1-2 Leaching and runoff'!A1", "5.5.1.1-2 Leaching &amp; runoff")</f>
        <v>5.5.1.1-2 Leaching &amp; runoff</v>
      </c>
      <c r="D45" s="26" t="str" cm="1">
        <f t="array" ref="D45">Common_InputFunctions.Utility_DisplayArrayInTable(Agresidue_SourceData.N2OEFOrganicFertiliser_Data(), Table_SourceData_N2OEFOrganicFert[[#Headers],[Climate zone type i]], 0)</f>
        <v>Dry climate zone</v>
      </c>
      <c r="E45" s="26" cm="1">
        <f t="array" ref="E45">Common_InputFunctions.Utility_DisplayArrayInTable(Agresidue_SourceData.N2OEFOrganicFertiliser_Data(), Table_SourceData_N2OEFOrganicFert[[#Headers],[Climate zone type i]], 0)</f>
        <v>5.0000000000000001E-3</v>
      </c>
      <c r="F45" s="24"/>
      <c r="H45" s="8"/>
      <c r="I45" s="8"/>
      <c r="M45" s="24"/>
    </row>
    <row r="46" spans="1:13" ht="20.100000000000001" customHeight="1" x14ac:dyDescent="0.25">
      <c r="A46" s="5" t="str">
        <f>HYPERLINK("#'6.2.1.1-2 Pasture residue N2O'!A1", "6.2.1.1-2 Pasture residue N2O")</f>
        <v>6.2.1.1-2 Pasture residue N2O</v>
      </c>
      <c r="H46" s="8"/>
      <c r="I46" s="8"/>
      <c r="M46" s="24"/>
    </row>
    <row r="47" spans="1:13" ht="20.100000000000001" customHeight="1" x14ac:dyDescent="0.25">
      <c r="A47" s="5" t="str">
        <f>HYPERLINK("#'6.3.1.1-2 Leach runoff pasture'!A1", "6.3.1.1-2 Leach &amp; runoff (pasture)")</f>
        <v>6.3.1.1-2 Leach &amp; runoff (pasture)</v>
      </c>
      <c r="M47" s="24"/>
    </row>
    <row r="48" spans="1:13" ht="20.100000000000001" customHeight="1" x14ac:dyDescent="0.25">
      <c r="A48" s="5" t="str">
        <f>HYPERLINK("#'8.1.1.1-2 Transport fuel'!A1", "8.1.1.1-2 Transport fuel")</f>
        <v>8.1.1.1-2 Transport fuel</v>
      </c>
      <c r="D48" s="2" t="str" cm="1">
        <f t="array" ref="D48">Agresidue_SourceData.PastureAttributes_Title()</f>
        <v>Table A.2.1.3 Pasture attributes</v>
      </c>
      <c r="K48" s="8"/>
      <c r="L48" s="8"/>
    </row>
    <row r="49" spans="1:12" ht="20.100000000000001" customHeight="1" x14ac:dyDescent="0.25">
      <c r="A49" s="5" t="str">
        <f>HYPERLINK("#'8.2.1.1-2 Stationary fuel'!A1", "8.2.1.1-2 Stationary fuel")</f>
        <v>8.2.1.1-2 Stationary fuel</v>
      </c>
      <c r="D49" s="17" t="str" cm="1">
        <f t="array" ref="D49">Agresidue_SourceData.PastureAttributes_Source()</f>
        <v>VEERG 2026: Table A.2.1.3: Pasture attributes</v>
      </c>
      <c r="K49" s="8"/>
      <c r="L49" s="8"/>
    </row>
    <row r="50" spans="1:12" ht="20.100000000000001" customHeight="1" x14ac:dyDescent="0.25">
      <c r="A50" s="5" t="str">
        <f>HYPERLINK("#'9.1.1.1-2 Refrigerant use'!A1", "9.1.1.1-2 Refrigerant use")</f>
        <v>9.1.1.1-2 Refrigerant use</v>
      </c>
      <c r="K50" s="8"/>
      <c r="L50" s="8"/>
    </row>
    <row r="51" spans="1:12" ht="20.100000000000001" customHeight="1" x14ac:dyDescent="0.25">
      <c r="A51" s="5" t="str">
        <f>HYPERLINK("#'10.1.1-2 Solid waste treatment'!A1", "10.1.1.1-2 Solid waste")</f>
        <v>10.1.1.1-2 Solid waste</v>
      </c>
      <c r="D51" s="19" t="s">
        <v>1130</v>
      </c>
      <c r="E51" s="19" t="s">
        <v>1179</v>
      </c>
      <c r="F51" s="19" t="s">
        <v>1180</v>
      </c>
      <c r="G51" s="19" t="s">
        <v>1181</v>
      </c>
      <c r="H51" s="19" t="s">
        <v>1182</v>
      </c>
      <c r="I51" s="19" t="s">
        <v>1183</v>
      </c>
      <c r="K51" s="8"/>
      <c r="L51" s="8"/>
    </row>
    <row r="52" spans="1:12" ht="20.100000000000001" customHeight="1" x14ac:dyDescent="0.25">
      <c r="A52" s="5" t="str">
        <f>HYPERLINK("#'14.1.1-2 Purchased electricity'!A1", "14.1.1-2 Purchased electricity")</f>
        <v>14.1.1-2 Purchased electricity</v>
      </c>
      <c r="D52" s="19" t="str" cm="1">
        <f t="array" ref="D52">Common_InputFunctions.Utility_DisplayArrayInTable(Agresidue_SourceData.PastureAttributes_Data(), Table_SourceData_PastureAttributes[[#Headers],[Pasture type]], 0)</f>
        <v>Annual grass</v>
      </c>
      <c r="E52" s="19" cm="1">
        <f t="array" ref="E52">Common_InputFunctions.Utility_DisplayArrayInTable(Agresidue_SourceData.PastureAttributes_Data(), Table_SourceData_PastureAttributes[[#Headers],[Pasture type]], 0)</f>
        <v>4.41</v>
      </c>
      <c r="F52" s="19" cm="1">
        <f t="array" ref="F52">Common_InputFunctions.Utility_DisplayArrayInTable(Agresidue_SourceData.PastureAttributes_Data(), Table_SourceData_PastureAttributes[[#Headers],[Pasture type]], 0)</f>
        <v>0.4</v>
      </c>
      <c r="G52" s="19" cm="1">
        <f t="array" ref="G52">Common_InputFunctions.Utility_DisplayArrayInTable(Agresidue_SourceData.PastureAttributes_Data(), Table_SourceData_PastureAttributes[[#Headers],[Pasture type]], 0)</f>
        <v>1.4999999999999999E-2</v>
      </c>
      <c r="H52" s="19" cm="1">
        <f t="array" ref="H52">Common_InputFunctions.Utility_DisplayArrayInTable(Agresidue_SourceData.PastureAttributes_Data(), Table_SourceData_PastureAttributes[[#Headers],[Pasture type]], 0)</f>
        <v>1.2E-2</v>
      </c>
      <c r="I52" s="19" cm="1">
        <f t="array" ref="I52">Common_InputFunctions.Utility_DisplayArrayInTable(Agresidue_SourceData.PastureAttributes_Data(), Table_SourceData_PastureAttributes[[#Headers],[Pasture type]], 0)</f>
        <v>0.8</v>
      </c>
      <c r="L52" s="8"/>
    </row>
    <row r="53" spans="1:12" ht="20.100000000000001" customHeight="1" x14ac:dyDescent="0.25">
      <c r="A53" s="5" t="str">
        <f>HYPERLINK("#'15 Scope 3'!A1", "15 Scope 3")</f>
        <v>15 Scope 3</v>
      </c>
      <c r="D53" s="19" t="str" cm="1">
        <f t="array" ref="D53">Common_InputFunctions.Utility_DisplayArrayInTable(Agresidue_SourceData.PastureAttributes_Data(), Table_SourceData_PastureAttributes[[#Headers],[Pasture type]], 0)</f>
        <v>Grass clover mixture</v>
      </c>
      <c r="E53" s="19" cm="1">
        <f t="array" ref="E53">Common_InputFunctions.Utility_DisplayArrayInTable(Agresidue_SourceData.PastureAttributes_Data(), Table_SourceData_PastureAttributes[[#Headers],[Pasture type]], 0)</f>
        <v>8.34</v>
      </c>
      <c r="F53" s="19" cm="1">
        <f t="array" ref="F53">Common_InputFunctions.Utility_DisplayArrayInTable(Agresidue_SourceData.PastureAttributes_Data(), Table_SourceData_PastureAttributes[[#Headers],[Pasture type]], 0)</f>
        <v>0.8</v>
      </c>
      <c r="G53" s="19" cm="1">
        <f t="array" ref="G53">Common_InputFunctions.Utility_DisplayArrayInTable(Agresidue_SourceData.PastureAttributes_Data(), Table_SourceData_PastureAttributes[[#Headers],[Pasture type]], 0)</f>
        <v>2.5000000000000001E-2</v>
      </c>
      <c r="H53" s="19" cm="1">
        <f t="array" ref="H53">Common_InputFunctions.Utility_DisplayArrayInTable(Agresidue_SourceData.PastureAttributes_Data(), Table_SourceData_PastureAttributes[[#Headers],[Pasture type]], 0)</f>
        <v>1.6E-2</v>
      </c>
      <c r="I53" s="19" cm="1">
        <f t="array" ref="I53">Common_InputFunctions.Utility_DisplayArrayInTable(Agresidue_SourceData.PastureAttributes_Data(), Table_SourceData_PastureAttributes[[#Headers],[Pasture type]], 0)</f>
        <v>0.8</v>
      </c>
      <c r="L53" s="8"/>
    </row>
    <row r="54" spans="1:12" ht="20.100000000000001" customHeight="1" x14ac:dyDescent="0.25">
      <c r="A54" s="5" t="str">
        <f>HYPERLINK("#'Calcs - Manure sent off-site'!A1", "Calcs - Manure sent off-site")</f>
        <v>Calcs - Manure sent off-site</v>
      </c>
      <c r="D54" s="19" t="str" cm="1">
        <f t="array" ref="D54">Common_InputFunctions.Utility_DisplayArrayInTable(Agresidue_SourceData.PastureAttributes_Data(), Table_SourceData_PastureAttributes[[#Headers],[Pasture type]], 0)</f>
        <v>Lucerne</v>
      </c>
      <c r="E54" s="19" cm="1">
        <f t="array" ref="E54">Common_InputFunctions.Utility_DisplayArrayInTable(Agresidue_SourceData.PastureAttributes_Data(), Table_SourceData_PastureAttributes[[#Headers],[Pasture type]], 0)</f>
        <v>8.6199999999999992</v>
      </c>
      <c r="F54" s="19" cm="1">
        <f t="array" ref="F54">Common_InputFunctions.Utility_DisplayArrayInTable(Agresidue_SourceData.PastureAttributes_Data(), Table_SourceData_PastureAttributes[[#Headers],[Pasture type]], 0)</f>
        <v>0.4</v>
      </c>
      <c r="G54" s="19" cm="1">
        <f t="array" ref="G54">Common_InputFunctions.Utility_DisplayArrayInTable(Agresidue_SourceData.PastureAttributes_Data(), Table_SourceData_PastureAttributes[[#Headers],[Pasture type]], 0)</f>
        <v>2.7E-2</v>
      </c>
      <c r="H54" s="19" cm="1">
        <f t="array" ref="H54">Common_InputFunctions.Utility_DisplayArrayInTable(Agresidue_SourceData.PastureAttributes_Data(), Table_SourceData_PastureAttributes[[#Headers],[Pasture type]], 0)</f>
        <v>1.9E-2</v>
      </c>
      <c r="I54" s="19" cm="1">
        <f t="array" ref="I54">Common_InputFunctions.Utility_DisplayArrayInTable(Agresidue_SourceData.PastureAttributes_Data(), Table_SourceData_PastureAttributes[[#Headers],[Pasture type]], 0)</f>
        <v>0.8</v>
      </c>
    </row>
    <row r="55" spans="1:12" ht="20.100000000000001" customHeight="1" x14ac:dyDescent="0.25">
      <c r="D55" s="19" t="str" cm="1">
        <f t="array" ref="D55">Common_InputFunctions.Utility_DisplayArrayInTable(Agresidue_SourceData.PastureAttributes_Data(), Table_SourceData_PastureAttributes[[#Headers],[Pasture type]], 0)</f>
        <v>Other legume</v>
      </c>
      <c r="E55" s="19" cm="1">
        <f t="array" ref="E55">Common_InputFunctions.Utility_DisplayArrayInTable(Agresidue_SourceData.PastureAttributes_Data(), Table_SourceData_PastureAttributes[[#Headers],[Pasture type]], 0)</f>
        <v>5.62</v>
      </c>
      <c r="F55" s="19" cm="1">
        <f t="array" ref="F55">Common_InputFunctions.Utility_DisplayArrayInTable(Agresidue_SourceData.PastureAttributes_Data(), Table_SourceData_PastureAttributes[[#Headers],[Pasture type]], 0)</f>
        <v>0.4</v>
      </c>
      <c r="G55" s="19" cm="1">
        <f t="array" ref="G55">Common_InputFunctions.Utility_DisplayArrayInTable(Agresidue_SourceData.PastureAttributes_Data(), Table_SourceData_PastureAttributes[[#Headers],[Pasture type]], 0)</f>
        <v>2.7E-2</v>
      </c>
      <c r="H55" s="19" cm="1">
        <f t="array" ref="H55">Common_InputFunctions.Utility_DisplayArrayInTable(Agresidue_SourceData.PastureAttributes_Data(), Table_SourceData_PastureAttributes[[#Headers],[Pasture type]], 0)</f>
        <v>2.1999999999999999E-2</v>
      </c>
      <c r="I55" s="19" cm="1">
        <f t="array" ref="I55">Common_InputFunctions.Utility_DisplayArrayInTable(Agresidue_SourceData.PastureAttributes_Data(), Table_SourceData_PastureAttributes[[#Headers],[Pasture type]], 0)</f>
        <v>0.8</v>
      </c>
    </row>
    <row r="56" spans="1:12" ht="20.100000000000001" customHeight="1" x14ac:dyDescent="0.25">
      <c r="D56" s="19" t="str" cm="1">
        <f t="array" ref="D56">Common_InputFunctions.Utility_DisplayArrayInTable(Agresidue_SourceData.PastureAttributes_Data(), Table_SourceData_PastureAttributes[[#Headers],[Pasture type]], 0)</f>
        <v>Perennial pasture</v>
      </c>
      <c r="E56" s="19" cm="1">
        <f t="array" ref="E56">Common_InputFunctions.Utility_DisplayArrayInTable(Agresidue_SourceData.PastureAttributes_Data(), Table_SourceData_PastureAttributes[[#Headers],[Pasture type]], 0)</f>
        <v>8.35</v>
      </c>
      <c r="F56" s="19" cm="1">
        <f t="array" ref="F56">Common_InputFunctions.Utility_DisplayArrayInTable(Agresidue_SourceData.PastureAttributes_Data(), Table_SourceData_PastureAttributes[[#Headers],[Pasture type]], 0)</f>
        <v>0.8</v>
      </c>
      <c r="G56" s="19" cm="1">
        <f t="array" ref="G56">Common_InputFunctions.Utility_DisplayArrayInTable(Agresidue_SourceData.PastureAttributes_Data(), Table_SourceData_PastureAttributes[[#Headers],[Pasture type]], 0)</f>
        <v>1.4999999999999999E-2</v>
      </c>
      <c r="H56" s="19" cm="1">
        <f t="array" ref="H56">Common_InputFunctions.Utility_DisplayArrayInTable(Agresidue_SourceData.PastureAttributes_Data(), Table_SourceData_PastureAttributes[[#Headers],[Pasture type]], 0)</f>
        <v>1.2E-2</v>
      </c>
      <c r="I56" s="19" cm="1">
        <f t="array" ref="I56">Common_InputFunctions.Utility_DisplayArrayInTable(Agresidue_SourceData.PastureAttributes_Data(), Table_SourceData_PastureAttributes[[#Headers],[Pasture type]], 0)</f>
        <v>0.8</v>
      </c>
    </row>
    <row r="57" spans="1:12" ht="20.100000000000001" customHeight="1" x14ac:dyDescent="0.25">
      <c r="A57" s="82" t="s">
        <v>1</v>
      </c>
      <c r="H57" s="8"/>
    </row>
    <row r="58" spans="1:12" ht="20.100000000000001" customHeight="1" x14ac:dyDescent="0.25">
      <c r="A58" s="5" t="str">
        <f>HYPERLINK("#'Constants - Dairy'!A1", "Constants - Dairy")</f>
        <v>Constants - Dairy</v>
      </c>
    </row>
    <row r="59" spans="1:12" ht="20.100000000000001" customHeight="1" x14ac:dyDescent="0.25">
      <c r="A59" s="83" t="str">
        <f>HYPERLINK("#'Constants - Ag Residue'!A1", "Constants - Ag residue")</f>
        <v>Constants - Ag residue</v>
      </c>
      <c r="D59" s="2" t="str" cm="1">
        <f t="array" ref="D59">AgResidues_SourceData.BurningOfAgriculturalResiduesEFs_Title()</f>
        <v>Table 5.31 Burning of agricultural residues - EFs</v>
      </c>
    </row>
    <row r="60" spans="1:12" ht="20.100000000000001" customHeight="1" x14ac:dyDescent="0.25">
      <c r="A60" s="5" t="str">
        <f>HYPERLINK("#'Constants - Common Livestock'!A1", "Constants - Common Livestock")</f>
        <v>Constants - Common Livestock</v>
      </c>
      <c r="D60" s="17" t="str" cm="1">
        <f t="array" ref="D60">AgResidues_SourceData.BurningOfAgriculturalResiduesEFs_Source()</f>
        <v>National Inventory Report 2023 volume 2: Table 5.31: Burning of agricultural residues - EFs</v>
      </c>
    </row>
    <row r="61" spans="1:12" ht="20.100000000000001" customHeight="1" x14ac:dyDescent="0.25">
      <c r="A61" s="5" t="str">
        <f>HYPERLINK("#'Constants - Electricity'!A1", "Constants - Electricity")</f>
        <v>Constants - Electricity</v>
      </c>
    </row>
    <row r="62" spans="1:12" ht="20.100000000000001" customHeight="1" x14ac:dyDescent="0.25">
      <c r="A62" s="5" t="str">
        <f>HYPERLINK("#'Constants - Fertiliser'!A1", "Constants - Fertiliser")</f>
        <v>Constants - Fertiliser</v>
      </c>
      <c r="D62" s="19" t="s">
        <v>1184</v>
      </c>
      <c r="E62" s="19" t="s">
        <v>1185</v>
      </c>
      <c r="F62" s="19" t="s">
        <v>1186</v>
      </c>
    </row>
    <row r="63" spans="1:12" ht="20.100000000000001" customHeight="1" x14ac:dyDescent="0.25">
      <c r="A63" s="5" t="str">
        <f>HYPERLINK("#'Constants - Fuel'!A1", "Constants - Fuel")</f>
        <v>Constants - Fuel</v>
      </c>
      <c r="D63" s="19" t="str" cm="1">
        <f t="array" ref="D63">Common_InputFunctions.Utility_DisplayArrayInTable(AgResidues_SourceData.BurningOfAgriculturalResiduesEFs_Data(), Table_SourceData_BurningResidueEFs[[#Headers],[Gas species]], 0)</f>
        <v>CH4</v>
      </c>
      <c r="E63" s="19" cm="1">
        <f t="array" ref="E63">Common_InputFunctions.Utility_DisplayArrayInTable(AgResidues_SourceData.BurningOfAgriculturalResiduesEFs_Data(), Table_SourceData_BurningResidueEFs[[#Headers],[Gas species]], 0)</f>
        <v>3.5000000000000001E-3</v>
      </c>
      <c r="F63" s="19" t="str" cm="1">
        <f t="array" ref="F63">Common_InputFunctions.Utility_DisplayArrayInTable(AgResidues_SourceData.BurningOfAgriculturalResiduesEFs_Data(), Table_SourceData_BurningResidueEFs[[#Headers],[Gas species]], 0)</f>
        <v>16/12</v>
      </c>
      <c r="K63" s="8"/>
      <c r="L63" s="8"/>
    </row>
    <row r="64" spans="1:12" ht="20.100000000000001" customHeight="1" x14ac:dyDescent="0.25">
      <c r="A64" s="5" t="str">
        <f>HYPERLINK("#'Constants - Scope 3'!A1", "Constants - Scope 3")</f>
        <v>Constants - Scope 3</v>
      </c>
      <c r="D64" s="1" t="str" cm="1">
        <f t="array" ref="D64">Common_InputFunctions.Utility_DisplayArrayInTable(AgResidues_SourceData.BurningOfAgriculturalResiduesEFs_Data(), Table_SourceData_BurningResidueEFs[[#Headers],[Gas species]], 0)</f>
        <v>N2O</v>
      </c>
      <c r="E64" s="19" cm="1">
        <f t="array" ref="E64">Common_InputFunctions.Utility_DisplayArrayInTable(AgResidues_SourceData.BurningOfAgriculturalResiduesEFs_Data(), Table_SourceData_BurningResidueEFs[[#Headers],[Gas species]], 0)</f>
        <v>7.6E-3</v>
      </c>
      <c r="F64" s="19" t="str" cm="1">
        <f t="array" ref="F64">Common_InputFunctions.Utility_DisplayArrayInTable(AgResidues_SourceData.BurningOfAgriculturalResiduesEFs_Data(), Table_SourceData_BurningResidueEFs[[#Headers],[Gas species]], 0)</f>
        <v>44/28</v>
      </c>
      <c r="K64" s="8"/>
      <c r="L64" s="8"/>
    </row>
    <row r="65" spans="1:12" ht="20.100000000000001" customHeight="1" x14ac:dyDescent="0.25">
      <c r="A65" s="5" t="str">
        <f>HYPERLINK("#'Constants - Common'!A1", "Constants - Common")</f>
        <v>Constants - Common</v>
      </c>
      <c r="D65" s="1" t="str" cm="1">
        <f t="array" ref="D65">Common_InputFunctions.Utility_DisplayArrayInTable(AgResidues_SourceData.BurningOfAgriculturalResiduesEFs_Data(), Table_SourceData_BurningResidueEFs[[#Headers],[Gas species]], 0)</f>
        <v>NOx</v>
      </c>
      <c r="E65" s="19" cm="1">
        <f t="array" ref="E65">Common_InputFunctions.Utility_DisplayArrayInTable(AgResidues_SourceData.BurningOfAgriculturalResiduesEFs_Data(), Table_SourceData_BurningResidueEFs[[#Headers],[Gas species]], 0)</f>
        <v>0.21</v>
      </c>
      <c r="F65" s="19" t="str" cm="1">
        <f t="array" ref="F65">Common_InputFunctions.Utility_DisplayArrayInTable(AgResidues_SourceData.BurningOfAgriculturalResiduesEFs_Data(), Table_SourceData_BurningResidueEFs[[#Headers],[Gas species]], 0)</f>
        <v>46/14</v>
      </c>
      <c r="K65" s="8"/>
      <c r="L65" s="8"/>
    </row>
    <row r="66" spans="1:12" ht="20.100000000000001" customHeight="1" x14ac:dyDescent="0.25">
      <c r="A66" s="5" t="str">
        <f>HYPERLINK("#'Constants - Refrigerants'!A1", "Constants - Refrigerants")</f>
        <v>Constants - Refrigerants</v>
      </c>
      <c r="D66" s="1" t="str" cm="1">
        <f t="array" ref="D66">Common_InputFunctions.Utility_DisplayArrayInTable(AgResidues_SourceData.BurningOfAgriculturalResiduesEFs_Data(), Table_SourceData_BurningResidueEFs[[#Headers],[Gas species]], 0)</f>
        <v>CO</v>
      </c>
      <c r="E66" s="19" cm="1">
        <f t="array" ref="E66">Common_InputFunctions.Utility_DisplayArrayInTable(AgResidues_SourceData.BurningOfAgriculturalResiduesEFs_Data(), Table_SourceData_BurningResidueEFs[[#Headers],[Gas species]], 0)</f>
        <v>7.8E-2</v>
      </c>
      <c r="F66" s="19" t="str" cm="1">
        <f t="array" ref="F66">Common_InputFunctions.Utility_DisplayArrayInTable(AgResidues_SourceData.BurningOfAgriculturalResiduesEFs_Data(), Table_SourceData_BurningResidueEFs[[#Headers],[Gas species]], 0)</f>
        <v>28/12</v>
      </c>
      <c r="K66" s="8"/>
      <c r="L66" s="8"/>
    </row>
    <row r="67" spans="1:12" ht="20.100000000000001" customHeight="1" x14ac:dyDescent="0.25">
      <c r="A67" s="5" t="str">
        <f>HYPERLINK("#'Constants - Solid Waste'!A1", "Constants - Solid Waste")</f>
        <v>Constants - Solid Waste</v>
      </c>
      <c r="D67" s="1" t="str" cm="1">
        <f t="array" ref="D67">Common_InputFunctions.Utility_DisplayArrayInTable(AgResidues_SourceData.BurningOfAgriculturalResiduesEFs_Data(), Table_SourceData_BurningResidueEFs[[#Headers],[Gas species]], 0)</f>
        <v>NMVOC</v>
      </c>
      <c r="E67" s="19" cm="1">
        <f t="array" ref="E67">Common_InputFunctions.Utility_DisplayArrayInTable(AgResidues_SourceData.BurningOfAgriculturalResiduesEFs_Data(), Table_SourceData_BurningResidueEFs[[#Headers],[Gas species]], 0)</f>
        <v>9.1000000000000004E-3</v>
      </c>
      <c r="F67" s="19" t="str" cm="1">
        <f t="array" ref="F67">Common_InputFunctions.Utility_DisplayArrayInTable(AgResidues_SourceData.BurningOfAgriculturalResiduesEFs_Data(), Table_SourceData_BurningResidueEFs[[#Headers],[Gas species]], 0)</f>
        <v>14/12</v>
      </c>
      <c r="K67" s="8"/>
      <c r="L67" s="8"/>
    </row>
    <row r="68" spans="1:12" ht="20.100000000000001" customHeight="1" x14ac:dyDescent="0.25">
      <c r="A68" s="5" t="str">
        <f>HYPERLINK("#'Acknowledgements'!A1", "Acknowledgements")</f>
        <v>Acknowledgements</v>
      </c>
      <c r="K68" s="8"/>
      <c r="L68" s="8"/>
    </row>
    <row r="69" spans="1:12" ht="20.100000000000001" customHeight="1" x14ac:dyDescent="0.25">
      <c r="K69" s="8"/>
      <c r="L69" s="8"/>
    </row>
    <row r="70" spans="1:12" ht="20.100000000000001" customHeight="1" x14ac:dyDescent="0.25">
      <c r="D70" s="2" t="str" cm="1">
        <f t="array" ref="D70">Agresidue_SourceData.CropFractionRemoved_Title()</f>
        <v>Table A.2.1.2: Crop attributes - Fraction removed (FFODc)</v>
      </c>
      <c r="E70" s="8"/>
      <c r="F70" s="8"/>
      <c r="G70" s="8"/>
      <c r="K70" s="8"/>
      <c r="L70" s="8"/>
    </row>
    <row r="71" spans="1:12" ht="20.100000000000001" customHeight="1" x14ac:dyDescent="0.25">
      <c r="D71" s="17" t="str" cm="1">
        <f t="array" ref="D71">Agresidue_SourceData.CropFractionRemoved_Source()</f>
        <v>VEERG 2026: Table A.2.1.2: Crop attributes - Fraction removed (FFODc)</v>
      </c>
      <c r="E71" s="8"/>
      <c r="F71" s="8"/>
      <c r="G71" s="8"/>
      <c r="K71" s="8"/>
      <c r="L71" s="8"/>
    </row>
    <row r="72" spans="1:12" ht="20.100000000000001" customHeight="1" x14ac:dyDescent="0.25">
      <c r="D72" s="8"/>
      <c r="E72" s="8"/>
      <c r="F72" s="8"/>
      <c r="G72" s="8"/>
      <c r="K72" s="8"/>
      <c r="L72" s="8"/>
    </row>
    <row r="73" spans="1:12" ht="20.100000000000001" customHeight="1" x14ac:dyDescent="0.25">
      <c r="D73" t="s">
        <v>1187</v>
      </c>
      <c r="E73" t="s">
        <v>98</v>
      </c>
      <c r="F73" t="s">
        <v>1188</v>
      </c>
      <c r="G73" s="8"/>
      <c r="K73" s="8"/>
      <c r="L73" s="8"/>
    </row>
    <row r="74" spans="1: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8"/>
      <c r="K74" s="8"/>
      <c r="L74" s="8"/>
    </row>
    <row r="75" spans="1:12" ht="20.100000000000001" customHeight="1" x14ac:dyDescent="0.25">
      <c r="D75" s="8"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8"/>
      <c r="H75" s="8"/>
      <c r="K75" s="8"/>
      <c r="L75" s="8"/>
    </row>
    <row r="76" spans="1:12" ht="20.100000000000001" customHeight="1" x14ac:dyDescent="0.25">
      <c r="D76" s="8"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8"/>
      <c r="H76" s="8"/>
      <c r="K76" s="8"/>
      <c r="L76" s="8"/>
    </row>
    <row r="77" spans="1:12" ht="20.100000000000001" customHeight="1" x14ac:dyDescent="0.25">
      <c r="D77" s="8"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8"/>
      <c r="H77" s="8"/>
      <c r="I77" s="8"/>
      <c r="J77" s="8"/>
      <c r="K77" s="8"/>
      <c r="L77" s="8"/>
    </row>
    <row r="78" spans="1:12" ht="20.100000000000001" customHeight="1" x14ac:dyDescent="0.25">
      <c r="D78" s="8"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8"/>
      <c r="H78" s="8"/>
      <c r="I78" s="8"/>
      <c r="J78" s="8"/>
      <c r="K78" s="8"/>
      <c r="L78" s="8"/>
    </row>
    <row r="79" spans="1:12" ht="20.100000000000001" customHeight="1" x14ac:dyDescent="0.25">
      <c r="D79" s="8"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8"/>
      <c r="H79" s="8"/>
      <c r="I79" s="8"/>
      <c r="J79" s="8"/>
      <c r="K79" s="8"/>
      <c r="L79" s="8"/>
    </row>
    <row r="80" spans="1:12" ht="20.100000000000001" customHeight="1" x14ac:dyDescent="0.25">
      <c r="D80" s="8"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8"/>
      <c r="H80" s="8"/>
      <c r="I80" s="8"/>
      <c r="J80" s="8"/>
      <c r="K80" s="8"/>
      <c r="L80" s="8"/>
    </row>
    <row r="81" spans="4:12" ht="20.100000000000001" customHeight="1" x14ac:dyDescent="0.25">
      <c r="D81" s="8"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8"/>
      <c r="H81" s="8"/>
      <c r="I81" s="8"/>
      <c r="J81" s="8"/>
      <c r="K81" s="8"/>
      <c r="L81" s="8"/>
    </row>
    <row r="82" spans="4:12" ht="20.100000000000001" customHeight="1" x14ac:dyDescent="0.25">
      <c r="D82" s="8"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8"/>
      <c r="H82" s="8"/>
      <c r="I82" s="8"/>
      <c r="J82" s="8"/>
      <c r="K82" s="8"/>
      <c r="L82" s="8"/>
    </row>
    <row r="83" spans="4:12" ht="20.100000000000001" customHeight="1" x14ac:dyDescent="0.25">
      <c r="D83" s="8"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8"/>
      <c r="H83" s="8"/>
      <c r="I83" s="8"/>
      <c r="J83" s="8"/>
      <c r="K83" s="8"/>
      <c r="L83" s="8"/>
    </row>
    <row r="84" spans="4:12" ht="20.100000000000001" customHeight="1" x14ac:dyDescent="0.25">
      <c r="D84" s="8"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8"/>
      <c r="H84" s="8"/>
      <c r="I84" s="8"/>
      <c r="J84" s="8"/>
      <c r="K84" s="8"/>
      <c r="L84" s="8"/>
    </row>
    <row r="85" spans="4:12" ht="20.100000000000001" customHeight="1" x14ac:dyDescent="0.25">
      <c r="D85" s="8"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8"/>
      <c r="H85" s="8"/>
      <c r="I85" s="8"/>
      <c r="J85" s="8"/>
      <c r="K85" s="8"/>
      <c r="L85" s="8"/>
    </row>
    <row r="86" spans="4:12" ht="20.100000000000001" customHeight="1" x14ac:dyDescent="0.25">
      <c r="D86" s="8"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8"/>
      <c r="H86" s="8"/>
      <c r="I86" s="8"/>
      <c r="J86" s="8"/>
      <c r="K86" s="8"/>
      <c r="L86" s="8"/>
    </row>
    <row r="87" spans="4:12" ht="20.100000000000001" customHeight="1" x14ac:dyDescent="0.25">
      <c r="D87" s="8"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8"/>
      <c r="H87" s="8"/>
      <c r="I87" s="8"/>
      <c r="J87" s="8"/>
      <c r="K87" s="8"/>
      <c r="L87" s="8"/>
    </row>
    <row r="88" spans="4:12" ht="20.100000000000001" customHeight="1" x14ac:dyDescent="0.25">
      <c r="D88" s="8"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8"/>
      <c r="H88" s="8"/>
      <c r="I88" s="8"/>
      <c r="J88" s="8"/>
      <c r="K88" s="8"/>
      <c r="L88" s="8"/>
    </row>
    <row r="89" spans="4:12" ht="20.100000000000001" customHeight="1" x14ac:dyDescent="0.25">
      <c r="D89" s="8"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8"/>
      <c r="H89" s="8"/>
      <c r="I89" s="8"/>
      <c r="J89" s="8"/>
      <c r="K89" s="8"/>
      <c r="L89" s="8"/>
    </row>
    <row r="90" spans="4:12" ht="20.100000000000001" customHeight="1" x14ac:dyDescent="0.25">
      <c r="D90" s="8"/>
      <c r="E90" s="8"/>
      <c r="F90" s="8"/>
      <c r="G90" s="8"/>
      <c r="H90" s="8"/>
      <c r="I90" s="8"/>
      <c r="J90" s="8"/>
      <c r="K90" s="8"/>
      <c r="L90" s="8"/>
    </row>
    <row r="91" spans="4:12" ht="20.100000000000001" customHeight="1" x14ac:dyDescent="0.25">
      <c r="D91" s="25" t="str" cm="1">
        <f t="array" ref="D91">"⚠️" &amp; Agresidue_SourceData.CropFractionRemoved_Variation()</f>
        <v>⚠️VARIATION OF SOURCE DATA: Split 'All other crop types' into individual crop types for each state. Listed all states for Sugar Cane, with 'N/A' for states where it is not grown.</v>
      </c>
      <c r="E91" s="8"/>
      <c r="F91" s="8"/>
      <c r="G91" s="8"/>
      <c r="H91" s="8"/>
      <c r="I91" s="8"/>
      <c r="J91" s="8"/>
      <c r="K91" s="8"/>
      <c r="L91" s="8"/>
    </row>
    <row r="92" spans="4:12" ht="20.100000000000001" customHeight="1" x14ac:dyDescent="0.25">
      <c r="D92" t="s">
        <v>1187</v>
      </c>
      <c r="E92" t="s">
        <v>98</v>
      </c>
      <c r="F92" t="s">
        <v>1188</v>
      </c>
      <c r="G92" s="8"/>
      <c r="H92" s="8"/>
      <c r="I92" s="8"/>
      <c r="J92" s="8"/>
      <c r="K92" s="8"/>
      <c r="L92" s="8"/>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8"/>
      <c r="H93" s="8"/>
      <c r="I93" s="8"/>
      <c r="J93" s="8"/>
      <c r="K93" s="8"/>
      <c r="L93" s="8"/>
    </row>
    <row r="94" spans="4:12" ht="20.100000000000001" customHeight="1" x14ac:dyDescent="0.25">
      <c r="D94" s="8"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8"/>
      <c r="H94" s="8"/>
      <c r="I94" s="8"/>
      <c r="J94" s="8"/>
      <c r="K94" s="8"/>
      <c r="L94" s="8"/>
    </row>
    <row r="95" spans="4:12" ht="20.100000000000001" customHeight="1" x14ac:dyDescent="0.25">
      <c r="D95" s="8"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8"/>
      <c r="H95" s="8"/>
      <c r="I95" s="8"/>
      <c r="J95" s="8"/>
      <c r="K95" s="8"/>
      <c r="L95" s="8"/>
    </row>
    <row r="96" spans="4:12" ht="20.100000000000001" customHeight="1" x14ac:dyDescent="0.25">
      <c r="D96" s="8"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8"/>
      <c r="H96" s="8"/>
      <c r="I96" s="8"/>
      <c r="J96" s="8"/>
      <c r="K96" s="8"/>
      <c r="L96" s="8"/>
    </row>
    <row r="97" spans="4:12" ht="20.100000000000001" customHeight="1" x14ac:dyDescent="0.25">
      <c r="D97" s="8"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8"/>
      <c r="H97" s="8"/>
      <c r="I97" s="8"/>
      <c r="J97" s="8"/>
      <c r="K97" s="8"/>
      <c r="L97" s="8"/>
    </row>
    <row r="98" spans="4:12" ht="20.100000000000001" customHeight="1" x14ac:dyDescent="0.25">
      <c r="D98" s="8"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8"/>
      <c r="H98" s="8"/>
      <c r="I98" s="8"/>
      <c r="J98" s="8"/>
      <c r="K98" s="8"/>
      <c r="L98" s="8"/>
    </row>
    <row r="99" spans="4:12" ht="20.100000000000001" customHeight="1" x14ac:dyDescent="0.25">
      <c r="D99" s="8"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8"/>
      <c r="H99" s="8"/>
      <c r="I99" s="8"/>
      <c r="J99" s="8"/>
      <c r="K99" s="8"/>
      <c r="L99" s="8"/>
    </row>
    <row r="100" spans="4:12" ht="20.100000000000001" customHeight="1" x14ac:dyDescent="0.25">
      <c r="D100" s="8"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8"/>
      <c r="H100" s="8"/>
      <c r="I100" s="8"/>
      <c r="J100" s="8"/>
      <c r="K100" s="8"/>
      <c r="L100" s="8"/>
    </row>
    <row r="101" spans="4:12" ht="20.100000000000001" customHeight="1" x14ac:dyDescent="0.25">
      <c r="D101" s="8"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8"/>
      <c r="H101" s="8"/>
      <c r="I101" s="8"/>
      <c r="J101" s="8"/>
      <c r="K101" s="8"/>
      <c r="L101" s="8"/>
    </row>
    <row r="102" spans="4:12" ht="20.100000000000001" customHeight="1" x14ac:dyDescent="0.25">
      <c r="D102" s="8"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8"/>
      <c r="H102" s="8"/>
      <c r="I102" s="8"/>
      <c r="J102" s="8"/>
      <c r="K102" s="8"/>
      <c r="L102" s="8"/>
    </row>
    <row r="103" spans="4:12" ht="20.100000000000001" customHeight="1" x14ac:dyDescent="0.25">
      <c r="D103" s="8"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8"/>
      <c r="H103" s="8"/>
      <c r="I103" s="8"/>
      <c r="J103" s="8"/>
      <c r="K103" s="8"/>
      <c r="L103" s="8"/>
    </row>
    <row r="104" spans="4:12" ht="20.100000000000001" customHeight="1" x14ac:dyDescent="0.25">
      <c r="D104" s="8"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8"/>
      <c r="H104" s="8"/>
      <c r="I104" s="8"/>
      <c r="J104" s="8"/>
      <c r="K104" s="8"/>
      <c r="L104" s="8"/>
    </row>
    <row r="105" spans="4:12" ht="20.100000000000001" customHeight="1" x14ac:dyDescent="0.25">
      <c r="D105" s="8"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8"/>
      <c r="H105" s="8"/>
      <c r="I105" s="8"/>
      <c r="J105" s="8"/>
      <c r="K105" s="8"/>
      <c r="L105" s="8"/>
    </row>
    <row r="106" spans="4:12" ht="20.100000000000001" customHeight="1" x14ac:dyDescent="0.25">
      <c r="D106" s="8"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8"/>
      <c r="H106" s="8"/>
      <c r="I106" s="8"/>
      <c r="J106" s="8"/>
      <c r="K106" s="8"/>
      <c r="L106" s="8"/>
    </row>
    <row r="107" spans="4:12" ht="20.100000000000001" customHeight="1" x14ac:dyDescent="0.25">
      <c r="D107" s="8"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8"/>
      <c r="H107" s="8"/>
      <c r="I107" s="8"/>
      <c r="J107" s="8"/>
      <c r="K107" s="8"/>
      <c r="L107" s="8"/>
    </row>
    <row r="108" spans="4:12" ht="20.100000000000001" customHeight="1" x14ac:dyDescent="0.25">
      <c r="D108" s="8"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8"/>
      <c r="H108" s="8"/>
      <c r="I108" s="8"/>
      <c r="J108" s="8"/>
      <c r="K108" s="8"/>
      <c r="L108" s="8"/>
    </row>
    <row r="109" spans="4:12" ht="20.100000000000001" customHeight="1" x14ac:dyDescent="0.25">
      <c r="D109" s="8"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8"/>
      <c r="H109" s="8"/>
      <c r="I109" s="8"/>
      <c r="J109" s="8"/>
      <c r="K109" s="8"/>
      <c r="L109" s="8"/>
    </row>
    <row r="110" spans="4:12" ht="20.100000000000001" customHeight="1" x14ac:dyDescent="0.25">
      <c r="D110" s="8"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8"/>
      <c r="H110" s="8"/>
      <c r="I110" s="8"/>
      <c r="J110" s="8"/>
      <c r="K110" s="8"/>
      <c r="L110" s="8"/>
    </row>
    <row r="111" spans="4:12" ht="20.100000000000001" customHeight="1" x14ac:dyDescent="0.25">
      <c r="D111" s="8"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8"/>
      <c r="H111" s="8"/>
      <c r="I111" s="8"/>
      <c r="J111" s="8"/>
      <c r="K111" s="8"/>
      <c r="L111" s="8"/>
    </row>
    <row r="112" spans="4:12" ht="20.100000000000001" customHeight="1" x14ac:dyDescent="0.25">
      <c r="D112" s="8"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8"/>
      <c r="H112" s="8"/>
      <c r="I112" s="8"/>
      <c r="J112" s="8"/>
      <c r="K112" s="8"/>
      <c r="L112" s="8"/>
    </row>
    <row r="113" spans="4:12" ht="20.100000000000001" customHeight="1" x14ac:dyDescent="0.25">
      <c r="D113" s="8"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8"/>
      <c r="H113" s="8"/>
      <c r="I113" s="8"/>
      <c r="J113" s="8"/>
      <c r="K113" s="8"/>
      <c r="L113" s="8"/>
    </row>
    <row r="114" spans="4:12" ht="20.100000000000001" customHeight="1" x14ac:dyDescent="0.25">
      <c r="D114" s="8"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8"/>
      <c r="H114" s="8"/>
      <c r="I114" s="8"/>
      <c r="J114" s="8"/>
      <c r="K114" s="8"/>
      <c r="L114" s="8"/>
    </row>
    <row r="115" spans="4:12" ht="20.100000000000001" customHeight="1" x14ac:dyDescent="0.25">
      <c r="D115" s="8"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8"/>
      <c r="H115" s="8"/>
      <c r="I115" s="8"/>
      <c r="J115" s="8"/>
      <c r="K115" s="8"/>
      <c r="L115" s="8"/>
    </row>
    <row r="116" spans="4:12" ht="20.100000000000001" customHeight="1" x14ac:dyDescent="0.25">
      <c r="D116" s="8"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8"/>
      <c r="H116" s="8"/>
      <c r="I116" s="8"/>
      <c r="J116" s="8"/>
      <c r="K116" s="8"/>
      <c r="L116" s="8"/>
    </row>
    <row r="117" spans="4:12" ht="20.100000000000001" customHeight="1" x14ac:dyDescent="0.25">
      <c r="D117" s="8"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8"/>
      <c r="H117" s="8"/>
      <c r="I117" s="8"/>
      <c r="J117" s="8"/>
      <c r="K117" s="8"/>
      <c r="L117" s="8"/>
    </row>
    <row r="118" spans="4:12" ht="20.100000000000001" customHeight="1" x14ac:dyDescent="0.25">
      <c r="D118" s="8"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8"/>
      <c r="H118" s="8"/>
      <c r="I118" s="8"/>
      <c r="J118" s="8"/>
      <c r="K118" s="8"/>
      <c r="L118" s="8"/>
    </row>
    <row r="119" spans="4:12" ht="20.100000000000001" customHeight="1" x14ac:dyDescent="0.25">
      <c r="D119" s="8"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8"/>
      <c r="H119" s="8"/>
      <c r="I119" s="8"/>
      <c r="J119" s="8"/>
      <c r="K119" s="8"/>
      <c r="L119" s="8"/>
    </row>
    <row r="120" spans="4:12" ht="20.100000000000001" customHeight="1" x14ac:dyDescent="0.25">
      <c r="D120" s="8"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8"/>
      <c r="H120" s="8"/>
      <c r="I120" s="8"/>
      <c r="J120" s="8"/>
      <c r="K120" s="8"/>
      <c r="L120" s="8"/>
    </row>
    <row r="121" spans="4:12" ht="20.100000000000001" customHeight="1" x14ac:dyDescent="0.25">
      <c r="D121" s="8"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8"/>
      <c r="H121" s="8"/>
      <c r="I121" s="8"/>
      <c r="J121" s="8"/>
      <c r="K121" s="8"/>
      <c r="L121" s="8"/>
    </row>
    <row r="122" spans="4:12" ht="20.100000000000001" customHeight="1" x14ac:dyDescent="0.25">
      <c r="D122" s="8"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8"/>
      <c r="H122" s="8"/>
      <c r="I122" s="8"/>
      <c r="J122" s="8"/>
      <c r="K122" s="8"/>
      <c r="L122" s="8"/>
    </row>
    <row r="123" spans="4:12" ht="20.100000000000001" customHeight="1" x14ac:dyDescent="0.25">
      <c r="D123" s="8"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8"/>
      <c r="H123" s="8"/>
      <c r="I123" s="8"/>
      <c r="J123" s="8"/>
      <c r="K123" s="8"/>
      <c r="L123" s="8"/>
    </row>
    <row r="124" spans="4:12" ht="20.100000000000001" customHeight="1" x14ac:dyDescent="0.25">
      <c r="D124" s="8"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8"/>
      <c r="H124" s="8"/>
      <c r="I124" s="8"/>
      <c r="J124" s="8"/>
      <c r="K124" s="8"/>
      <c r="L124" s="8"/>
    </row>
    <row r="125" spans="4:12" ht="20.100000000000001" customHeight="1" x14ac:dyDescent="0.25">
      <c r="D125" s="8"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8"/>
      <c r="H125" s="8"/>
      <c r="I125" s="8"/>
      <c r="J125" s="8"/>
      <c r="K125" s="8"/>
      <c r="L125" s="8"/>
    </row>
    <row r="126" spans="4:12" ht="20.100000000000001" customHeight="1" x14ac:dyDescent="0.25">
      <c r="D126" s="8"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8"/>
      <c r="H126" s="8"/>
      <c r="I126" s="8"/>
      <c r="J126" s="8"/>
      <c r="K126" s="8"/>
      <c r="L126" s="8"/>
    </row>
    <row r="127" spans="4:12" ht="20.100000000000001" customHeight="1" x14ac:dyDescent="0.25">
      <c r="D127" s="8"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8"/>
      <c r="H127" s="8"/>
      <c r="I127" s="8"/>
      <c r="J127" s="8"/>
      <c r="K127" s="8"/>
      <c r="L127" s="8"/>
    </row>
    <row r="128" spans="4:12" ht="20.100000000000001" customHeight="1" x14ac:dyDescent="0.25">
      <c r="D128" s="8"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8"/>
      <c r="H128" s="8"/>
      <c r="I128" s="8"/>
      <c r="J128" s="8"/>
      <c r="K128" s="8"/>
      <c r="L128" s="8"/>
    </row>
    <row r="129" spans="4:12" ht="20.100000000000001" customHeight="1" x14ac:dyDescent="0.25">
      <c r="D129" s="8"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8"/>
      <c r="H129" s="8"/>
      <c r="I129" s="8"/>
      <c r="J129" s="8"/>
      <c r="K129" s="8"/>
      <c r="L129" s="8"/>
    </row>
    <row r="130" spans="4:12" ht="20.100000000000001" customHeight="1" x14ac:dyDescent="0.25">
      <c r="D130" s="8"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8"/>
      <c r="H130" s="8"/>
      <c r="I130" s="8"/>
      <c r="J130" s="8"/>
      <c r="K130" s="8"/>
      <c r="L130" s="8"/>
    </row>
    <row r="131" spans="4:12" ht="20.100000000000001" customHeight="1" x14ac:dyDescent="0.25">
      <c r="D131" s="8"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8"/>
      <c r="H131" s="8"/>
      <c r="I131" s="8"/>
      <c r="J131" s="8"/>
      <c r="K131" s="8"/>
      <c r="L131" s="8"/>
    </row>
    <row r="132" spans="4:12" ht="20.100000000000001" customHeight="1" x14ac:dyDescent="0.25">
      <c r="D132" s="8"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8"/>
      <c r="H132" s="8"/>
      <c r="I132" s="8"/>
      <c r="J132" s="8"/>
      <c r="K132" s="8"/>
      <c r="L132" s="8"/>
    </row>
    <row r="133" spans="4:12" ht="20.100000000000001" customHeight="1" x14ac:dyDescent="0.25">
      <c r="D133" s="8"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8"/>
      <c r="H133" s="8"/>
      <c r="I133" s="8"/>
      <c r="J133" s="8"/>
      <c r="K133" s="8"/>
      <c r="L133" s="8"/>
    </row>
    <row r="134" spans="4:12" ht="20.100000000000001" customHeight="1" x14ac:dyDescent="0.25">
      <c r="D134" s="8"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8"/>
      <c r="H134" s="8"/>
      <c r="I134" s="8"/>
      <c r="J134" s="8"/>
      <c r="K134" s="8"/>
      <c r="L134" s="8"/>
    </row>
    <row r="135" spans="4:12" ht="20.100000000000001" customHeight="1" x14ac:dyDescent="0.25">
      <c r="D135" s="8"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8"/>
      <c r="H135" s="8"/>
      <c r="I135" s="8"/>
      <c r="J135" s="8"/>
      <c r="K135" s="8"/>
      <c r="L135" s="8"/>
    </row>
    <row r="136" spans="4:12" ht="20.100000000000001" customHeight="1" x14ac:dyDescent="0.25">
      <c r="D136" s="8"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8"/>
      <c r="H136" s="8"/>
      <c r="I136" s="8"/>
      <c r="J136" s="8"/>
      <c r="K136" s="8"/>
      <c r="L136" s="8"/>
    </row>
    <row r="137" spans="4:12" ht="20.100000000000001" customHeight="1" x14ac:dyDescent="0.25">
      <c r="D137" s="8"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8"/>
      <c r="H137" s="8"/>
      <c r="I137" s="8"/>
      <c r="J137" s="8"/>
      <c r="K137" s="8"/>
      <c r="L137" s="8"/>
    </row>
    <row r="138" spans="4:12" ht="20.100000000000001" customHeight="1" x14ac:dyDescent="0.25">
      <c r="D138" s="8"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8"/>
      <c r="H138" s="8"/>
      <c r="I138" s="8"/>
      <c r="J138" s="8"/>
      <c r="K138" s="8"/>
      <c r="L138" s="8"/>
    </row>
    <row r="139" spans="4:12" ht="20.100000000000001" customHeight="1" x14ac:dyDescent="0.25">
      <c r="D139" s="8"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8"/>
      <c r="H139" s="8"/>
      <c r="I139" s="8"/>
      <c r="J139" s="8"/>
      <c r="K139" s="8"/>
      <c r="L139" s="8"/>
    </row>
    <row r="140" spans="4:12" ht="20.100000000000001" customHeight="1" x14ac:dyDescent="0.25">
      <c r="D140" s="8"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8"/>
      <c r="H140" s="8"/>
      <c r="I140" s="8"/>
      <c r="J140" s="8"/>
      <c r="K140" s="8"/>
      <c r="L140" s="8"/>
    </row>
    <row r="141" spans="4:12" ht="20.100000000000001" customHeight="1" x14ac:dyDescent="0.25">
      <c r="D141" s="8"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8"/>
      <c r="H141" s="8"/>
      <c r="I141" s="8"/>
      <c r="J141" s="8"/>
      <c r="K141" s="8"/>
      <c r="L141" s="8"/>
    </row>
    <row r="142" spans="4:12" ht="20.100000000000001" customHeight="1" x14ac:dyDescent="0.25">
      <c r="D142" s="8"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8"/>
      <c r="H142" s="8"/>
      <c r="I142" s="8"/>
      <c r="J142" s="8"/>
      <c r="K142" s="8"/>
      <c r="L142" s="8"/>
    </row>
    <row r="143" spans="4:12" ht="20.100000000000001" customHeight="1" x14ac:dyDescent="0.25">
      <c r="D143" s="8"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8"/>
      <c r="H143" s="8"/>
      <c r="I143" s="8"/>
      <c r="J143" s="8"/>
      <c r="K143" s="8"/>
      <c r="L143" s="8"/>
    </row>
    <row r="144" spans="4:12" ht="20.100000000000001" customHeight="1" x14ac:dyDescent="0.25">
      <c r="D144" s="8"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8"/>
      <c r="H144" s="8"/>
      <c r="I144" s="8"/>
      <c r="J144" s="8"/>
      <c r="K144" s="8"/>
      <c r="L144" s="8"/>
    </row>
    <row r="145" spans="4:12" ht="20.100000000000001" customHeight="1" x14ac:dyDescent="0.25">
      <c r="D145" s="8"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8"/>
      <c r="H145" s="8"/>
      <c r="I145" s="8"/>
      <c r="J145" s="8"/>
      <c r="K145" s="8"/>
      <c r="L145" s="8"/>
    </row>
    <row r="146" spans="4:12" ht="20.100000000000001" customHeight="1" x14ac:dyDescent="0.25">
      <c r="D146" s="8"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8"/>
      <c r="H146" s="8"/>
      <c r="I146" s="8"/>
      <c r="J146" s="8"/>
      <c r="K146" s="8"/>
      <c r="L146" s="8"/>
    </row>
    <row r="147" spans="4:12" ht="20.100000000000001" customHeight="1" x14ac:dyDescent="0.25">
      <c r="D147" s="8"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8"/>
      <c r="H147" s="8"/>
      <c r="I147" s="8"/>
      <c r="J147" s="8"/>
      <c r="K147" s="8"/>
      <c r="L147" s="8"/>
    </row>
    <row r="148" spans="4:12" ht="20.100000000000001" customHeight="1" x14ac:dyDescent="0.25">
      <c r="D148" s="8"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8"/>
      <c r="H148" s="8"/>
      <c r="I148" s="8"/>
      <c r="J148" s="8"/>
      <c r="K148" s="8"/>
      <c r="L148" s="8"/>
    </row>
    <row r="149" spans="4:12" ht="20.100000000000001" customHeight="1" x14ac:dyDescent="0.25">
      <c r="D149" s="8"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8"/>
      <c r="H149" s="8"/>
      <c r="I149" s="8"/>
      <c r="J149" s="8"/>
      <c r="K149" s="8"/>
      <c r="L149" s="8"/>
    </row>
    <row r="150" spans="4:12" ht="20.100000000000001" customHeight="1" x14ac:dyDescent="0.25">
      <c r="D150" s="8"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8"/>
      <c r="H150" s="8"/>
      <c r="I150" s="8"/>
      <c r="J150" s="8"/>
      <c r="K150" s="8"/>
      <c r="L150" s="8"/>
    </row>
    <row r="151" spans="4:12" ht="20.100000000000001" customHeight="1" x14ac:dyDescent="0.25">
      <c r="D151" s="8"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8"/>
      <c r="H151" s="8"/>
      <c r="I151" s="8"/>
      <c r="J151" s="8"/>
      <c r="K151" s="8"/>
      <c r="L151" s="8"/>
    </row>
    <row r="152" spans="4:12" ht="20.100000000000001" customHeight="1" x14ac:dyDescent="0.25">
      <c r="D152" s="8"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8"/>
      <c r="H152" s="8"/>
      <c r="I152" s="8"/>
      <c r="J152" s="8"/>
      <c r="K152" s="8"/>
      <c r="L152" s="8"/>
    </row>
    <row r="153" spans="4:12" ht="20.100000000000001" customHeight="1" x14ac:dyDescent="0.25">
      <c r="D153" s="8"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8"/>
      <c r="H153" s="8"/>
      <c r="I153" s="8"/>
      <c r="J153" s="8"/>
      <c r="K153" s="8"/>
      <c r="L153" s="8"/>
    </row>
    <row r="154" spans="4:12" ht="20.100000000000001" customHeight="1" x14ac:dyDescent="0.25">
      <c r="D154" s="8"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8"/>
      <c r="H154" s="8"/>
      <c r="I154" s="8"/>
      <c r="J154" s="8"/>
      <c r="K154" s="8"/>
      <c r="L154" s="8"/>
    </row>
    <row r="155" spans="4:12" ht="20.100000000000001" customHeight="1" x14ac:dyDescent="0.25">
      <c r="D155" s="8"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8"/>
      <c r="H155" s="8"/>
      <c r="I155" s="8"/>
      <c r="J155" s="8"/>
      <c r="K155" s="8"/>
      <c r="L155" s="8"/>
    </row>
    <row r="156" spans="4:12" ht="20.100000000000001" customHeight="1" x14ac:dyDescent="0.25">
      <c r="D156" s="8"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8"/>
      <c r="H156" s="8"/>
      <c r="I156" s="8"/>
      <c r="J156" s="8"/>
      <c r="K156" s="8"/>
      <c r="L156" s="8"/>
    </row>
    <row r="157" spans="4:12" ht="20.100000000000001" customHeight="1" x14ac:dyDescent="0.25">
      <c r="D157" s="8"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8"/>
      <c r="H157" s="8"/>
      <c r="I157" s="8"/>
      <c r="J157" s="8"/>
      <c r="K157" s="8"/>
      <c r="L157" s="8"/>
    </row>
    <row r="158" spans="4:12" ht="20.100000000000001" customHeight="1" x14ac:dyDescent="0.25">
      <c r="D158" s="8"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8"/>
      <c r="H158" s="8"/>
      <c r="I158" s="8"/>
      <c r="J158" s="8"/>
      <c r="K158" s="8"/>
      <c r="L158" s="8"/>
    </row>
    <row r="159" spans="4:12" ht="20.100000000000001" customHeight="1" x14ac:dyDescent="0.25">
      <c r="D159" s="8"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8"/>
      <c r="H159" s="8"/>
      <c r="I159" s="8"/>
      <c r="J159" s="8"/>
      <c r="K159" s="8"/>
      <c r="L159" s="8"/>
    </row>
    <row r="160" spans="4:12" ht="20.100000000000001" customHeight="1" x14ac:dyDescent="0.25">
      <c r="D160" s="8"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8"/>
      <c r="H160" s="8"/>
      <c r="I160" s="8"/>
      <c r="J160" s="8"/>
      <c r="K160" s="8"/>
      <c r="L160" s="8"/>
    </row>
    <row r="161" spans="4:12" ht="20.100000000000001" customHeight="1" x14ac:dyDescent="0.25">
      <c r="D161" s="8"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8"/>
      <c r="H161" s="8"/>
      <c r="I161" s="8"/>
      <c r="J161" s="8"/>
      <c r="K161" s="8"/>
      <c r="L161" s="8"/>
    </row>
    <row r="162" spans="4:12" ht="20.100000000000001" customHeight="1" x14ac:dyDescent="0.25">
      <c r="D162" s="8"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8"/>
      <c r="H162" s="8"/>
      <c r="I162" s="8"/>
      <c r="J162" s="8"/>
      <c r="K162" s="8"/>
      <c r="L162" s="8"/>
    </row>
    <row r="163" spans="4:12" ht="20.100000000000001" customHeight="1" x14ac:dyDescent="0.25">
      <c r="D163" s="8"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8"/>
      <c r="H163" s="8"/>
      <c r="I163" s="8"/>
      <c r="J163" s="8"/>
      <c r="K163" s="8"/>
      <c r="L163" s="8"/>
    </row>
    <row r="164" spans="4:12" ht="20.100000000000001" customHeight="1" x14ac:dyDescent="0.25">
      <c r="D164" s="8"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8"/>
      <c r="H164" s="8"/>
      <c r="I164" s="8"/>
      <c r="J164" s="8"/>
      <c r="K164" s="8"/>
      <c r="L164" s="8"/>
    </row>
    <row r="165" spans="4:12" ht="20.100000000000001" customHeight="1" x14ac:dyDescent="0.25">
      <c r="D165" s="8"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8"/>
      <c r="H165" s="8"/>
      <c r="I165" s="8"/>
      <c r="J165" s="8"/>
      <c r="K165" s="8"/>
      <c r="L165" s="8"/>
    </row>
    <row r="166" spans="4:12" x14ac:dyDescent="0.25">
      <c r="D166" s="8"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8"/>
      <c r="H166" s="8"/>
      <c r="I166" s="8"/>
      <c r="J166" s="8"/>
      <c r="K166" s="8"/>
      <c r="L166" s="8"/>
    </row>
    <row r="167" spans="4:12" x14ac:dyDescent="0.25">
      <c r="D167" s="8"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8"/>
      <c r="H167" s="8"/>
      <c r="I167" s="8"/>
      <c r="J167" s="8"/>
      <c r="K167" s="8"/>
      <c r="L167" s="8"/>
    </row>
    <row r="168" spans="4:12" x14ac:dyDescent="0.25">
      <c r="D168" s="8"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8"/>
      <c r="H168" s="8"/>
      <c r="I168" s="8"/>
      <c r="J168" s="8"/>
      <c r="K168" s="8"/>
      <c r="L168" s="8"/>
    </row>
    <row r="169" spans="4:12" x14ac:dyDescent="0.25">
      <c r="D169" s="8"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8"/>
      <c r="H169" s="8"/>
      <c r="I169" s="8"/>
      <c r="J169" s="8"/>
      <c r="K169" s="8"/>
      <c r="L169" s="8"/>
    </row>
    <row r="170" spans="4:12" x14ac:dyDescent="0.25">
      <c r="D170" s="8"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8"/>
      <c r="H170" s="8"/>
      <c r="I170" s="8"/>
      <c r="J170" s="8"/>
      <c r="K170" s="8"/>
      <c r="L170" s="8"/>
    </row>
    <row r="171" spans="4:12" x14ac:dyDescent="0.25">
      <c r="D171" s="8"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8"/>
      <c r="H171" s="8"/>
      <c r="I171" s="8"/>
      <c r="J171" s="8"/>
      <c r="K171" s="8"/>
      <c r="L171" s="8"/>
    </row>
    <row r="172" spans="4:12" x14ac:dyDescent="0.25">
      <c r="D172" s="8"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8"/>
      <c r="H172" s="8"/>
      <c r="I172" s="8"/>
      <c r="J172" s="8"/>
      <c r="K172" s="8"/>
      <c r="L172" s="8"/>
    </row>
    <row r="173" spans="4:12" x14ac:dyDescent="0.25">
      <c r="D173" s="8"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8"/>
      <c r="H173" s="8"/>
      <c r="I173" s="8"/>
      <c r="J173" s="8"/>
      <c r="K173" s="8"/>
      <c r="L173" s="8"/>
    </row>
    <row r="174" spans="4:12" x14ac:dyDescent="0.25">
      <c r="D174" s="8"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8"/>
      <c r="H174" s="8"/>
      <c r="I174" s="8"/>
      <c r="J174" s="8"/>
      <c r="K174" s="8"/>
      <c r="L174" s="8"/>
    </row>
    <row r="175" spans="4:12" x14ac:dyDescent="0.25">
      <c r="D175" s="8"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8"/>
      <c r="H175" s="8"/>
      <c r="I175" s="8"/>
      <c r="J175" s="8"/>
      <c r="K175" s="8"/>
      <c r="L175" s="8"/>
    </row>
    <row r="176" spans="4:12" x14ac:dyDescent="0.25">
      <c r="D176" s="8"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8"/>
      <c r="H176" s="8"/>
      <c r="I176" s="8"/>
      <c r="J176" s="8"/>
      <c r="K176" s="8"/>
      <c r="L176" s="8"/>
    </row>
    <row r="177" spans="4:12" x14ac:dyDescent="0.25">
      <c r="D177" s="8"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8"/>
      <c r="H177" s="8"/>
      <c r="I177" s="8"/>
      <c r="J177" s="8"/>
      <c r="K177" s="8"/>
      <c r="L177" s="8"/>
    </row>
    <row r="178" spans="4:12" x14ac:dyDescent="0.25">
      <c r="D178" s="8"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8"/>
      <c r="H178" s="8"/>
      <c r="I178" s="8"/>
      <c r="J178" s="8"/>
      <c r="K178" s="8"/>
      <c r="L178" s="8"/>
    </row>
    <row r="179" spans="4:12" x14ac:dyDescent="0.25">
      <c r="D179" s="8"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8"/>
      <c r="H179" s="8"/>
      <c r="I179" s="8"/>
      <c r="J179" s="8"/>
      <c r="K179" s="8"/>
      <c r="L179" s="8"/>
    </row>
    <row r="180" spans="4:12" x14ac:dyDescent="0.25">
      <c r="D180" s="8"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8"/>
      <c r="H180" s="8"/>
      <c r="I180" s="8"/>
      <c r="J180" s="8"/>
      <c r="K180" s="8"/>
      <c r="L180" s="8"/>
    </row>
    <row r="181" spans="4:12" x14ac:dyDescent="0.25">
      <c r="D181" s="8"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8"/>
      <c r="H181" s="8"/>
      <c r="I181" s="8"/>
      <c r="J181" s="8"/>
      <c r="K181" s="8"/>
      <c r="L181" s="8"/>
    </row>
    <row r="182" spans="4:12" x14ac:dyDescent="0.25">
      <c r="D182" s="8"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8"/>
      <c r="H182" s="8"/>
      <c r="I182" s="8"/>
      <c r="J182" s="8"/>
      <c r="K182" s="8"/>
      <c r="L182" s="8"/>
    </row>
    <row r="183" spans="4:12" x14ac:dyDescent="0.25">
      <c r="D183" s="8"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8"/>
      <c r="H183" s="8"/>
      <c r="I183" s="8"/>
      <c r="J183" s="8"/>
      <c r="K183" s="8"/>
      <c r="L183" s="8"/>
    </row>
    <row r="184" spans="4:12" x14ac:dyDescent="0.25">
      <c r="D184" s="8"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8"/>
      <c r="H184" s="8"/>
      <c r="I184" s="8"/>
      <c r="J184" s="8"/>
      <c r="K184" s="8"/>
      <c r="L184" s="8"/>
    </row>
    <row r="185" spans="4:12" x14ac:dyDescent="0.25">
      <c r="D185" s="8"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8"/>
      <c r="H185" s="8"/>
      <c r="I185" s="8"/>
      <c r="J185" s="8"/>
      <c r="K185" s="8"/>
      <c r="L185" s="8"/>
    </row>
    <row r="186" spans="4:12" x14ac:dyDescent="0.25">
      <c r="D186" s="8"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8"/>
      <c r="H186" s="8"/>
      <c r="I186" s="8"/>
      <c r="J186" s="8"/>
      <c r="K186" s="8"/>
      <c r="L186" s="8"/>
    </row>
    <row r="187" spans="4:12" x14ac:dyDescent="0.25">
      <c r="D187" s="8"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8"/>
      <c r="H187" s="8"/>
      <c r="I187" s="8"/>
      <c r="J187" s="8"/>
      <c r="K187" s="8"/>
      <c r="L187" s="8"/>
    </row>
    <row r="188" spans="4:12" x14ac:dyDescent="0.25">
      <c r="D188" s="8"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8"/>
      <c r="H188" s="8"/>
      <c r="I188" s="8"/>
      <c r="J188" s="8"/>
      <c r="K188" s="8"/>
      <c r="L188" s="8"/>
    </row>
    <row r="189" spans="4:12" x14ac:dyDescent="0.25">
      <c r="D189" s="8"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8"/>
      <c r="H189" s="8"/>
      <c r="I189" s="8"/>
      <c r="J189" s="8"/>
      <c r="K189" s="8"/>
      <c r="L189" s="8"/>
    </row>
    <row r="190" spans="4:12" x14ac:dyDescent="0.25">
      <c r="D190" s="8"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8"/>
      <c r="H190" s="8"/>
      <c r="I190" s="8"/>
      <c r="J190" s="8"/>
      <c r="K190" s="8"/>
      <c r="L190" s="8"/>
    </row>
    <row r="191" spans="4:12" x14ac:dyDescent="0.25">
      <c r="D191" s="8"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8"/>
      <c r="H191" s="8"/>
      <c r="I191" s="8"/>
      <c r="J191" s="8"/>
      <c r="K191" s="8"/>
      <c r="L191" s="8"/>
    </row>
    <row r="192" spans="4:12" x14ac:dyDescent="0.25">
      <c r="D192" s="8"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8"/>
      <c r="H192" s="8"/>
      <c r="I192" s="8"/>
      <c r="J192" s="8"/>
      <c r="K192" s="8"/>
      <c r="L192" s="8"/>
    </row>
    <row r="193" spans="4:12" x14ac:dyDescent="0.25">
      <c r="D193" s="8"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8"/>
      <c r="H193" s="8"/>
      <c r="I193" s="8"/>
      <c r="J193" s="8"/>
      <c r="K193" s="8"/>
      <c r="L193" s="8"/>
    </row>
    <row r="194" spans="4:12" x14ac:dyDescent="0.25">
      <c r="D194" s="8"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8"/>
      <c r="H194" s="8"/>
      <c r="I194" s="8"/>
      <c r="J194" s="8"/>
      <c r="K194" s="8"/>
      <c r="L194" s="8"/>
    </row>
    <row r="195" spans="4:12" x14ac:dyDescent="0.25">
      <c r="D195" s="8"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8"/>
      <c r="H195" s="8"/>
      <c r="I195" s="8"/>
      <c r="J195" s="8"/>
      <c r="K195" s="8"/>
      <c r="L195" s="8"/>
    </row>
    <row r="196" spans="4:12" x14ac:dyDescent="0.25">
      <c r="D196" s="8"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8"/>
      <c r="H196" s="8"/>
      <c r="I196" s="8"/>
      <c r="J196" s="8"/>
      <c r="K196" s="8"/>
      <c r="L196" s="8"/>
    </row>
    <row r="197" spans="4:12" x14ac:dyDescent="0.25">
      <c r="D197" s="8"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8"/>
      <c r="H197" s="8"/>
      <c r="I197" s="8"/>
      <c r="J197" s="8"/>
      <c r="K197" s="8"/>
      <c r="L197" s="8"/>
    </row>
    <row r="198" spans="4:12" x14ac:dyDescent="0.25">
      <c r="D198" s="8"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8"/>
      <c r="H198" s="8"/>
      <c r="I198" s="8"/>
      <c r="J198" s="8"/>
      <c r="K198" s="8"/>
      <c r="L198" s="8"/>
    </row>
    <row r="199" spans="4:12" x14ac:dyDescent="0.25">
      <c r="D199" s="8"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8"/>
      <c r="H199" s="8"/>
      <c r="I199" s="8"/>
      <c r="J199" s="8"/>
      <c r="K199" s="8"/>
      <c r="L199" s="8"/>
    </row>
    <row r="200" spans="4:12" x14ac:dyDescent="0.25">
      <c r="D200" s="8"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8"/>
      <c r="H200" s="8"/>
      <c r="I200" s="8"/>
      <c r="J200" s="8"/>
      <c r="K200" s="8"/>
      <c r="L200" s="8"/>
    </row>
    <row r="201" spans="4:12" x14ac:dyDescent="0.25">
      <c r="D201" s="8"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8"/>
      <c r="H201" s="8"/>
      <c r="I201" s="8"/>
      <c r="J201" s="8"/>
      <c r="K201" s="8"/>
      <c r="L201" s="8"/>
    </row>
    <row r="202" spans="4:12" x14ac:dyDescent="0.25">
      <c r="D202" s="8"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8"/>
      <c r="H202" s="8"/>
      <c r="I202" s="8"/>
      <c r="J202" s="8"/>
      <c r="K202" s="8"/>
      <c r="L202" s="8"/>
    </row>
    <row r="203" spans="4:12" x14ac:dyDescent="0.25">
      <c r="D203" s="8"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8"/>
      <c r="H203" s="8"/>
      <c r="I203" s="8"/>
      <c r="J203" s="8"/>
      <c r="K203" s="8"/>
      <c r="L203" s="8"/>
    </row>
    <row r="204" spans="4:12" x14ac:dyDescent="0.25">
      <c r="D204" s="8"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8"/>
      <c r="H204" s="8"/>
      <c r="I204" s="8"/>
      <c r="J204" s="8"/>
      <c r="K204" s="8"/>
      <c r="L204" s="8"/>
    </row>
    <row r="205" spans="4:12" x14ac:dyDescent="0.25">
      <c r="D205" s="8"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8"/>
      <c r="H205" s="8"/>
      <c r="I205" s="8"/>
      <c r="J205" s="8"/>
      <c r="K205" s="8"/>
      <c r="L205" s="8"/>
    </row>
    <row r="206" spans="4:12" x14ac:dyDescent="0.25">
      <c r="D206" s="8"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8"/>
      <c r="H206" s="8"/>
      <c r="I206" s="8"/>
      <c r="J206" s="8"/>
      <c r="K206" s="8"/>
      <c r="L206" s="8"/>
    </row>
    <row r="207" spans="4:12" x14ac:dyDescent="0.25">
      <c r="D207" s="8"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8"/>
      <c r="H207" s="8"/>
      <c r="I207" s="8"/>
      <c r="J207" s="8"/>
      <c r="K207" s="8"/>
      <c r="L207" s="8"/>
    </row>
    <row r="208" spans="4:12" x14ac:dyDescent="0.25">
      <c r="D208" s="8"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8"/>
      <c r="H208" s="8"/>
      <c r="I208" s="8"/>
      <c r="J208" s="8"/>
      <c r="K208" s="8"/>
      <c r="L208" s="8"/>
    </row>
    <row r="209" spans="4:12" x14ac:dyDescent="0.25">
      <c r="D209" s="8"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8"/>
      <c r="H209" s="8"/>
      <c r="I209" s="8"/>
      <c r="J209" s="8"/>
      <c r="K209" s="8"/>
      <c r="L209" s="8"/>
    </row>
    <row r="210" spans="4:12" x14ac:dyDescent="0.25">
      <c r="D210" s="8"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8"/>
      <c r="H210" s="8"/>
      <c r="I210" s="8"/>
      <c r="J210" s="8"/>
      <c r="K210" s="8"/>
      <c r="L210" s="8"/>
    </row>
    <row r="211" spans="4:12" x14ac:dyDescent="0.25">
      <c r="D211" s="8"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8"/>
      <c r="H211" s="8"/>
      <c r="I211" s="8"/>
      <c r="J211" s="8"/>
      <c r="K211" s="8"/>
      <c r="L211" s="8"/>
    </row>
    <row r="212" spans="4:12" x14ac:dyDescent="0.25">
      <c r="D212" s="8"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8"/>
      <c r="H212" s="8"/>
      <c r="I212" s="8"/>
      <c r="J212" s="8"/>
      <c r="K212" s="8"/>
      <c r="L212" s="8"/>
    </row>
    <row r="213" spans="4:12" x14ac:dyDescent="0.25">
      <c r="D213" s="8"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8"/>
      <c r="H213" s="8"/>
      <c r="I213" s="8"/>
      <c r="J213" s="8"/>
      <c r="K213" s="8"/>
      <c r="L213" s="8"/>
    </row>
    <row r="214" spans="4:12" x14ac:dyDescent="0.25">
      <c r="D214" s="8"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8"/>
      <c r="H214" s="8"/>
      <c r="I214" s="8"/>
      <c r="J214" s="8"/>
    </row>
    <row r="215" spans="4:12" x14ac:dyDescent="0.25">
      <c r="D215" s="8"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8"/>
      <c r="H215" s="8"/>
      <c r="I215" s="8"/>
      <c r="J215" s="8"/>
    </row>
    <row r="216" spans="4:12" x14ac:dyDescent="0.25">
      <c r="D216" s="8"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8"/>
      <c r="H216" s="8"/>
      <c r="I216" s="8"/>
      <c r="J216" s="8"/>
    </row>
    <row r="217" spans="4:12" x14ac:dyDescent="0.25">
      <c r="D217" s="8"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8"/>
      <c r="H217" s="8"/>
      <c r="I217" s="8"/>
      <c r="J217" s="8"/>
    </row>
    <row r="218" spans="4:12" x14ac:dyDescent="0.25">
      <c r="D218" s="8"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8"/>
      <c r="H218" s="8"/>
      <c r="I218" s="8"/>
      <c r="J218" s="8"/>
    </row>
    <row r="219" spans="4:12" x14ac:dyDescent="0.25">
      <c r="D219" s="8"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8"/>
      <c r="H219" s="8"/>
      <c r="I219" s="8"/>
      <c r="J219" s="8"/>
    </row>
    <row r="220" spans="4:12" x14ac:dyDescent="0.25">
      <c r="D220" s="8"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8"/>
      <c r="H220" s="8"/>
      <c r="I220" s="8"/>
      <c r="J220" s="8"/>
    </row>
    <row r="221" spans="4:12" x14ac:dyDescent="0.25">
      <c r="D221" s="8"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8"/>
      <c r="H221" s="8"/>
      <c r="I221" s="8"/>
      <c r="J221" s="8"/>
    </row>
    <row r="222" spans="4:12" x14ac:dyDescent="0.25">
      <c r="D222" s="8"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8"/>
      <c r="H222" s="8"/>
      <c r="I222" s="8"/>
      <c r="J222" s="8"/>
    </row>
    <row r="223" spans="4:12" x14ac:dyDescent="0.25">
      <c r="D223" s="8"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8"/>
      <c r="H223" s="8"/>
      <c r="I223" s="8"/>
      <c r="J223" s="8"/>
    </row>
    <row r="224" spans="4:12" x14ac:dyDescent="0.25">
      <c r="D224" s="8"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8"/>
      <c r="H224" s="8"/>
      <c r="I224" s="8"/>
      <c r="J224" s="8"/>
    </row>
    <row r="225" spans="4:10" x14ac:dyDescent="0.25">
      <c r="D225" s="8"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8"/>
      <c r="H225" s="8"/>
      <c r="I225" s="8"/>
      <c r="J225" s="8"/>
    </row>
    <row r="226" spans="4:10" x14ac:dyDescent="0.25">
      <c r="D226" s="8"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8"/>
      <c r="H226" s="8"/>
      <c r="I226" s="8"/>
      <c r="J226" s="8"/>
    </row>
    <row r="227" spans="4:10" x14ac:dyDescent="0.25">
      <c r="D227" s="8"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8"/>
      <c r="H227" s="8"/>
      <c r="I227" s="8"/>
      <c r="J227" s="8"/>
    </row>
    <row r="228" spans="4:10" x14ac:dyDescent="0.25">
      <c r="D228" s="8"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8"/>
      <c r="H228" s="8"/>
    </row>
    <row r="229" spans="4:10" x14ac:dyDescent="0.25">
      <c r="D229" s="8"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8"/>
    </row>
    <row r="230" spans="4:10" x14ac:dyDescent="0.25">
      <c r="D230" s="8"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8"/>
    </row>
    <row r="231" spans="4:10" x14ac:dyDescent="0.25">
      <c r="D231" s="8"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8"/>
    </row>
    <row r="232" spans="4:10" x14ac:dyDescent="0.25">
      <c r="D232" s="8"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8"/>
    </row>
    <row r="233" spans="4:10" x14ac:dyDescent="0.25">
      <c r="D233" s="8"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8"/>
    </row>
    <row r="234" spans="4:10" x14ac:dyDescent="0.25">
      <c r="D234" s="8"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8"/>
    </row>
    <row r="235" spans="4:10" x14ac:dyDescent="0.25">
      <c r="D235" s="8"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8"/>
    </row>
  </sheetData>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7D9FD-5B78-4F2D-A359-9BC4CF404A56}">
  <sheetPr>
    <tabColor theme="2" tint="-0.499984740745262"/>
  </sheetPr>
  <dimension ref="A1:M68"/>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0" t="e" vm="1">
        <v>#VALUE!</v>
      </c>
      <c r="C1" s="20" t="s">
        <v>1465</v>
      </c>
      <c r="D1" s="20"/>
      <c r="E1" s="20"/>
      <c r="F1" s="20"/>
      <c r="G1" s="20"/>
      <c r="H1" s="20"/>
      <c r="I1" s="20"/>
      <c r="J1" s="20"/>
      <c r="K1" s="20"/>
      <c r="L1" s="20"/>
      <c r="M1" s="20"/>
    </row>
    <row r="2" spans="1:13" ht="20.100000000000001" customHeight="1" x14ac:dyDescent="0.25">
      <c r="C2" s="3"/>
      <c r="D2" s="3"/>
      <c r="E2" s="3"/>
      <c r="F2" s="3"/>
      <c r="G2" s="3"/>
      <c r="H2" s="3"/>
      <c r="I2" s="3"/>
      <c r="J2" s="3"/>
      <c r="K2" s="3"/>
      <c r="L2" s="3"/>
      <c r="M2" s="3"/>
    </row>
    <row r="3" spans="1:13" ht="20.100000000000001" customHeight="1" x14ac:dyDescent="0.25">
      <c r="A3" s="5" t="str">
        <f>HYPERLINK("#'Home'!A1", "Home")</f>
        <v>Home</v>
      </c>
      <c r="C3" s="22"/>
      <c r="D3" s="22"/>
      <c r="E3" s="22"/>
      <c r="F3" s="22"/>
      <c r="G3" s="22"/>
      <c r="H3" s="22"/>
      <c r="I3" s="22"/>
      <c r="J3" s="22"/>
      <c r="K3" s="22"/>
      <c r="L3" s="22"/>
      <c r="M3" s="22"/>
    </row>
    <row r="4" spans="1:13" ht="20.100000000000001" customHeight="1" x14ac:dyDescent="0.25">
      <c r="A4" s="5" t="str">
        <f>HYPERLINK("#'Results - Activity period'!A1", "Results - Activity period")</f>
        <v>Results - Activity period</v>
      </c>
    </row>
    <row r="5" spans="1:13" ht="20.100000000000001" customHeight="1" x14ac:dyDescent="0.25">
      <c r="A5" s="5" t="str">
        <f>HYPERLINK("#'Results - Product EI'!A1", "Results - Product Emissions Intensity")</f>
        <v>Results - Product Emissions Intensity</v>
      </c>
    </row>
    <row r="6" spans="1:13" ht="20.100000000000001" customHeight="1" x14ac:dyDescent="0.25">
      <c r="A6" s="5" t="str">
        <f>HYPERLINK("#'Results'!A1", "Results")</f>
        <v>Results</v>
      </c>
      <c r="D6" s="2" t="str" cm="1">
        <f t="array" ref="D6">CommonLivestock_SourceData.SourceData_Livestock_Common_SymbolsMMS_Title()</f>
        <v>Table 5.12 Additional symbols used in algorithms for manure related emissions</v>
      </c>
      <c r="E6" s="24"/>
      <c r="F6" s="24"/>
      <c r="G6" s="24"/>
      <c r="H6" s="24"/>
    </row>
    <row r="7" spans="1:13" ht="20.100000000000001" customHeight="1" x14ac:dyDescent="0.25">
      <c r="D7" s="24" t="str" cm="1">
        <f t="array" ref="D7">CommonLivestock_SourceData.SourceData_Livestock_Common_SymbolsMMS_Vairable()</f>
        <v>MMS</v>
      </c>
      <c r="E7" s="24"/>
      <c r="F7" s="24"/>
      <c r="G7" s="24"/>
      <c r="H7" s="24"/>
    </row>
    <row r="8" spans="1:13" ht="20.100000000000001" customHeight="1" x14ac:dyDescent="0.25">
      <c r="D8" s="17" t="str" cm="1">
        <f t="array" ref="D8">CommonLivestock_SourceData.SourceData_Livestock_Common_SymbolsMMS_Source()</f>
        <v>National Inventory Report 2023 Volume 1: Table 5.12</v>
      </c>
      <c r="E8" s="24"/>
      <c r="F8" s="24"/>
      <c r="G8" s="24"/>
      <c r="H8" s="24"/>
    </row>
    <row r="9" spans="1:13" ht="20.100000000000001" customHeight="1" x14ac:dyDescent="0.25">
      <c r="A9" s="7" t="s">
        <v>0</v>
      </c>
      <c r="D9" s="26" t="s">
        <v>1466</v>
      </c>
      <c r="E9" s="19" t="s">
        <v>1467</v>
      </c>
      <c r="F9" s="19" t="s">
        <v>620</v>
      </c>
      <c r="G9" s="24"/>
    </row>
    <row r="10" spans="1:13" ht="20.100000000000001" customHeight="1" x14ac:dyDescent="0.25">
      <c r="A10" s="5" t="str">
        <f>HYPERLINK("#'Input - Enterprise'!A1", "Enterprise")</f>
        <v>Enterprise</v>
      </c>
      <c r="D10" s="26" t="str" cm="1">
        <f t="array" ref="D10">Common_InputFunctions.Utility_DisplayArrayInTable(CommonLivestock_SourceData.SourceData_Livestock_Common_SymbolsMMS_Data(), Table_Data_MMSSymbols[[#Headers],[Symbol]], 0)</f>
        <v>1</v>
      </c>
      <c r="E10" s="26" t="str" cm="1">
        <f t="array" ref="E10">Common_InputFunctions.Utility_DisplayArrayInTable(CommonLivestock_SourceData.SourceData_Livestock_Common_SymbolsMMS_Data(), Table_Data_MMSSymbols[[#Headers],[Symbol]], 0)</f>
        <v>Anaerobic lagoon</v>
      </c>
      <c r="F10" s="26" t="str" cm="1">
        <f t="array" ref="F10">Common_InputFunctions.Utility_DisplayArrayInTable(CommonLivestock_SourceData.SourceData_Livestock_Common_SymbolsMMS_Data(), Table_Data_MMSSymbols[[#Headers],[Symbol]], 0)</f>
        <v>Anaerobic lagoon (m=1)</v>
      </c>
      <c r="G10" s="24"/>
    </row>
    <row r="11" spans="1:13" ht="20.100000000000001" customHeight="1" x14ac:dyDescent="0.25">
      <c r="A11" s="5" t="str">
        <f>HYPERLINK("#'Input - Site'!A1", "Site")</f>
        <v>Site</v>
      </c>
      <c r="D11" s="26" t="str" cm="1">
        <f t="array" ref="D11">Common_InputFunctions.Utility_DisplayArrayInTable(CommonLivestock_SourceData.SourceData_Livestock_Common_SymbolsMMS_Data(), Table_Data_MMSSymbols[[#Headers],[Symbol]], 0)</f>
        <v>2</v>
      </c>
      <c r="E11" s="26" t="str" cm="1">
        <f t="array" ref="E11">Common_InputFunctions.Utility_DisplayArrayInTable(CommonLivestock_SourceData.SourceData_Livestock_Common_SymbolsMMS_Data(), Table_Data_MMSSymbols[[#Headers],[Symbol]], 0)</f>
        <v>Liquid systems</v>
      </c>
      <c r="F11" s="26" t="str" cm="1">
        <f t="array" ref="F11">Common_InputFunctions.Utility_DisplayArrayInTable(CommonLivestock_SourceData.SourceData_Livestock_Common_SymbolsMMS_Data(), Table_Data_MMSSymbols[[#Headers],[Symbol]], 0)</f>
        <v>Liquid systems (m=2)</v>
      </c>
      <c r="G11" s="24"/>
    </row>
    <row r="12" spans="1:13" ht="20.100000000000001" customHeight="1" x14ac:dyDescent="0.25">
      <c r="A12" s="5" t="str">
        <f>HYPERLINK("#'Input - Dairy'!A1", "Dairy")</f>
        <v>Dairy</v>
      </c>
      <c r="D12" s="19" t="str" cm="1">
        <f t="array" ref="D12">Common_InputFunctions.Utility_DisplayArrayInTable(CommonLivestock_SourceData.SourceData_Livestock_Common_SymbolsMMS_Data(), Table_Data_MMSSymbols[[#Headers],[Symbol]], 0)</f>
        <v>3</v>
      </c>
      <c r="E12" s="19" t="str" cm="1">
        <f t="array" ref="E12">Common_InputFunctions.Utility_DisplayArrayInTable(CommonLivestock_SourceData.SourceData_Livestock_Common_SymbolsMMS_Data(), Table_Data_MMSSymbols[[#Headers],[Symbol]], 0)</f>
        <v>Daily spread</v>
      </c>
      <c r="F12" s="19" t="str" cm="1">
        <f t="array" ref="F12">Common_InputFunctions.Utility_DisplayArrayInTable(CommonLivestock_SourceData.SourceData_Livestock_Common_SymbolsMMS_Data(), Table_Data_MMSSymbols[[#Headers],[Symbol]], 0)</f>
        <v>Daily spread (m=3)</v>
      </c>
      <c r="G12" s="24"/>
    </row>
    <row r="13" spans="1:13" ht="20.100000000000001" customHeight="1" x14ac:dyDescent="0.25">
      <c r="A13" s="5" t="str">
        <f>HYPERLINK("#'Input - Livestock sales'!A1", "Livestock sales")</f>
        <v>Livestock sales</v>
      </c>
      <c r="D13" s="19" t="str" cm="1">
        <f t="array" ref="D13">Common_InputFunctions.Utility_DisplayArrayInTable(CommonLivestock_SourceData.SourceData_Livestock_Common_SymbolsMMS_Data(), Table_Data_MMSSymbols[[#Headers],[Symbol]], 0)</f>
        <v>3a</v>
      </c>
      <c r="E13" s="19" t="str" cm="1">
        <f t="array" ref="E13">Common_InputFunctions.Utility_DisplayArrayInTable(CommonLivestock_SourceData.SourceData_Livestock_Common_SymbolsMMS_Data(), Table_Data_MMSSymbols[[#Headers],[Symbol]], 0)</f>
        <v>Sump and dispersal system</v>
      </c>
      <c r="F13" s="19" t="str" cm="1">
        <f t="array" ref="F13">Common_InputFunctions.Utility_DisplayArrayInTable(CommonLivestock_SourceData.SourceData_Livestock_Common_SymbolsMMS_Data(), Table_Data_MMSSymbols[[#Headers],[Symbol]], 0)</f>
        <v>Sump and dispersal system (m=3a)</v>
      </c>
      <c r="G13" s="24"/>
    </row>
    <row r="14" spans="1:13" ht="20.100000000000001" customHeight="1" x14ac:dyDescent="0.25">
      <c r="A14" s="5" t="str">
        <f>HYPERLINK("#'Input - Dairy cattle purchases'!A1", "Dairy cattle purchases")</f>
        <v>Dairy cattle purchases</v>
      </c>
      <c r="D14" s="19" t="str" cm="1">
        <f t="array" ref="D14">Common_InputFunctions.Utility_DisplayArrayInTable(CommonLivestock_SourceData.SourceData_Livestock_Common_SymbolsMMS_Data(), Table_Data_MMSSymbols[[#Headers],[Symbol]], 0)</f>
        <v>3b</v>
      </c>
      <c r="E14" s="19" t="str" cm="1">
        <f t="array" ref="E14">Common_InputFunctions.Utility_DisplayArrayInTable(CommonLivestock_SourceData.SourceData_Livestock_Common_SymbolsMMS_Data(), Table_Data_MMSSymbols[[#Headers],[Symbol]], 0)</f>
        <v>Drains to paddock</v>
      </c>
      <c r="F14" s="19" t="str" cm="1">
        <f t="array" ref="F14">Common_InputFunctions.Utility_DisplayArrayInTable(CommonLivestock_SourceData.SourceData_Livestock_Common_SymbolsMMS_Data(), Table_Data_MMSSymbols[[#Headers],[Symbol]], 0)</f>
        <v>Drains to paddock (m=3b)</v>
      </c>
      <c r="G14" s="24"/>
    </row>
    <row r="15" spans="1:13" ht="20.100000000000001" customHeight="1" x14ac:dyDescent="0.25">
      <c r="A15" s="5" t="str">
        <f>HYPERLINK("#'Input - Pasture'!A1", "Pasture")</f>
        <v>Pasture</v>
      </c>
      <c r="D15" s="19" t="str" cm="1">
        <f t="array" ref="D15">Common_InputFunctions.Utility_DisplayArrayInTable(CommonLivestock_SourceData.SourceData_Livestock_Common_SymbolsMMS_Data(), Table_Data_MMSSymbols[[#Headers],[Symbol]], 0)</f>
        <v>4</v>
      </c>
      <c r="E15" s="19" t="str" cm="1">
        <f t="array" ref="E15">Common_InputFunctions.Utility_DisplayArrayInTable(CommonLivestock_SourceData.SourceData_Livestock_Common_SymbolsMMS_Data(), Table_Data_MMSSymbols[[#Headers],[Symbol]], 0)</f>
        <v>Solid storage</v>
      </c>
      <c r="F15" s="19" t="str" cm="1">
        <f t="array" ref="F15">Common_InputFunctions.Utility_DisplayArrayInTable(CommonLivestock_SourceData.SourceData_Livestock_Common_SymbolsMMS_Data(), Table_Data_MMSSymbols[[#Headers],[Symbol]], 0)</f>
        <v>Solid storage (m=4)</v>
      </c>
      <c r="G15" s="24"/>
    </row>
    <row r="16" spans="1:13" ht="20.100000000000001" customHeight="1" x14ac:dyDescent="0.25">
      <c r="A16" s="5" t="str">
        <f>HYPERLINK("#'Input - Fert Prod System'!A1", "Fert Prod System")</f>
        <v>Fert Prod System</v>
      </c>
      <c r="D16" s="19" t="str" cm="1">
        <f t="array" ref="D16">Common_InputFunctions.Utility_DisplayArrayInTable(CommonLivestock_SourceData.SourceData_Livestock_Common_SymbolsMMS_Data(), Table_Data_MMSSymbols[[#Headers],[Symbol]], 0)</f>
        <v>5</v>
      </c>
      <c r="E16" s="19" t="str" cm="1">
        <f t="array" ref="E16">Common_InputFunctions.Utility_DisplayArrayInTable(CommonLivestock_SourceData.SourceData_Livestock_Common_SymbolsMMS_Data(), Table_Data_MMSSymbols[[#Headers],[Symbol]], 0)</f>
        <v>Drylot (feed pad)</v>
      </c>
      <c r="F16" s="19" t="str" cm="1">
        <f t="array" ref="F16">Common_InputFunctions.Utility_DisplayArrayInTable(CommonLivestock_SourceData.SourceData_Livestock_Common_SymbolsMMS_Data(), Table_Data_MMSSymbols[[#Headers],[Symbol]], 0)</f>
        <v>Drylot (feed pad) (m=5)</v>
      </c>
      <c r="G16" s="24"/>
    </row>
    <row r="17" spans="1:8" ht="20.100000000000001" customHeight="1" x14ac:dyDescent="0.25">
      <c r="A17" s="5" t="str">
        <f>HYPERLINK("#'Input - Fertiliser'!A1", "Fertiliser")</f>
        <v>Fertiliser</v>
      </c>
      <c r="D17" s="19" t="str" cm="1">
        <f t="array" ref="D17">Common_InputFunctions.Utility_DisplayArrayInTable(CommonLivestock_SourceData.SourceData_Livestock_Common_SymbolsMMS_Data(), Table_Data_MMSSymbols[[#Headers],[Symbol]], 0)</f>
        <v>6</v>
      </c>
      <c r="E17" s="19" t="str" cm="1">
        <f t="array" ref="E17">Common_InputFunctions.Utility_DisplayArrayInTable(CommonLivestock_SourceData.SourceData_Livestock_Common_SymbolsMMS_Data(), Table_Data_MMSSymbols[[#Headers],[Symbol]], 0)</f>
        <v>Composting (passive windrow)</v>
      </c>
      <c r="F17" s="19" t="str" cm="1">
        <f t="array" ref="F17">Common_InputFunctions.Utility_DisplayArrayInTable(CommonLivestock_SourceData.SourceData_Livestock_Common_SymbolsMMS_Data(), Table_Data_MMSSymbols[[#Headers],[Symbol]], 0)</f>
        <v>Composting (passive windrow) (m=6)</v>
      </c>
      <c r="G17" s="24"/>
    </row>
    <row r="18" spans="1:8" ht="20.100000000000001" customHeight="1" x14ac:dyDescent="0.25">
      <c r="A18" s="5" t="str">
        <f>HYPERLINK("#'Input - Fuel'!A1", "Fuel")</f>
        <v>Fuel</v>
      </c>
      <c r="D18" s="19" t="str" cm="1">
        <f t="array" ref="D18">Common_InputFunctions.Utility_DisplayArrayInTable(CommonLivestock_SourceData.SourceData_Livestock_Common_SymbolsMMS_Data(), Table_Data_MMSSymbols[[#Headers],[Symbol]], 0)</f>
        <v>7</v>
      </c>
      <c r="E18" s="19" t="str" cm="1">
        <f t="array" ref="E18">Common_InputFunctions.Utility_DisplayArrayInTable(CommonLivestock_SourceData.SourceData_Livestock_Common_SymbolsMMS_Data(), Table_Data_MMSSymbols[[#Headers],[Symbol]], 0)</f>
        <v>Digester / covered lagoons</v>
      </c>
      <c r="F18" s="19" t="str" cm="1">
        <f t="array" ref="F18">Common_InputFunctions.Utility_DisplayArrayInTable(CommonLivestock_SourceData.SourceData_Livestock_Common_SymbolsMMS_Data(), Table_Data_MMSSymbols[[#Headers],[Symbol]], 0)</f>
        <v>Digester / covered lagoons (m=7)</v>
      </c>
      <c r="G18" s="24"/>
    </row>
    <row r="19" spans="1:8" ht="20.100000000000001" customHeight="1" x14ac:dyDescent="0.25">
      <c r="A19" s="5" t="str">
        <f>HYPERLINK("#'Input - Electricity'!A1", "Electricity")</f>
        <v>Electricity</v>
      </c>
      <c r="D19" s="19" t="str" cm="1">
        <f t="array" ref="D19">Common_InputFunctions.Utility_DisplayArrayInTable(CommonLivestock_SourceData.SourceData_Livestock_Common_SymbolsMMS_Data(), Table_Data_MMSSymbols[[#Headers],[Symbol]], 0)</f>
        <v>8</v>
      </c>
      <c r="E19" s="19" t="str" cm="1">
        <f t="array" ref="E19">Common_InputFunctions.Utility_DisplayArrayInTable(CommonLivestock_SourceData.SourceData_Livestock_Common_SymbolsMMS_Data(), Table_Data_MMSSymbols[[#Headers],[Symbol]], 0)</f>
        <v>Deep litter</v>
      </c>
      <c r="F19" s="19" t="str" cm="1">
        <f t="array" ref="F19">Common_InputFunctions.Utility_DisplayArrayInTable(CommonLivestock_SourceData.SourceData_Livestock_Common_SymbolsMMS_Data(), Table_Data_MMSSymbols[[#Headers],[Symbol]], 0)</f>
        <v>Deep litter (m=8)</v>
      </c>
      <c r="G19" s="24"/>
    </row>
    <row r="20" spans="1:8" ht="20.100000000000001" customHeight="1" x14ac:dyDescent="0.25">
      <c r="A20" s="5" t="str">
        <f>HYPERLINK("#'Input - Common farm inputs'!A1", "Common farm inputs")</f>
        <v>Common farm inputs</v>
      </c>
      <c r="D20" s="19" t="str" cm="1">
        <f t="array" ref="D20">Common_InputFunctions.Utility_DisplayArrayInTable(CommonLivestock_SourceData.SourceData_Livestock_Common_SymbolsMMS_Data(), Table_Data_MMSSymbols[[#Headers],[Symbol]], 0)</f>
        <v>9</v>
      </c>
      <c r="E20" s="19" t="str" cm="1">
        <f t="array" ref="E20">Common_InputFunctions.Utility_DisplayArrayInTable(CommonLivestock_SourceData.SourceData_Livestock_Common_SymbolsMMS_Data(), Table_Data_MMSSymbols[[#Headers],[Symbol]], 0)</f>
        <v>Pit storage</v>
      </c>
      <c r="F20" s="19" t="str" cm="1">
        <f t="array" ref="F20">Common_InputFunctions.Utility_DisplayArrayInTable(CommonLivestock_SourceData.SourceData_Livestock_Common_SymbolsMMS_Data(), Table_Data_MMSSymbols[[#Headers],[Symbol]], 0)</f>
        <v>Pit storage (m=9)</v>
      </c>
      <c r="G20" s="24"/>
    </row>
    <row r="21" spans="1:8" ht="20.100000000000001" customHeight="1" x14ac:dyDescent="0.25">
      <c r="A21" s="5" t="str">
        <f>HYPERLINK("#'Input - Crop pasture farm input'!A1", "Crop pasture farm input")</f>
        <v>Crop pasture farm input</v>
      </c>
      <c r="D21" s="19" t="str" cm="1">
        <f t="array" ref="D21">Common_InputFunctions.Utility_DisplayArrayInTable(CommonLivestock_SourceData.SourceData_Livestock_Common_SymbolsMMS_Data(), Table_Data_MMSSymbols[[#Headers],[Symbol]], 0)</f>
        <v>10</v>
      </c>
      <c r="E21" s="19" t="str" cm="1">
        <f t="array" ref="E21">Common_InputFunctions.Utility_DisplayArrayInTable(CommonLivestock_SourceData.SourceData_Livestock_Common_SymbolsMMS_Data(), Table_Data_MMSSymbols[[#Headers],[Symbol]], 0)</f>
        <v>Poultry manure with bedding</v>
      </c>
      <c r="F21" s="19" t="str" cm="1">
        <f t="array" ref="F21">Common_InputFunctions.Utility_DisplayArrayInTable(CommonLivestock_SourceData.SourceData_Livestock_Common_SymbolsMMS_Data(), Table_Data_MMSSymbols[[#Headers],[Symbol]], 0)</f>
        <v>Poultry manure with bedding (m=10)</v>
      </c>
      <c r="G21" s="24"/>
    </row>
    <row r="22" spans="1:8" ht="20.100000000000001" customHeight="1" x14ac:dyDescent="0.25">
      <c r="A22" s="5" t="str">
        <f>HYPERLINK("#'Input - Livestock farm Inputs'!A1", "Livestock farm Inputs")</f>
        <v>Livestock farm Inputs</v>
      </c>
      <c r="D22" s="19" t="str" cm="1">
        <f t="array" ref="D22">Common_InputFunctions.Utility_DisplayArrayInTable(CommonLivestock_SourceData.SourceData_Livestock_Common_SymbolsMMS_Data(), Table_Data_MMSSymbols[[#Headers],[Symbol]], 0)</f>
        <v>11</v>
      </c>
      <c r="E22" s="19" t="str" cm="1">
        <f t="array" ref="E22">Common_InputFunctions.Utility_DisplayArrayInTable(CommonLivestock_SourceData.SourceData_Livestock_Common_SymbolsMMS_Data(), Table_Data_MMSSymbols[[#Headers],[Symbol]], 0)</f>
        <v>Poultry manure without bedding</v>
      </c>
      <c r="F22" s="19" t="str" cm="1">
        <f t="array" ref="F22">Common_InputFunctions.Utility_DisplayArrayInTable(CommonLivestock_SourceData.SourceData_Livestock_Common_SymbolsMMS_Data(), Table_Data_MMSSymbols[[#Headers],[Symbol]], 0)</f>
        <v>Poultry manure without bedding (m=11)</v>
      </c>
      <c r="G22" s="24"/>
    </row>
    <row r="23" spans="1:8" ht="20.100000000000001" customHeight="1" x14ac:dyDescent="0.25">
      <c r="A23" s="5" t="str">
        <f>HYPERLINK("#'Input - Freight'!A1", "Freight")</f>
        <v>Freight</v>
      </c>
      <c r="D23" s="19" t="str" cm="1">
        <f t="array" ref="D23">Common_InputFunctions.Utility_DisplayArrayInTable(CommonLivestock_SourceData.SourceData_Livestock_Common_SymbolsMMS_Data(), Table_Data_MMSSymbols[[#Headers],[Symbol]], 0)</f>
        <v>11a</v>
      </c>
      <c r="E23" s="19" t="str" cm="1">
        <f t="array" ref="E23">Common_InputFunctions.Utility_DisplayArrayInTable(CommonLivestock_SourceData.SourceData_Livestock_Common_SymbolsMMS_Data(), Table_Data_MMSSymbols[[#Headers],[Symbol]], 0)</f>
        <v>Belt manure removal</v>
      </c>
      <c r="F23" s="19" t="str" cm="1">
        <f t="array" ref="F23">Common_InputFunctions.Utility_DisplayArrayInTable(CommonLivestock_SourceData.SourceData_Livestock_Common_SymbolsMMS_Data(), Table_Data_MMSSymbols[[#Headers],[Symbol]], 0)</f>
        <v>Belt manure removal (m=11a)</v>
      </c>
      <c r="G23" s="24"/>
    </row>
    <row r="24" spans="1:8" ht="20.100000000000001" customHeight="1" x14ac:dyDescent="0.25">
      <c r="A24" s="5" t="str">
        <f>HYPERLINK("#'Input - Solid waste'!A1", "Solid waste")</f>
        <v>Solid waste</v>
      </c>
      <c r="D24" s="19" t="str" cm="1">
        <f t="array" ref="D24">Common_InputFunctions.Utility_DisplayArrayInTable(CommonLivestock_SourceData.SourceData_Livestock_Common_SymbolsMMS_Data(), Table_Data_MMSSymbols[[#Headers],[Symbol]], 0)</f>
        <v>11b</v>
      </c>
      <c r="E24" s="19" t="str" cm="1">
        <f t="array" ref="E24">Common_InputFunctions.Utility_DisplayArrayInTable(CommonLivestock_SourceData.SourceData_Livestock_Common_SymbolsMMS_Data(), Table_Data_MMSSymbols[[#Headers],[Symbol]], 0)</f>
        <v>Manure stored in house</v>
      </c>
      <c r="F24" s="19" t="str" cm="1">
        <f t="array" ref="F24">Common_InputFunctions.Utility_DisplayArrayInTable(CommonLivestock_SourceData.SourceData_Livestock_Common_SymbolsMMS_Data(), Table_Data_MMSSymbols[[#Headers],[Symbol]], 0)</f>
        <v>Manure stored in house (m=11b)</v>
      </c>
      <c r="G24" s="24"/>
    </row>
    <row r="25" spans="1:8" ht="20.100000000000001" customHeight="1" x14ac:dyDescent="0.25">
      <c r="A25" s="5" t="str">
        <f>HYPERLINK("#'Input - Manure sent off-site'!A1", "Manure sent off-site")</f>
        <v>Manure sent off-site</v>
      </c>
      <c r="D25" s="19" t="str" cm="1">
        <f t="array" ref="D25">Common_InputFunctions.Utility_DisplayArrayInTable(CommonLivestock_SourceData.SourceData_Livestock_Common_SymbolsMMS_Data(), Table_Data_MMSSymbols[[#Headers],[Symbol]], 0)</f>
        <v>12</v>
      </c>
      <c r="E25" s="19" t="str" cm="1">
        <f t="array" ref="E25">Common_InputFunctions.Utility_DisplayArrayInTable(CommonLivestock_SourceData.SourceData_Livestock_Common_SymbolsMMS_Data(), Table_Data_MMSSymbols[[#Headers],[Symbol]], 0)</f>
        <v>Direct processing</v>
      </c>
      <c r="F25" s="19" t="str" cm="1">
        <f t="array" ref="F25">Common_InputFunctions.Utility_DisplayArrayInTable(CommonLivestock_SourceData.SourceData_Livestock_Common_SymbolsMMS_Data(), Table_Data_MMSSymbols[[#Headers],[Symbol]], 0)</f>
        <v>Direct processing (m=12)</v>
      </c>
      <c r="G25" s="24"/>
    </row>
    <row r="26" spans="1:8" ht="20.100000000000001" customHeight="1" x14ac:dyDescent="0.25">
      <c r="A26" s="5" t="str">
        <f>HYPERLINK("#'Input - Refrigerants'!A1", "Refrigerants")</f>
        <v>Refrigerants</v>
      </c>
      <c r="D26" s="19" t="str" cm="1">
        <f t="array" ref="D26">Common_InputFunctions.Utility_DisplayArrayInTable(CommonLivestock_SourceData.SourceData_Livestock_Common_SymbolsMMS_Data(), Table_Data_MMSSymbols[[#Headers],[Symbol]], 0)</f>
        <v>13</v>
      </c>
      <c r="E26" s="19" t="str" cm="1">
        <f t="array" ref="E26">Common_InputFunctions.Utility_DisplayArrayInTable(CommonLivestock_SourceData.SourceData_Livestock_Common_SymbolsMMS_Data(), Table_Data_MMSSymbols[[#Headers],[Symbol]], 0)</f>
        <v>Direct application</v>
      </c>
      <c r="F26" s="19" t="str" cm="1">
        <f t="array" ref="F26">Common_InputFunctions.Utility_DisplayArrayInTable(CommonLivestock_SourceData.SourceData_Livestock_Common_SymbolsMMS_Data(), Table_Data_MMSSymbols[[#Headers],[Symbol]], 0)</f>
        <v>Direct application (m=13)</v>
      </c>
      <c r="G26" s="24"/>
    </row>
    <row r="27" spans="1:8" ht="20.100000000000001" customHeight="1" x14ac:dyDescent="0.25">
      <c r="A27" s="5" t="str">
        <f>HYPERLINK("#'Input - Data quality'!A1", "Data quality")</f>
        <v>Data quality</v>
      </c>
      <c r="D27" s="19" t="str" cm="1">
        <f t="array" ref="D27">Common_InputFunctions.Utility_DisplayArrayInTable(CommonLivestock_SourceData.SourceData_Livestock_Common_SymbolsMMS_Data(), Table_Data_MMSSymbols[[#Headers],[Symbol]], 0)</f>
        <v>14</v>
      </c>
      <c r="E27" s="19" t="str" cm="1">
        <f t="array" ref="E27">Common_InputFunctions.Utility_DisplayArrayInTable(CommonLivestock_SourceData.SourceData_Livestock_Common_SymbolsMMS_Data(), Table_Data_MMSSymbols[[#Headers],[Symbol]], 0)</f>
        <v>Pasture range and paddock</v>
      </c>
      <c r="F27" s="19" t="str" cm="1">
        <f t="array" ref="F27">Common_InputFunctions.Utility_DisplayArrayInTable(CommonLivestock_SourceData.SourceData_Livestock_Common_SymbolsMMS_Data(), Table_Data_MMSSymbols[[#Headers],[Symbol]], 0)</f>
        <v>Pasture range and paddock (m=14)</v>
      </c>
      <c r="G27" s="24"/>
    </row>
    <row r="28" spans="1:8" ht="20.100000000000001" customHeight="1" x14ac:dyDescent="0.25">
      <c r="G28" s="24"/>
      <c r="H28" s="24"/>
    </row>
    <row r="29" spans="1:8" ht="20.100000000000001" customHeight="1" x14ac:dyDescent="0.25"/>
    <row r="30" spans="1:8" ht="20.100000000000001" customHeight="1" x14ac:dyDescent="0.25">
      <c r="A30" s="6" t="s">
        <v>2</v>
      </c>
    </row>
    <row r="31" spans="1:8" ht="20.100000000000001" customHeight="1" x14ac:dyDescent="0.25">
      <c r="A31" s="5" t="str">
        <f>HYPERLINK("#'3.3.1.1-2 Enteric Methane'!A1", "3.3.1.1-2 Enteric methane")</f>
        <v>3.3.1.1-2 Enteric methane</v>
      </c>
    </row>
    <row r="32" spans="1:8" ht="20.100000000000001" customHeight="1" x14ac:dyDescent="0.25">
      <c r="A32" s="5" t="str">
        <f>HYPERLINK("#'4.3.1.1-2 Methane'!A1", "4.3.1.1-2 Manure methane")</f>
        <v>4.3.1.1-2 Manure methane</v>
      </c>
    </row>
    <row r="33" spans="1:1" ht="20.100000000000001" customHeight="1" x14ac:dyDescent="0.25">
      <c r="A33" s="5" t="str">
        <f>HYPERLINK("#'4.3.1.3-4 Direct N20'!A1", "4.3.1.3-4 Direct N20")</f>
        <v>4.3.1.3-4 Direct N20</v>
      </c>
    </row>
    <row r="34" spans="1:1" ht="20.100000000000001" customHeight="1" x14ac:dyDescent="0.25">
      <c r="A34" s="5" t="str">
        <f>HYPERLINK("#'4.3.1.5 Atmos deposition'!A1", "4.3.1.5 Atmos deposition")</f>
        <v>4.3.1.5 Atmos deposition</v>
      </c>
    </row>
    <row r="35" spans="1:1" ht="20.100000000000001" customHeight="1" x14ac:dyDescent="0.25">
      <c r="A35" s="5" t="str">
        <f>HYPERLINK("#'4.3.1.6-7 Leaching and runoff'!A1", "4.3.1.6-7 Leaching &amp; runoff")</f>
        <v>4.3.1.6-7 Leaching &amp; runoff</v>
      </c>
    </row>
    <row r="36" spans="1:1" ht="20.100000000000001" customHeight="1" x14ac:dyDescent="0.25">
      <c r="A36" s="5" t="str">
        <f>HYPERLINK("#'4.3.1.8 Manure applied to soils'!A1", "4.3.1.8 Manure applied to soils")</f>
        <v>4.3.1.8 Manure applied to soils</v>
      </c>
    </row>
    <row r="37" spans="1:1" ht="20.100000000000001" customHeight="1" x14ac:dyDescent="0.25">
      <c r="A37" s="5" t="str">
        <f>HYPERLINK("#'4.3.1.9 Soil direct N2O'!A1", "4.3.1.9 Soil direct N2O")</f>
        <v>4.3.1.9 Soil direct N2O</v>
      </c>
    </row>
    <row r="38" spans="1:1" ht="20.100000000000001" customHeight="1" x14ac:dyDescent="0.25">
      <c r="A38" s="5" t="str">
        <f>HYPERLINK("#'4.3.1.10-11 Soil Atmos Dep'!A1", "4.3.1.10-11 Soil Atmos Deposition")</f>
        <v>4.3.1.10-11 Soil Atmos Deposition</v>
      </c>
    </row>
    <row r="39" spans="1:1" ht="20.100000000000001" customHeight="1" x14ac:dyDescent="0.25">
      <c r="A39" s="5" t="str">
        <f>HYPERLINK("#'4.3.1.12-13 Soil leach runoff'!A1", "4.3.1.12-13 Soil leach &amp; runoff")</f>
        <v>4.3.1.12-13 Soil leach &amp; runoff</v>
      </c>
    </row>
    <row r="40" spans="1:1" ht="20.100000000000001" customHeight="1" x14ac:dyDescent="0.25">
      <c r="A40" s="5" t="str">
        <f>HYPERLINK("#'5.1.1.1-2 Inorganic fert N2O'!A1", "5.1.1.1-2 Inorganic fert N2O")</f>
        <v>5.1.1.1-2 Inorganic fert N2O</v>
      </c>
    </row>
    <row r="41" spans="1:1" ht="20.100000000000001" customHeight="1" x14ac:dyDescent="0.25">
      <c r="A41" s="5" t="str">
        <f>HYPERLINK("#'5.1.1.3-4 Inorganic fert CO2'!A1", "5.1.1.3-4 Inorganic fert CO2")</f>
        <v>5.1.1.3-4 Inorganic fert CO2</v>
      </c>
    </row>
    <row r="42" spans="1:1" ht="20.100000000000001" customHeight="1" x14ac:dyDescent="0.25">
      <c r="A42" s="5" t="str">
        <f>HYPERLINK("#'5.2.1.1-2 Organic Fert N2O'!A1", "5.2.1.1-2 Organic fert N2O")</f>
        <v>5.2.1.1-2 Organic fert N2O</v>
      </c>
    </row>
    <row r="43" spans="1:1" ht="20.100000000000001" customHeight="1" x14ac:dyDescent="0.25">
      <c r="A43" s="5" t="str">
        <f>HYPERLINK("#'5.3.1.1-2 Lime CO2'!A1", "5.3.1.1-2 Lime CO2")</f>
        <v>5.3.1.1-2 Lime CO2</v>
      </c>
    </row>
    <row r="44" spans="1:1" ht="20.100000000000001" customHeight="1" x14ac:dyDescent="0.25">
      <c r="A44" s="5" t="str">
        <f>HYPERLINK("#'5.4.1.1-4 Atmos deposition'!A1", "5.4.1.1-4 Atmos. deposition")</f>
        <v>5.4.1.1-4 Atmos. deposition</v>
      </c>
    </row>
    <row r="45" spans="1:1" ht="20.100000000000001" customHeight="1" x14ac:dyDescent="0.25">
      <c r="A45" s="5" t="str">
        <f>HYPERLINK("#'5.5.1.1-2 Leaching and runoff'!A1", "5.5.1.1-2 Leaching &amp; runoff")</f>
        <v>5.5.1.1-2 Leaching &amp; runoff</v>
      </c>
    </row>
    <row r="46" spans="1:1" ht="20.100000000000001" customHeight="1" x14ac:dyDescent="0.25">
      <c r="A46" s="5" t="str">
        <f>HYPERLINK("#'6.2.1.1-2 Pasture residue N2O'!A1", "6.2.1.1-2 Pasture residue N2O")</f>
        <v>6.2.1.1-2 Pasture residue N2O</v>
      </c>
    </row>
    <row r="47" spans="1:1" ht="20.100000000000001" customHeight="1" x14ac:dyDescent="0.25">
      <c r="A47" s="5" t="str">
        <f>HYPERLINK("#'6.3.1.1-2 Leach runoff pasture'!A1", "6.3.1.1-2 Leach &amp; runoff (pasture)")</f>
        <v>6.3.1.1-2 Leach &amp; runoff (pasture)</v>
      </c>
    </row>
    <row r="48" spans="1:1" ht="20.100000000000001" customHeight="1" x14ac:dyDescent="0.25">
      <c r="A48" s="5" t="str">
        <f>HYPERLINK("#'8.1.1.1-2 Transport fuel'!A1", "8.1.1.1-2 Transport fuel")</f>
        <v>8.1.1.1-2 Transport fuel</v>
      </c>
    </row>
    <row r="49" spans="1:1" ht="20.100000000000001" customHeight="1" x14ac:dyDescent="0.25">
      <c r="A49" s="5" t="str">
        <f>HYPERLINK("#'8.2.1.1-2 Stationary fuel'!A1", "8.2.1.1-2 Stationary fuel")</f>
        <v>8.2.1.1-2 Stationary fuel</v>
      </c>
    </row>
    <row r="50" spans="1:1" ht="20.100000000000001" customHeight="1" x14ac:dyDescent="0.25">
      <c r="A50" s="5" t="str">
        <f>HYPERLINK("#'9.1.1.1-2 Refrigerant use'!A1", "9.1.1.1-2 Refrigerant use")</f>
        <v>9.1.1.1-2 Refrigerant use</v>
      </c>
    </row>
    <row r="51" spans="1:1" ht="20.100000000000001" customHeight="1" x14ac:dyDescent="0.25">
      <c r="A51" s="5" t="str">
        <f>HYPERLINK("#'10.1.1-2 Solid waste treatment'!A1", "10.1.1.1-2 Solid waste")</f>
        <v>10.1.1.1-2 Solid waste</v>
      </c>
    </row>
    <row r="52" spans="1:1" ht="20.100000000000001" customHeight="1" x14ac:dyDescent="0.25">
      <c r="A52" s="5" t="str">
        <f>HYPERLINK("#'14.1.1-2 Purchased electricity'!A1", "14.1.1-2 Purchased electricity")</f>
        <v>14.1.1-2 Purchased electricity</v>
      </c>
    </row>
    <row r="53" spans="1:1" ht="20.100000000000001" customHeight="1" x14ac:dyDescent="0.25">
      <c r="A53" s="5" t="str">
        <f>HYPERLINK("#'15 Scope 3'!A1", "15 Scope 3")</f>
        <v>15 Scope 3</v>
      </c>
    </row>
    <row r="54" spans="1:1" ht="20.100000000000001" customHeight="1" x14ac:dyDescent="0.25">
      <c r="A54" s="5" t="str">
        <f>HYPERLINK("#'Calcs - Manure sent off-site'!A1", "Calcs - Manure sent off-site")</f>
        <v>Calcs - Manure sent off-site</v>
      </c>
    </row>
    <row r="55" spans="1:1" ht="20.100000000000001" customHeight="1" x14ac:dyDescent="0.25"/>
    <row r="56" spans="1:1" ht="20.100000000000001" customHeight="1" x14ac:dyDescent="0.25"/>
    <row r="57" spans="1:1" ht="20.100000000000001" customHeight="1" x14ac:dyDescent="0.25">
      <c r="A57" s="82" t="s">
        <v>1</v>
      </c>
    </row>
    <row r="58" spans="1:1" ht="20.100000000000001" customHeight="1" x14ac:dyDescent="0.25">
      <c r="A58" s="5" t="str">
        <f>HYPERLINK("#'Constants - Dairy'!A1", "Constants - Dairy")</f>
        <v>Constants - Dairy</v>
      </c>
    </row>
    <row r="59" spans="1:1" ht="20.100000000000001" customHeight="1" x14ac:dyDescent="0.25">
      <c r="A59" s="5" t="str">
        <f>HYPERLINK("#'Constants - Ag Residue'!A1", "Constants - Ag residue")</f>
        <v>Constants - Ag residue</v>
      </c>
    </row>
    <row r="60" spans="1:1" ht="20.100000000000001" customHeight="1" x14ac:dyDescent="0.25">
      <c r="A60" s="83" t="str">
        <f>HYPERLINK("#'Constants - Common Livestock'!A1", "Constants - Common Livestock")</f>
        <v>Constants - Common Livestock</v>
      </c>
    </row>
    <row r="61" spans="1:1" ht="20.100000000000001" customHeight="1" x14ac:dyDescent="0.25">
      <c r="A61" s="5" t="str">
        <f>HYPERLINK("#'Constants - Electricity'!A1", "Constants - Electricity")</f>
        <v>Constants - Electricity</v>
      </c>
    </row>
    <row r="62" spans="1:1" ht="20.100000000000001" customHeight="1" x14ac:dyDescent="0.25">
      <c r="A62" s="5" t="str">
        <f>HYPERLINK("#'Constants - Fertiliser'!A1", "Constants - Fertiliser")</f>
        <v>Constants - Fertiliser</v>
      </c>
    </row>
    <row r="63" spans="1:1" ht="20.100000000000001" customHeight="1" x14ac:dyDescent="0.25">
      <c r="A63" s="5" t="str">
        <f>HYPERLINK("#'Constants - Fuel'!A1", "Constants - Fuel")</f>
        <v>Constants - Fuel</v>
      </c>
    </row>
    <row r="64" spans="1:1" x14ac:dyDescent="0.25">
      <c r="A64" s="5" t="str">
        <f>HYPERLINK("#'Constants - Scope 3'!A1", "Constants - Scope 3")</f>
        <v>Constants - Scope 3</v>
      </c>
    </row>
    <row r="65" spans="1:1" x14ac:dyDescent="0.25">
      <c r="A65" s="5" t="str">
        <f>HYPERLINK("#'Constants - Common'!A1", "Constants - Common")</f>
        <v>Constants - Common</v>
      </c>
    </row>
    <row r="66" spans="1:1" x14ac:dyDescent="0.25">
      <c r="A66" s="5" t="str">
        <f>HYPERLINK("#'Constants - Refrigerants'!A1", "Constants - Refrigerants")</f>
        <v>Constants - Refrigerants</v>
      </c>
    </row>
    <row r="67" spans="1:1" x14ac:dyDescent="0.25">
      <c r="A67" s="5" t="str">
        <f>HYPERLINK("#'Constants - Solid Waste'!A1", "Constants - Solid Waste")</f>
        <v>Constants - Solid Waste</v>
      </c>
    </row>
    <row r="68" spans="1:1" x14ac:dyDescent="0.25">
      <c r="A68" s="5" t="str">
        <f>HYPERLINK("#'Acknowledgements'!A1", "Acknowledgements")</f>
        <v>Acknowledgements</v>
      </c>
    </row>
  </sheetData>
  <pageMargins left="0.7" right="0.7" top="0.75" bottom="0.75" header="0.3" footer="0.3"/>
  <pageSetup paperSize="9" orientation="portrait"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DF619-8AD0-44A4-8600-00D917715DE2}">
  <sheetPr>
    <tabColor theme="2" tint="-0.499984740745262"/>
  </sheetPr>
  <dimension ref="A1:AI165"/>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897</v>
      </c>
      <c r="AG1"/>
      <c r="AH1"/>
      <c r="AI1"/>
    </row>
    <row r="2" spans="1:35" s="3" customFormat="1" ht="20.100000000000001" customHeight="1" x14ac:dyDescent="0.25">
      <c r="A2"/>
      <c r="AG2"/>
      <c r="AH2"/>
      <c r="AI2"/>
    </row>
    <row r="3" spans="1:35"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Electricity_SourceData.Electricity_Scope2Scope3LocationBased_Title()</f>
        <v>Electricity scope 2 and scope 3 location-based emission factors</v>
      </c>
    </row>
    <row r="6" spans="1:35" ht="20.100000000000001" customHeight="1" x14ac:dyDescent="0.25">
      <c r="A6" s="5" t="str">
        <f>HYPERLINK("#'Results'!A1", "Results")</f>
        <v>Results</v>
      </c>
      <c r="D6" s="17" t="str" cm="1">
        <f t="array" ref="D6">Electricity_SourceData.Electricity_Scope2Scope3LocationBased_Source()</f>
        <v>Australian National Greenhouse Accounts Factors 2025 - Table 1</v>
      </c>
      <c r="E6" s="8"/>
      <c r="F6" s="8"/>
    </row>
    <row r="7" spans="1:35" ht="20.100000000000001" customHeight="1" x14ac:dyDescent="0.25">
      <c r="D7" s="25" t="str" cm="1">
        <f t="array" ref="D7">"⚠️" &amp; Electricity_SourceData.Electricity_Scope2Scope3LocationBased_Variation()</f>
        <v>⚠️VARIATION OF SOURCE DATA: NSW and ACT split into separate rows.</v>
      </c>
      <c r="E7" s="8"/>
      <c r="F7" s="8"/>
    </row>
    <row r="8" spans="1:35" ht="20.100000000000001" customHeight="1" x14ac:dyDescent="0.25">
      <c r="D8" s="8"/>
      <c r="E8" s="8"/>
      <c r="F8" s="8"/>
    </row>
    <row r="9" spans="1:35" ht="20.100000000000001" customHeight="1" x14ac:dyDescent="0.25">
      <c r="A9" s="7" t="s">
        <v>0</v>
      </c>
      <c r="D9" s="201" t="s">
        <v>898</v>
      </c>
      <c r="E9" s="201" t="s">
        <v>899</v>
      </c>
      <c r="F9" s="201" t="s">
        <v>900</v>
      </c>
    </row>
    <row r="10" spans="1:35" ht="20.100000000000001" customHeight="1" x14ac:dyDescent="0.25">
      <c r="A10" s="5" t="str">
        <f>HYPERLINK("#'Input - Enterprise'!A1", "Enterprise")</f>
        <v>Enterprise</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5" t="str">
        <f>HYPERLINK("#'Input - Site'!A1", "Site")</f>
        <v>Site</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5" t="str">
        <f>HYPERLINK("#'Input - Dairy'!A1", "Dairy")</f>
        <v>Dairy</v>
      </c>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5" t="str">
        <f>HYPERLINK("#'Input - Livestock sales'!A1", "Livestock sales")</f>
        <v>Livestock sales</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5" t="str">
        <f>HYPERLINK("#'Input - Dairy cattle purchases'!A1", "Dairy cattle purchases")</f>
        <v>Dairy cattle purchases</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5" t="str">
        <f>HYPERLINK("#'Input - Pasture'!A1", "Pasture")</f>
        <v>Pasture</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A16" s="5" t="str">
        <f>HYPERLINK("#'Input - Fert Prod System'!A1", "Fert Prod System")</f>
        <v>Fert Prod System</v>
      </c>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s="5" t="str">
        <f>HYPERLINK("#'Input - Fertiliser'!A1", "Fertiliser")</f>
        <v>Fertiliser</v>
      </c>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s="5" t="str">
        <f>HYPERLINK("#'Input - Fuel'!A1", "Fuel")</f>
        <v>Fuel</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5" t="str">
        <f>HYPERLINK("#'Input - Electricity'!A1", "Electricity")</f>
        <v>Electricity</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5" t="str">
        <f>HYPERLINK("#'Input - Common farm inputs'!A1", "Common farm inputs")</f>
        <v>Common farm inputs</v>
      </c>
    </row>
    <row r="21" spans="1:8" ht="20.100000000000001" customHeight="1" x14ac:dyDescent="0.25">
      <c r="A21" s="5" t="str">
        <f>HYPERLINK("#'Input - Crop pasture farm input'!A1", "Crop pasture farm input")</f>
        <v>Crop pasture farm input</v>
      </c>
      <c r="D21" s="2" t="str" cm="1">
        <f t="array" ref="D21">Electricity_SourceData.Electricity_Scope2Scope3MarketBased_Title()</f>
        <v>Electricity scope 2 and scope 3 market-based emission factors</v>
      </c>
    </row>
    <row r="22" spans="1:8" ht="20.100000000000001" customHeight="1" x14ac:dyDescent="0.25">
      <c r="A22" s="5" t="str">
        <f>HYPERLINK("#'Input - Livestock farm Inputs'!A1", "Livestock farm Inputs")</f>
        <v>Livestock farm Inputs</v>
      </c>
      <c r="D22" s="17" t="str" cm="1">
        <f t="array" ref="D22">Electricity_SourceData.Electricity_Scope2Scope3MarketBased_Source()</f>
        <v>Australian National Greenhouse Accounts Factors 2025 - Table 2a</v>
      </c>
    </row>
    <row r="23" spans="1:8" ht="20.100000000000001" customHeight="1" x14ac:dyDescent="0.25">
      <c r="A23" s="5" t="str">
        <f>HYPERLINK("#'Input - Freight'!A1", "Freight")</f>
        <v>Freight</v>
      </c>
    </row>
    <row r="24" spans="1:8" ht="20.100000000000001" customHeight="1" x14ac:dyDescent="0.25">
      <c r="A24" s="5" t="str">
        <f>HYPERLINK("#'Input - Solid waste'!A1", "Solid waste")</f>
        <v>Solid waste</v>
      </c>
      <c r="D24" s="192" t="s">
        <v>898</v>
      </c>
      <c r="E24" s="192" t="s">
        <v>901</v>
      </c>
      <c r="F24" s="192" t="s">
        <v>902</v>
      </c>
      <c r="G24" s="192" t="s">
        <v>903</v>
      </c>
      <c r="H24" s="192" t="s">
        <v>904</v>
      </c>
    </row>
    <row r="25" spans="1:8" ht="20.100000000000001" customHeight="1" x14ac:dyDescent="0.25">
      <c r="A25" s="5" t="str">
        <f>HYPERLINK("#'Input - Manure sent off-site'!A1", "Manure sent off-site")</f>
        <v>Manure sent off-site</v>
      </c>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c r="A26" s="5" t="str">
        <f>HYPERLINK("#'Input - Refrigerants'!A1", "Refrigerants")</f>
        <v>Refrigerants</v>
      </c>
    </row>
    <row r="27" spans="1:8" ht="20.100000000000001" customHeight="1" x14ac:dyDescent="0.25">
      <c r="A27" s="5" t="str">
        <f>HYPERLINK("#'Input - Data quality'!A1", "Data quality")</f>
        <v>Data quality</v>
      </c>
    </row>
    <row r="28" spans="1:8" ht="20.100000000000001" customHeight="1" x14ac:dyDescent="0.25"/>
    <row r="29" spans="1:8" ht="20.100000000000001" customHeight="1" x14ac:dyDescent="0.25"/>
    <row r="30" spans="1:8" ht="20.100000000000001" customHeight="1" x14ac:dyDescent="0.25">
      <c r="A30" s="6" t="s">
        <v>2</v>
      </c>
    </row>
    <row r="31" spans="1:8" ht="20.100000000000001" customHeight="1" x14ac:dyDescent="0.25">
      <c r="A31" s="5" t="str">
        <f>HYPERLINK("#'3.3.1.1-2 Enteric Methane'!A1", "3.3.1.1-2 Enteric methane")</f>
        <v>3.3.1.1-2 Enteric methane</v>
      </c>
    </row>
    <row r="32" spans="1:8" ht="20.100000000000001" customHeight="1" x14ac:dyDescent="0.25">
      <c r="A32" s="5" t="str">
        <f>HYPERLINK("#'4.3.1.1-2 Methane'!A1", "4.3.1.1-2 Manure methane")</f>
        <v>4.3.1.1-2 Manure methane</v>
      </c>
    </row>
    <row r="33" spans="1:1" ht="20.100000000000001" customHeight="1" x14ac:dyDescent="0.25">
      <c r="A33" s="5" t="str">
        <f>HYPERLINK("#'4.3.1.3-4 Direct N20'!A1", "4.3.1.3-4 Direct N20")</f>
        <v>4.3.1.3-4 Direct N20</v>
      </c>
    </row>
    <row r="34" spans="1:1" ht="20.100000000000001" customHeight="1" x14ac:dyDescent="0.25">
      <c r="A34" s="5" t="str">
        <f>HYPERLINK("#'4.3.1.5 Atmos deposition'!A1", "4.3.1.5 Atmos deposition")</f>
        <v>4.3.1.5 Atmos deposition</v>
      </c>
    </row>
    <row r="35" spans="1:1" ht="20.100000000000001" customHeight="1" x14ac:dyDescent="0.25">
      <c r="A35" s="5" t="str">
        <f>HYPERLINK("#'4.3.1.6-7 Leaching and runoff'!A1", "4.3.1.6-7 Leaching &amp; runoff")</f>
        <v>4.3.1.6-7 Leaching &amp; runoff</v>
      </c>
    </row>
    <row r="36" spans="1:1" ht="20.100000000000001" customHeight="1" x14ac:dyDescent="0.25">
      <c r="A36" s="5" t="str">
        <f>HYPERLINK("#'4.3.1.8 Manure applied to soils'!A1", "4.3.1.8 Manure applied to soils")</f>
        <v>4.3.1.8 Manure applied to soils</v>
      </c>
    </row>
    <row r="37" spans="1:1" ht="20.100000000000001" customHeight="1" x14ac:dyDescent="0.25">
      <c r="A37" s="5" t="str">
        <f>HYPERLINK("#'4.3.1.9 Soil direct N2O'!A1", "4.3.1.9 Soil direct N2O")</f>
        <v>4.3.1.9 Soil direct N2O</v>
      </c>
    </row>
    <row r="38" spans="1:1" ht="20.100000000000001" customHeight="1" x14ac:dyDescent="0.25">
      <c r="A38" s="5" t="str">
        <f>HYPERLINK("#'4.3.1.10-11 Soil Atmos Dep'!A1", "4.3.1.10-11 Soil Atmos Deposition")</f>
        <v>4.3.1.10-11 Soil Atmos Deposition</v>
      </c>
    </row>
    <row r="39" spans="1:1" ht="20.100000000000001" customHeight="1" x14ac:dyDescent="0.25">
      <c r="A39" s="5" t="str">
        <f>HYPERLINK("#'4.3.1.12-13 Soil leach runoff'!A1", "4.3.1.12-13 Soil leach &amp; runoff")</f>
        <v>4.3.1.12-13 Soil leach &amp; runoff</v>
      </c>
    </row>
    <row r="40" spans="1:1" ht="20.100000000000001" customHeight="1" x14ac:dyDescent="0.25">
      <c r="A40" s="5" t="str">
        <f>HYPERLINK("#'5.1.1.1-2 Inorganic fert N2O'!A1", "5.1.1.1-2 Inorganic fert N2O")</f>
        <v>5.1.1.1-2 Inorganic fert N2O</v>
      </c>
    </row>
    <row r="41" spans="1:1" ht="20.100000000000001" customHeight="1" x14ac:dyDescent="0.25">
      <c r="A41" s="5" t="str">
        <f>HYPERLINK("#'5.1.1.3-4 Inorganic fert CO2'!A1", "5.1.1.3-4 Inorganic fert CO2")</f>
        <v>5.1.1.3-4 Inorganic fert CO2</v>
      </c>
    </row>
    <row r="42" spans="1:1" ht="20.100000000000001" customHeight="1" x14ac:dyDescent="0.25">
      <c r="A42" s="5" t="str">
        <f>HYPERLINK("#'5.2.1.1-2 Organic Fert N2O'!A1", "5.2.1.1-2 Organic fert N2O")</f>
        <v>5.2.1.1-2 Organic fert N2O</v>
      </c>
    </row>
    <row r="43" spans="1:1" ht="20.100000000000001" customHeight="1" x14ac:dyDescent="0.25">
      <c r="A43" s="5" t="str">
        <f>HYPERLINK("#'5.3.1.1-2 Lime CO2'!A1", "5.3.1.1-2 Lime CO2")</f>
        <v>5.3.1.1-2 Lime CO2</v>
      </c>
    </row>
    <row r="44" spans="1:1" ht="20.100000000000001" customHeight="1" x14ac:dyDescent="0.25">
      <c r="A44" s="5" t="str">
        <f>HYPERLINK("#'5.4.1.1-4 Atmos deposition'!A1", "5.4.1.1-4 Atmos. deposition")</f>
        <v>5.4.1.1-4 Atmos. deposition</v>
      </c>
    </row>
    <row r="45" spans="1:1" ht="20.100000000000001" customHeight="1" x14ac:dyDescent="0.25">
      <c r="A45" s="5" t="str">
        <f>HYPERLINK("#'5.5.1.1-2 Leaching and runoff'!A1", "5.5.1.1-2 Leaching &amp; runoff")</f>
        <v>5.5.1.1-2 Leaching &amp; runoff</v>
      </c>
    </row>
    <row r="46" spans="1:1" ht="20.100000000000001" customHeight="1" x14ac:dyDescent="0.25">
      <c r="A46" s="5" t="str">
        <f>HYPERLINK("#'6.2.1.1-2 Pasture residue N2O'!A1", "6.2.1.1-2 Pasture residue N2O")</f>
        <v>6.2.1.1-2 Pasture residue N2O</v>
      </c>
    </row>
    <row r="47" spans="1:1" ht="20.100000000000001" customHeight="1" x14ac:dyDescent="0.25">
      <c r="A47" s="5" t="str">
        <f>HYPERLINK("#'6.3.1.1-2 Leach runoff pasture'!A1", "6.3.1.1-2 Leach &amp; runoff (pasture)")</f>
        <v>6.3.1.1-2 Leach &amp; runoff (pasture)</v>
      </c>
    </row>
    <row r="48" spans="1:1" ht="20.100000000000001" customHeight="1" x14ac:dyDescent="0.25">
      <c r="A48" s="5" t="str">
        <f>HYPERLINK("#'8.1.1.1-2 Transport fuel'!A1", "8.1.1.1-2 Transport fuel")</f>
        <v>8.1.1.1-2 Transport fuel</v>
      </c>
    </row>
    <row r="49" spans="1:1" ht="20.100000000000001" customHeight="1" x14ac:dyDescent="0.25">
      <c r="A49" s="5" t="str">
        <f>HYPERLINK("#'8.2.1.1-2 Stationary fuel'!A1", "8.2.1.1-2 Stationary fuel")</f>
        <v>8.2.1.1-2 Stationary fuel</v>
      </c>
    </row>
    <row r="50" spans="1:1" ht="20.100000000000001" customHeight="1" x14ac:dyDescent="0.25">
      <c r="A50" s="5" t="str">
        <f>HYPERLINK("#'9.1.1.1-2 Refrigerant use'!A1", "9.1.1.1-2 Refrigerant use")</f>
        <v>9.1.1.1-2 Refrigerant use</v>
      </c>
    </row>
    <row r="51" spans="1:1" ht="20.100000000000001" customHeight="1" x14ac:dyDescent="0.25">
      <c r="A51" s="5" t="str">
        <f>HYPERLINK("#'10.1.1-2 Solid waste treatment'!A1", "10.1.1.1-2 Solid waste")</f>
        <v>10.1.1.1-2 Solid waste</v>
      </c>
    </row>
    <row r="52" spans="1:1" ht="20.100000000000001" customHeight="1" x14ac:dyDescent="0.25">
      <c r="A52" s="5" t="str">
        <f>HYPERLINK("#'14.1.1-2 Purchased electricity'!A1", "14.1.1-2 Purchased electricity")</f>
        <v>14.1.1-2 Purchased electricity</v>
      </c>
    </row>
    <row r="53" spans="1:1" ht="20.100000000000001" customHeight="1" x14ac:dyDescent="0.25">
      <c r="A53" s="5" t="str">
        <f>HYPERLINK("#'15 Scope 3'!A1", "15 Scope 3")</f>
        <v>15 Scope 3</v>
      </c>
    </row>
    <row r="54" spans="1:1" ht="20.100000000000001" customHeight="1" x14ac:dyDescent="0.25">
      <c r="A54" s="5" t="str">
        <f>HYPERLINK("#'Calcs - Manure sent off-site'!A1", "Calcs - Manure sent off-site")</f>
        <v>Calcs - Manure sent off-site</v>
      </c>
    </row>
    <row r="55" spans="1:1" ht="20.100000000000001" customHeight="1" x14ac:dyDescent="0.25"/>
    <row r="56" spans="1:1" ht="20.100000000000001" customHeight="1" x14ac:dyDescent="0.25"/>
    <row r="57" spans="1:1" ht="20.100000000000001" customHeight="1" x14ac:dyDescent="0.25">
      <c r="A57" s="82" t="s">
        <v>1</v>
      </c>
    </row>
    <row r="58" spans="1:1" ht="20.100000000000001" customHeight="1" x14ac:dyDescent="0.25">
      <c r="A58" s="5" t="str">
        <f>HYPERLINK("#'Constants - Dairy'!A1", "Constants - Dairy")</f>
        <v>Constants - Dairy</v>
      </c>
    </row>
    <row r="59" spans="1:1" ht="20.100000000000001" customHeight="1" x14ac:dyDescent="0.25">
      <c r="A59" s="5" t="str">
        <f>HYPERLINK("#'Constants - Ag Residue'!A1", "Constants - Ag residue")</f>
        <v>Constants - Ag residue</v>
      </c>
    </row>
    <row r="60" spans="1:1" ht="20.100000000000001" customHeight="1" x14ac:dyDescent="0.25">
      <c r="A60" s="5" t="str">
        <f>HYPERLINK("#'Constants - Common Livestock'!A1", "Constants - Common Livestock")</f>
        <v>Constants - Common Livestock</v>
      </c>
    </row>
    <row r="61" spans="1:1" ht="20.100000000000001" customHeight="1" x14ac:dyDescent="0.25">
      <c r="A61" s="83" t="str">
        <f>HYPERLINK("#'Constants - Electricity'!A1", "Constants - Electricity")</f>
        <v>Constants - Electricity</v>
      </c>
    </row>
    <row r="62" spans="1:1" ht="20.100000000000001" customHeight="1" x14ac:dyDescent="0.25">
      <c r="A62" s="5" t="str">
        <f>HYPERLINK("#'Constants - Fertiliser'!A1", "Constants - Fertiliser")</f>
        <v>Constants - Fertiliser</v>
      </c>
    </row>
    <row r="63" spans="1:1" ht="20.100000000000001" customHeight="1" x14ac:dyDescent="0.25">
      <c r="A63" s="5" t="str">
        <f>HYPERLINK("#'Constants - Fuel'!A1", "Constants - Fuel")</f>
        <v>Constants - Fuel</v>
      </c>
    </row>
    <row r="64" spans="1:1" ht="20.100000000000001" customHeight="1" x14ac:dyDescent="0.25">
      <c r="A64" s="5" t="str">
        <f>HYPERLINK("#'Constants - Scope 3'!A1", "Constants - Scope 3")</f>
        <v>Constants - Scope 3</v>
      </c>
    </row>
    <row r="65" spans="1:1" ht="20.100000000000001" customHeight="1" x14ac:dyDescent="0.25">
      <c r="A65" s="5" t="str">
        <f>HYPERLINK("#'Constants - Common'!A1", "Constants - Common")</f>
        <v>Constants - Common</v>
      </c>
    </row>
    <row r="66" spans="1:1" ht="20.100000000000001" customHeight="1" x14ac:dyDescent="0.25">
      <c r="A66" s="5" t="str">
        <f>HYPERLINK("#'Constants - Refrigerants'!A1", "Constants - Refrigerants")</f>
        <v>Constants - Refrigerants</v>
      </c>
    </row>
    <row r="67" spans="1:1" ht="20.100000000000001" customHeight="1" x14ac:dyDescent="0.25">
      <c r="A67" s="5" t="str">
        <f>HYPERLINK("#'Constants - Solid Waste'!A1", "Constants - Solid Waste")</f>
        <v>Constants - Solid Waste</v>
      </c>
    </row>
    <row r="68" spans="1:1" ht="20.100000000000001" customHeight="1" x14ac:dyDescent="0.25">
      <c r="A68" s="5" t="str">
        <f>HYPERLINK("#'Acknowledgements'!A1", "Acknowledgements")</f>
        <v>Acknowledgements</v>
      </c>
    </row>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5642-EDE0-4262-8680-C6FF27EC4A65}">
  <dimension ref="A1:AM223"/>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20" customFormat="1" ht="30" customHeight="1" x14ac:dyDescent="0.35">
      <c r="A1" s="10" t="e" vm="1">
        <v>#VALUE!</v>
      </c>
      <c r="C1" s="20" t="s">
        <v>830</v>
      </c>
      <c r="AF1" s="1"/>
      <c r="AG1" s="1"/>
      <c r="AH1" s="1"/>
      <c r="AI1" s="1"/>
      <c r="AJ1" s="1"/>
    </row>
    <row r="2" spans="1:36" s="3" customFormat="1" ht="20.100000000000001" customHeight="1" x14ac:dyDescent="0.25">
      <c r="A2"/>
      <c r="AF2" s="1"/>
      <c r="AG2" s="1"/>
      <c r="AH2" s="1"/>
      <c r="AI2" s="1"/>
      <c r="AJ2" s="1"/>
    </row>
    <row r="3" spans="1:36"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row>
    <row r="4" spans="1:36" ht="20.100000000000001" customHeight="1" x14ac:dyDescent="0.25">
      <c r="A4" s="5" t="str">
        <f>HYPERLINK("#'Results - Activity period'!A1", "Results - Activity period")</f>
        <v>Results - Activity period</v>
      </c>
    </row>
    <row r="5" spans="1:36" ht="20.100000000000001" customHeight="1" x14ac:dyDescent="0.25">
      <c r="A5" s="5" t="str">
        <f>HYPERLINK("#'Results - Product EI'!A1", "Results - Product Emissions Intensity")</f>
        <v>Results - Product Emissions Intensity</v>
      </c>
      <c r="D5" s="2" t="str" cm="1">
        <f t="array" ref="D5">Fertiliser_SourceData.Fertiliser_ChemicalCompoundElements_Title()</f>
        <v>Common inorganic fertilisers</v>
      </c>
      <c r="E5" s="184"/>
      <c r="F5" s="184"/>
      <c r="G5" s="184"/>
      <c r="H5" s="184"/>
      <c r="I5" s="184"/>
      <c r="J5" s="184"/>
    </row>
    <row r="6" spans="1:36" ht="20.100000000000001" customHeight="1" x14ac:dyDescent="0.25">
      <c r="A6" s="5" t="str">
        <f>HYPERLINK("#'Results'!A1", "Results")</f>
        <v>Results</v>
      </c>
      <c r="D6" s="17" t="str" cm="1">
        <f t="array" ref="D6">Fertiliser_SourceData.Fertiliser_ChemicalCompoundElements_Source()</f>
        <v>Table A.2.2.3: Fraction of nitrogen in common inorganic fertilisers (kgN/kg) (FNorganic,f) AND Table A.2.2.4: Fraction of urea in common inorganic fertilisers (kg urea/kg) (FUf)</v>
      </c>
    </row>
    <row r="7" spans="1:36" ht="20.100000000000001" customHeight="1" x14ac:dyDescent="0.25">
      <c r="D7" s="25" t="str" cm="1">
        <f t="array" ref="D7:D18">Fertiliser_SourceData.Fertiliser_ChemicalCompoundElements_Variation()</f>
        <v>VARIATION ON SOURCE</v>
      </c>
    </row>
    <row r="8" spans="1:36" ht="20.100000000000001" customHeight="1" x14ac:dyDescent="0.25">
      <c r="D8" s="25" t="str">
        <v>Added 'Basis' column to allow cross-referencing with table Table A.2.2.6: Fraction of inorganic fertiliser f that volatilises as NH3 and NOx ((kg NH3-N + NOx-N)/kg N) (FracGASFf)</v>
      </c>
    </row>
    <row r="9" spans="1:36" ht="20.100000000000001" customHeight="1" x14ac:dyDescent="0.25">
      <c r="A9" s="7" t="s">
        <v>0</v>
      </c>
      <c r="D9" s="25" t="str">
        <v>Added extra fertiliser types and generic chemical compounds to allow for custom NPKS blends</v>
      </c>
    </row>
    <row r="10" spans="1:36" ht="20.100000000000001" customHeight="1" x14ac:dyDescent="0.25">
      <c r="A10" s="5" t="str">
        <f>HYPERLINK("#'Input - Enterprise'!A1", "Enterprise")</f>
        <v>Enterprise</v>
      </c>
      <c r="D10" s="25" t="str">
        <v>Added extra 'Scope 3 definition' column to allow mapping with scope 3 data</v>
      </c>
    </row>
    <row r="11" spans="1:36" ht="20.100000000000001" customHeight="1" x14ac:dyDescent="0.25">
      <c r="A11" s="5" t="str">
        <f>HYPERLINK("#'Input - Site'!A1", "Site")</f>
        <v>Site</v>
      </c>
      <c r="D11" s="25" t="str">
        <v>Added 'Source' column</v>
      </c>
    </row>
    <row r="12" spans="1:36" ht="20.100000000000001" customHeight="1" x14ac:dyDescent="0.25">
      <c r="A12" s="5" t="str">
        <f>HYPERLINK("#'Input - Dairy'!A1", "Dairy")</f>
        <v>Dairy</v>
      </c>
      <c r="D12" s="25" t="str">
        <v>Combined data from Table A.2.2.3 and Table A.2.2.4 into one table to aid lookup.</v>
      </c>
    </row>
    <row r="13" spans="1:36" ht="20.100000000000001" customHeight="1" x14ac:dyDescent="0.25">
      <c r="A13" s="5" t="str">
        <f>HYPERLINK("#'Input - Livestock sales'!A1", "Livestock sales")</f>
        <v>Livestock sales</v>
      </c>
      <c r="D13" s="25" t="str">
        <v>Excluded 'References' column</v>
      </c>
    </row>
    <row r="14" spans="1:36" ht="20.100000000000001" customHeight="1" x14ac:dyDescent="0.25">
      <c r="A14" s="5" t="str">
        <f>HYPERLINK("#'Input - Dairy cattle purchases'!A1", "Dairy cattle purchases")</f>
        <v>Dairy cattle purchases</v>
      </c>
      <c r="D14" s="25" t="str">
        <v>Excluded 'Ammonium sulfate' as it is a duplicate of 'Sulphate of ammonia (SOA)'</v>
      </c>
    </row>
    <row r="15" spans="1:36" ht="20.100000000000001" customHeight="1" x14ac:dyDescent="0.25">
      <c r="A15" s="5" t="str">
        <f>HYPERLINK("#'Input - Pasture'!A1", "Pasture")</f>
        <v>Pasture</v>
      </c>
      <c r="D15" s="25" t="str">
        <v>Excluded 'Calcium nitrate' as no scope 3 value available.</v>
      </c>
    </row>
    <row r="16" spans="1:36" ht="20.100000000000001" customHeight="1" x14ac:dyDescent="0.25">
      <c r="A16" s="5" t="str">
        <f>HYPERLINK("#'Input - Fert Prod System'!A1", "Fert Prod System")</f>
        <v>Fert Prod System</v>
      </c>
      <c r="D16" s="25" t="str">
        <v>Set 'Nitrogen - Generic' basis as 'Urea-based fertilisers, as urea is the most commonly used form of nitrogen in Australian fertilisers</v>
      </c>
    </row>
    <row r="17" spans="1:22" ht="20.100000000000001" customHeight="1" x14ac:dyDescent="0.25">
      <c r="A17" s="5" t="str">
        <f>HYPERLINK("#'Input - Fertiliser'!A1", "Fertiliser")</f>
        <v>Fertiliser</v>
      </c>
      <c r="D17" s="25" t="str">
        <v>Set 'Urea-ammonium nitrate' basis as 'Urea-based fertiliser'</v>
      </c>
      <c r="K17" s="2" t="str" cm="1">
        <f t="array" ref="K17">Fertiliser_SourceData.Fertiliser_FractionNCommonFertilisers_Title()</f>
        <v>Fraction of nitrogen in common inorganic fertilisers (kgN/kg) (FNorganic,f)</v>
      </c>
      <c r="Q17" s="2" t="str" cm="1">
        <f t="array" ref="Q17">Fertiliser_SourceData.Fertiliser_FractionUreaCommonFertilisers_Title()</f>
        <v>Fraction of urea in common inorganic fertilisers (kg urea/kg) (FUf)</v>
      </c>
      <c r="V17" s="2" t="str" cm="1">
        <f t="array" ref="V17">Fertiliser_SourceData.Fertiliser_UreaAmmoniaSourceRegions_Title()</f>
        <v>Source regions for urea and ammonia</v>
      </c>
    </row>
    <row r="18" spans="1:22" ht="20.100000000000001" customHeight="1" x14ac:dyDescent="0.25">
      <c r="A18" s="5" t="str">
        <f>HYPERLINK("#'Input - Fuel'!A1", "Fuel")</f>
        <v>Fuel</v>
      </c>
      <c r="D18" s="25" t="str">
        <v>Ammonia has an FN value of 0.8235 based on (14/17)x100, where 14 is the mass of nitrogen in ammonia and 17 is the molar mass of ammonia.</v>
      </c>
      <c r="K18" s="17" t="str" cm="1">
        <f t="array" ref="K18">Fertiliser_SourceData.Fertiliser_FractionNCommonFertilisers_Source()</f>
        <v>VEERG 2026: Table A.2.2.3</v>
      </c>
      <c r="Q18" s="17" t="str" cm="1">
        <f t="array" ref="Q18">Fertiliser_SourceData.Fertiliser_FractionUreaCommonFertilisers_Source()</f>
        <v>VEERG 2026: Table A.2.2.4</v>
      </c>
      <c r="V18" s="17"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5" t="str">
        <f>HYPERLINK("#'Input - Electricity'!A1", "Electricity")</f>
        <v>Electricity</v>
      </c>
      <c r="D19" t="s">
        <v>751</v>
      </c>
      <c r="E19" t="s">
        <v>831</v>
      </c>
      <c r="F19" t="s">
        <v>832</v>
      </c>
      <c r="G19" t="s">
        <v>806</v>
      </c>
      <c r="H19" t="s">
        <v>833</v>
      </c>
      <c r="I19" t="s">
        <v>834</v>
      </c>
      <c r="K19" s="19" t="s">
        <v>751</v>
      </c>
      <c r="L19" s="19" t="s">
        <v>831</v>
      </c>
      <c r="Q19" s="19" t="s">
        <v>751</v>
      </c>
      <c r="R19" s="19" t="s">
        <v>831</v>
      </c>
      <c r="V19" s="19" t="s">
        <v>834</v>
      </c>
    </row>
    <row r="20" spans="1:22" ht="20.100000000000001" customHeight="1" x14ac:dyDescent="0.25">
      <c r="A20" s="5" t="str">
        <f>HYPERLINK("#'Input - Common farm inputs'!A1", "Common farm inputs")</f>
        <v>Common farm inputs</v>
      </c>
      <c r="D20" s="192" t="str" cm="1">
        <f t="array" ref="D20">Common_InputFunctions.Utility_DisplayArrayInTable(Fertiliser_SourceData.Fertiliser_ChemicalCompoundElements_Data(),Table_Fertiliser_ChemicalCompounds[[#Headers],[Fertiliser type f]], 0)</f>
        <v>Monoammonium phosphate (MAP)</v>
      </c>
      <c r="E20" s="192" cm="1">
        <f t="array" ref="E20">Common_InputFunctions.Utility_DisplayArrayInTable(Fertiliser_SourceData.Fertiliser_ChemicalCompoundElements_Data(),Table_Fertiliser_ChemicalCompounds[[#Headers],[Fertiliser type f]], 0)</f>
        <v>0.1</v>
      </c>
      <c r="F20" s="192" cm="1">
        <f t="array" ref="F20">Common_InputFunctions.Utility_DisplayArrayInTable(Fertiliser_SourceData.Fertiliser_ChemicalCompoundElements_Data(),Table_Fertiliser_ChemicalCompounds[[#Headers],[Fertiliser type f]], 0)</f>
        <v>0</v>
      </c>
      <c r="G20" s="192" t="str" cm="1">
        <f t="array" ref="G20">Common_InputFunctions.Utility_DisplayArrayInTable(Fertiliser_SourceData.Fertiliser_ChemicalCompoundElements_Data(),Table_Fertiliser_ChemicalCompounds[[#Headers],[Fertiliser type f]], 0)</f>
        <v>Ammonium-based fertilisers</v>
      </c>
      <c r="H20" s="192" t="str" cm="1">
        <f t="array" ref="H20">Common_InputFunctions.Utility_DisplayArrayInTable(Fertiliser_SourceData.Fertiliser_ChemicalCompoundElements_Data(),Table_Fertiliser_ChemicalCompounds[[#Headers],[Fertiliser type f]], 0)</f>
        <v>Monoammonium phosphate (MAP)</v>
      </c>
      <c r="I20" s="192" t="str" cm="1">
        <f t="array" ref="I20">Common_InputFunctions.Utility_DisplayArrayInTable(Fertiliser_SourceData.Fertiliser_ChemicalCompoundElements_Data(),Table_Fertiliser_ChemicalCompounds[[#Headers],[Fertiliser type f]], 0)</f>
        <v>VEERG</v>
      </c>
      <c r="K20" s="19" t="str" cm="1">
        <f t="array" ref="K20">Common_InputFunctions.Utility_DisplayArrayInTable(Fertiliser_SourceData.Fertiliser_FractionNCommonFertilisers_Data(), Table2[[#Headers],[Fertiliser type f]], 0)</f>
        <v>Monoammonium phosphate (MAP)</v>
      </c>
      <c r="L20" s="19" cm="1">
        <f t="array" ref="L20">Common_InputFunctions.Utility_DisplayArrayInTable(Fertiliser_SourceData.Fertiliser_FractionNCommonFertilisers_Data(), Table2[[#Headers],[Fertiliser type f]], 0)</f>
        <v>0.1</v>
      </c>
      <c r="Q20" s="19" t="str" cm="1">
        <f t="array" ref="Q20">Common_InputFunctions.Utility_DisplayArrayInTable(Fertiliser_SourceData.Fertiliser_FractionUreaCommonFertilisers_Data(), Table28[[#Headers],[Fertiliser type f]], 0)</f>
        <v>Monoammonium phosphate (MAP)</v>
      </c>
      <c r="R20" s="19" cm="1">
        <f t="array" ref="R20">Common_InputFunctions.Utility_DisplayArrayInTable(Fertiliser_SourceData.Fertiliser_FractionUreaCommonFertilisers_Data(), Table28[[#Headers],[Fertiliser type f]], 0)</f>
        <v>0</v>
      </c>
      <c r="V20" s="19"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5" t="str">
        <f>HYPERLINK("#'Input - Crop pasture farm input'!A1", "Crop pasture farm input")</f>
        <v>Crop pasture farm input</v>
      </c>
      <c r="D21" s="192" t="str" cm="1">
        <f t="array" ref="D21">Common_InputFunctions.Utility_DisplayArrayInTable(Fertiliser_SourceData.Fertiliser_ChemicalCompoundElements_Data(),Table_Fertiliser_ChemicalCompounds[[#Headers],[Fertiliser type f]], 0)</f>
        <v>Diammonium phosphate (DAP)</v>
      </c>
      <c r="E21" s="192" cm="1">
        <f t="array" ref="E21">Common_InputFunctions.Utility_DisplayArrayInTable(Fertiliser_SourceData.Fertiliser_ChemicalCompoundElements_Data(),Table_Fertiliser_ChemicalCompounds[[#Headers],[Fertiliser type f]], 0)</f>
        <v>0.18</v>
      </c>
      <c r="F21" s="192" cm="1">
        <f t="array" ref="F21">Common_InputFunctions.Utility_DisplayArrayInTable(Fertiliser_SourceData.Fertiliser_ChemicalCompoundElements_Data(),Table_Fertiliser_ChemicalCompounds[[#Headers],[Fertiliser type f]], 0)</f>
        <v>0</v>
      </c>
      <c r="G21" s="192" t="str" cm="1">
        <f t="array" ref="G21">Common_InputFunctions.Utility_DisplayArrayInTable(Fertiliser_SourceData.Fertiliser_ChemicalCompoundElements_Data(),Table_Fertiliser_ChemicalCompounds[[#Headers],[Fertiliser type f]], 0)</f>
        <v>Ammonium-based fertilisers</v>
      </c>
      <c r="H21" s="192" t="str" cm="1">
        <f t="array" ref="H21">Common_InputFunctions.Utility_DisplayArrayInTable(Fertiliser_SourceData.Fertiliser_ChemicalCompoundElements_Data(),Table_Fertiliser_ChemicalCompounds[[#Headers],[Fertiliser type f]], 0)</f>
        <v>Diammonium phosphate (DAP)</v>
      </c>
      <c r="I21" s="192" t="str" cm="1">
        <f t="array" ref="I21">Common_InputFunctions.Utility_DisplayArrayInTable(Fertiliser_SourceData.Fertiliser_ChemicalCompoundElements_Data(),Table_Fertiliser_ChemicalCompounds[[#Headers],[Fertiliser type f]], 0)</f>
        <v>VEERG</v>
      </c>
      <c r="K21" s="19" t="str" cm="1">
        <f t="array" ref="K21">Common_InputFunctions.Utility_DisplayArrayInTable(Fertiliser_SourceData.Fertiliser_FractionNCommonFertilisers_Data(), Table2[[#Headers],[Fertiliser type f]], 0)</f>
        <v>Diammonium phosphate (DAP)</v>
      </c>
      <c r="L21" s="19" cm="1">
        <f t="array" ref="L21">Common_InputFunctions.Utility_DisplayArrayInTable(Fertiliser_SourceData.Fertiliser_FractionNCommonFertilisers_Data(), Table2[[#Headers],[Fertiliser type f]], 0)</f>
        <v>0.18</v>
      </c>
      <c r="Q21" s="19" t="str" cm="1">
        <f t="array" ref="Q21">Common_InputFunctions.Utility_DisplayArrayInTable(Fertiliser_SourceData.Fertiliser_FractionUreaCommonFertilisers_Data(), Table28[[#Headers],[Fertiliser type f]], 0)</f>
        <v>Diammonium phosphate (DAP)</v>
      </c>
      <c r="R21" s="19" cm="1">
        <f t="array" ref="R21">Common_InputFunctions.Utility_DisplayArrayInTable(Fertiliser_SourceData.Fertiliser_FractionUreaCommonFertilisers_Data(), Table28[[#Headers],[Fertiliser type f]], 0)</f>
        <v>0</v>
      </c>
      <c r="V21" s="19"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5" t="str">
        <f>HYPERLINK("#'Input - Livestock farm Inputs'!A1", "Livestock farm Inputs")</f>
        <v>Livestock farm Inputs</v>
      </c>
      <c r="D22" s="192" t="str" cm="1">
        <f t="array" ref="D22">Common_InputFunctions.Utility_DisplayArrayInTable(Fertiliser_SourceData.Fertiliser_ChemicalCompoundElements_Data(),Table_Fertiliser_ChemicalCompounds[[#Headers],[Fertiliser type f]], 0)</f>
        <v>Urea</v>
      </c>
      <c r="E22" s="192" cm="1">
        <f t="array" ref="E22">Common_InputFunctions.Utility_DisplayArrayInTable(Fertiliser_SourceData.Fertiliser_ChemicalCompoundElements_Data(),Table_Fertiliser_ChemicalCompounds[[#Headers],[Fertiliser type f]], 0)</f>
        <v>0.46</v>
      </c>
      <c r="F22" s="192" cm="1">
        <f t="array" ref="F22">Common_InputFunctions.Utility_DisplayArrayInTable(Fertiliser_SourceData.Fertiliser_ChemicalCompoundElements_Data(),Table_Fertiliser_ChemicalCompounds[[#Headers],[Fertiliser type f]], 0)</f>
        <v>1</v>
      </c>
      <c r="G22" s="192" t="str" cm="1">
        <f t="array" ref="G22">Common_InputFunctions.Utility_DisplayArrayInTable(Fertiliser_SourceData.Fertiliser_ChemicalCompoundElements_Data(),Table_Fertiliser_ChemicalCompounds[[#Headers],[Fertiliser type f]], 0)</f>
        <v>Urea-based fertilisers</v>
      </c>
      <c r="H22" s="192" t="str" cm="1">
        <f t="array" ref="H22">Common_InputFunctions.Utility_DisplayArrayInTable(Fertiliser_SourceData.Fertiliser_ChemicalCompoundElements_Data(),Table_Fertiliser_ChemicalCompounds[[#Headers],[Fertiliser type f]], 0)</f>
        <v>Urea</v>
      </c>
      <c r="I22" s="192" t="str" cm="1">
        <f t="array" ref="I22">Common_InputFunctions.Utility_DisplayArrayInTable(Fertiliser_SourceData.Fertiliser_ChemicalCompoundElements_Data(),Table_Fertiliser_ChemicalCompounds[[#Headers],[Fertiliser type f]], 0)</f>
        <v>VEERG</v>
      </c>
      <c r="K22" s="19" t="str" cm="1">
        <f t="array" ref="K22">Common_InputFunctions.Utility_DisplayArrayInTable(Fertiliser_SourceData.Fertiliser_FractionNCommonFertilisers_Data(), Table2[[#Headers],[Fertiliser type f]], 0)</f>
        <v>Urea</v>
      </c>
      <c r="L22" s="19" cm="1">
        <f t="array" ref="L22">Common_InputFunctions.Utility_DisplayArrayInTable(Fertiliser_SourceData.Fertiliser_FractionNCommonFertilisers_Data(), Table2[[#Headers],[Fertiliser type f]], 0)</f>
        <v>0.46</v>
      </c>
      <c r="Q22" s="19" t="str" cm="1">
        <f t="array" ref="Q22">Common_InputFunctions.Utility_DisplayArrayInTable(Fertiliser_SourceData.Fertiliser_FractionUreaCommonFertilisers_Data(), Table28[[#Headers],[Fertiliser type f]], 0)</f>
        <v>Urea</v>
      </c>
      <c r="R22" s="19" cm="1">
        <f t="array" ref="R22">Common_InputFunctions.Utility_DisplayArrayInTable(Fertiliser_SourceData.Fertiliser_FractionUreaCommonFertilisers_Data(), Table28[[#Headers],[Fertiliser type f]], 0)</f>
        <v>1</v>
      </c>
      <c r="V22" s="19"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5" t="str">
        <f>HYPERLINK("#'Input - Freight'!A1", "Freight")</f>
        <v>Freight</v>
      </c>
      <c r="D23" s="192" t="str" cm="1">
        <f t="array" ref="D23">Common_InputFunctions.Utility_DisplayArrayInTable(Fertiliser_SourceData.Fertiliser_ChemicalCompoundElements_Data(),Table_Fertiliser_ChemicalCompounds[[#Headers],[Fertiliser type f]], 0)</f>
        <v>Sulphate of ammonia (SOA)</v>
      </c>
      <c r="E23" s="192" cm="1">
        <f t="array" ref="E23">Common_InputFunctions.Utility_DisplayArrayInTable(Fertiliser_SourceData.Fertiliser_ChemicalCompoundElements_Data(),Table_Fertiliser_ChemicalCompounds[[#Headers],[Fertiliser type f]], 0)</f>
        <v>0.21</v>
      </c>
      <c r="F23" s="192" cm="1">
        <f t="array" ref="F23">Common_InputFunctions.Utility_DisplayArrayInTable(Fertiliser_SourceData.Fertiliser_ChemicalCompoundElements_Data(),Table_Fertiliser_ChemicalCompounds[[#Headers],[Fertiliser type f]], 0)</f>
        <v>0</v>
      </c>
      <c r="G23" s="192" t="str" cm="1">
        <f t="array" ref="G23">Common_InputFunctions.Utility_DisplayArrayInTable(Fertiliser_SourceData.Fertiliser_ChemicalCompoundElements_Data(),Table_Fertiliser_ChemicalCompounds[[#Headers],[Fertiliser type f]], 0)</f>
        <v>Ammonium-based fertilisers</v>
      </c>
      <c r="H23" s="192" t="str" cm="1">
        <f t="array" ref="H23">Common_InputFunctions.Utility_DisplayArrayInTable(Fertiliser_SourceData.Fertiliser_ChemicalCompoundElements_Data(),Table_Fertiliser_ChemicalCompounds[[#Headers],[Fertiliser type f]], 0)</f>
        <v>Sulphate of ammonia (SOA)</v>
      </c>
      <c r="I23" s="192" t="str" cm="1">
        <f t="array" ref="I23">Common_InputFunctions.Utility_DisplayArrayInTable(Fertiliser_SourceData.Fertiliser_ChemicalCompoundElements_Data(),Table_Fertiliser_ChemicalCompounds[[#Headers],[Fertiliser type f]], 0)</f>
        <v>VEERG</v>
      </c>
      <c r="K23" s="19" t="str" cm="1">
        <f t="array" ref="K23">Common_InputFunctions.Utility_DisplayArrayInTable(Fertiliser_SourceData.Fertiliser_FractionNCommonFertilisers_Data(), Table2[[#Headers],[Fertiliser type f]], 0)</f>
        <v>Sulphate of ammonia (SOA)</v>
      </c>
      <c r="L23" s="19" cm="1">
        <f t="array" ref="L23">Common_InputFunctions.Utility_DisplayArrayInTable(Fertiliser_SourceData.Fertiliser_FractionNCommonFertilisers_Data(), Table2[[#Headers],[Fertiliser type f]], 0)</f>
        <v>0.21</v>
      </c>
      <c r="Q23" s="19" t="str" cm="1">
        <f t="array" ref="Q23">Common_InputFunctions.Utility_DisplayArrayInTable(Fertiliser_SourceData.Fertiliser_FractionUreaCommonFertilisers_Data(), Table28[[#Headers],[Fertiliser type f]], 0)</f>
        <v>Sulphate of ammonia (SOA)</v>
      </c>
      <c r="R23" s="19" cm="1">
        <f t="array" ref="R23">Common_InputFunctions.Utility_DisplayArrayInTable(Fertiliser_SourceData.Fertiliser_FractionUreaCommonFertilisers_Data(), Table28[[#Headers],[Fertiliser type f]], 0)</f>
        <v>0</v>
      </c>
      <c r="V23" s="19"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5" t="str">
        <f>HYPERLINK("#'Input - Solid waste'!A1", "Solid waste")</f>
        <v>Solid waste</v>
      </c>
      <c r="D24" s="192" t="str" cm="1">
        <f t="array" ref="D24">Common_InputFunctions.Utility_DisplayArrayInTable(Fertiliser_SourceData.Fertiliser_ChemicalCompoundElements_Data(),Table_Fertiliser_ChemicalCompounds[[#Headers],[Fertiliser type f]], 0)</f>
        <v>Urea-ammonium nitrate (UAN)</v>
      </c>
      <c r="E24" s="192" cm="1">
        <f t="array" ref="E24">Common_InputFunctions.Utility_DisplayArrayInTable(Fertiliser_SourceData.Fertiliser_ChemicalCompoundElements_Data(),Table_Fertiliser_ChemicalCompounds[[#Headers],[Fertiliser type f]], 0)</f>
        <v>0.32</v>
      </c>
      <c r="F24" s="192" cm="1">
        <f t="array" ref="F24">Common_InputFunctions.Utility_DisplayArrayInTable(Fertiliser_SourceData.Fertiliser_ChemicalCompoundElements_Data(),Table_Fertiliser_ChemicalCompounds[[#Headers],[Fertiliser type f]], 0)</f>
        <v>0.35</v>
      </c>
      <c r="G24" s="192" t="str" cm="1">
        <f t="array" ref="G24">Common_InputFunctions.Utility_DisplayArrayInTable(Fertiliser_SourceData.Fertiliser_ChemicalCompoundElements_Data(),Table_Fertiliser_ChemicalCompounds[[#Headers],[Fertiliser type f]], 0)</f>
        <v>Urea-based fertilisers</v>
      </c>
      <c r="H24" s="192" t="str" cm="1">
        <f t="array" ref="H24">Common_InputFunctions.Utility_DisplayArrayInTable(Fertiliser_SourceData.Fertiliser_ChemicalCompoundElements_Data(),Table_Fertiliser_ChemicalCompounds[[#Headers],[Fertiliser type f]], 0)</f>
        <v>Urea-ammonium nitrate (UAN)</v>
      </c>
      <c r="I24" s="192" t="str" cm="1">
        <f t="array" ref="I24">Common_InputFunctions.Utility_DisplayArrayInTable(Fertiliser_SourceData.Fertiliser_ChemicalCompoundElements_Data(),Table_Fertiliser_ChemicalCompounds[[#Headers],[Fertiliser type f]], 0)</f>
        <v>VEERG</v>
      </c>
      <c r="K24" s="19" t="str" cm="1">
        <f t="array" ref="K24">Common_InputFunctions.Utility_DisplayArrayInTable(Fertiliser_SourceData.Fertiliser_FractionNCommonFertilisers_Data(), Table2[[#Headers],[Fertiliser type f]], 0)</f>
        <v>Urea-ammonium nitrate (UAN)</v>
      </c>
      <c r="L24" s="19" cm="1">
        <f t="array" ref="L24">Common_InputFunctions.Utility_DisplayArrayInTable(Fertiliser_SourceData.Fertiliser_FractionNCommonFertilisers_Data(), Table2[[#Headers],[Fertiliser type f]], 0)</f>
        <v>0.32</v>
      </c>
      <c r="Q24" s="19" t="str" cm="1">
        <f t="array" ref="Q24">Common_InputFunctions.Utility_DisplayArrayInTable(Fertiliser_SourceData.Fertiliser_FractionUreaCommonFertilisers_Data(), Table28[[#Headers],[Fertiliser type f]], 0)</f>
        <v>Urea-ammonium nitrate (UAN)</v>
      </c>
      <c r="R24" s="19" cm="1">
        <f t="array" ref="R24">Common_InputFunctions.Utility_DisplayArrayInTable(Fertiliser_SourceData.Fertiliser_FractionUreaCommonFertilisers_Data(), Table28[[#Headers],[Fertiliser type f]], 0)</f>
        <v>0.35</v>
      </c>
    </row>
    <row r="25" spans="1:22" ht="20.100000000000001" customHeight="1" x14ac:dyDescent="0.25">
      <c r="A25" s="5" t="str">
        <f>HYPERLINK("#'Input - Manure sent off-site'!A1", "Manure sent off-site")</f>
        <v>Manure sent off-site</v>
      </c>
      <c r="D25" s="192" t="str" cm="1">
        <f t="array" ref="D25">Common_InputFunctions.Utility_DisplayArrayInTable(Fertiliser_SourceData.Fertiliser_ChemicalCompoundElements_Data(),Table_Fertiliser_ChemicalCompounds[[#Headers],[Fertiliser type f]], 0)</f>
        <v>Ammonium nitrate (AN)</v>
      </c>
      <c r="E25" s="192" cm="1">
        <f t="array" ref="E25">Common_InputFunctions.Utility_DisplayArrayInTable(Fertiliser_SourceData.Fertiliser_ChemicalCompoundElements_Data(),Table_Fertiliser_ChemicalCompounds[[#Headers],[Fertiliser type f]], 0)</f>
        <v>0.33700000000000002</v>
      </c>
      <c r="F25" s="192" cm="1">
        <f t="array" ref="F25">Common_InputFunctions.Utility_DisplayArrayInTable(Fertiliser_SourceData.Fertiliser_ChemicalCompoundElements_Data(),Table_Fertiliser_ChemicalCompounds[[#Headers],[Fertiliser type f]], 0)</f>
        <v>0</v>
      </c>
      <c r="G25" s="192" t="str" cm="1">
        <f t="array" ref="G25">Common_InputFunctions.Utility_DisplayArrayInTable(Fertiliser_SourceData.Fertiliser_ChemicalCompoundElements_Data(),Table_Fertiliser_ChemicalCompounds[[#Headers],[Fertiliser type f]], 0)</f>
        <v>Ammonium-nitrate based fertilisers</v>
      </c>
      <c r="H25" s="192" t="str" cm="1">
        <f t="array" ref="H25">Common_InputFunctions.Utility_DisplayArrayInTable(Fertiliser_SourceData.Fertiliser_ChemicalCompoundElements_Data(),Table_Fertiliser_ChemicalCompounds[[#Headers],[Fertiliser type f]], 0)</f>
        <v>Ammonium nitrate (AN)</v>
      </c>
      <c r="I25" s="192" t="str" cm="1">
        <f t="array" ref="I25">Common_InputFunctions.Utility_DisplayArrayInTable(Fertiliser_SourceData.Fertiliser_ChemicalCompoundElements_Data(),Table_Fertiliser_ChemicalCompounds[[#Headers],[Fertiliser type f]], 0)</f>
        <v>VEERG</v>
      </c>
      <c r="K25" s="19" t="str" cm="1">
        <f t="array" ref="K25">Common_InputFunctions.Utility_DisplayArrayInTable(Fertiliser_SourceData.Fertiliser_FractionNCommonFertilisers_Data(), Table2[[#Headers],[Fertiliser type f]], 0)</f>
        <v>Ammonium nitrate (AN)</v>
      </c>
      <c r="L25" s="19" cm="1">
        <f t="array" ref="L25">Common_InputFunctions.Utility_DisplayArrayInTable(Fertiliser_SourceData.Fertiliser_FractionNCommonFertilisers_Data(), Table2[[#Headers],[Fertiliser type f]], 0)</f>
        <v>0.33700000000000002</v>
      </c>
      <c r="Q25" s="19" t="str" cm="1">
        <f t="array" ref="Q25">Common_InputFunctions.Utility_DisplayArrayInTable(Fertiliser_SourceData.Fertiliser_FractionUreaCommonFertilisers_Data(), Table28[[#Headers],[Fertiliser type f]], 0)</f>
        <v>Ammonium nitrate (AN)</v>
      </c>
      <c r="R25" s="19" cm="1">
        <f t="array" ref="R25">Common_InputFunctions.Utility_DisplayArrayInTable(Fertiliser_SourceData.Fertiliser_FractionUreaCommonFertilisers_Data(), Table28[[#Headers],[Fertiliser type f]], 0)</f>
        <v>0</v>
      </c>
    </row>
    <row r="26" spans="1:22" ht="20.100000000000001" customHeight="1" x14ac:dyDescent="0.25">
      <c r="A26" s="5" t="str">
        <f>HYPERLINK("#'Input - Refrigerants'!A1", "Refrigerants")</f>
        <v>Refrigerants</v>
      </c>
      <c r="D26" s="192" t="str" cm="1">
        <f t="array" ref="D26">Common_InputFunctions.Utility_DisplayArrayInTable(Fertiliser_SourceData.Fertiliser_ChemicalCompoundElements_Data(),Table_Fertiliser_ChemicalCompounds[[#Headers],[Fertiliser type f]], 0)</f>
        <v>Calcium ammonium nitrate (CAN)</v>
      </c>
      <c r="E26" s="192" cm="1">
        <f t="array" ref="E26">Common_InputFunctions.Utility_DisplayArrayInTable(Fertiliser_SourceData.Fertiliser_ChemicalCompoundElements_Data(),Table_Fertiliser_ChemicalCompounds[[#Headers],[Fertiliser type f]], 0)</f>
        <v>0.27</v>
      </c>
      <c r="F26" s="192" cm="1">
        <f t="array" ref="F26">Common_InputFunctions.Utility_DisplayArrayInTable(Fertiliser_SourceData.Fertiliser_ChemicalCompoundElements_Data(),Table_Fertiliser_ChemicalCompounds[[#Headers],[Fertiliser type f]], 0)</f>
        <v>0</v>
      </c>
      <c r="G26" s="192" t="str" cm="1">
        <f t="array" ref="G26">Common_InputFunctions.Utility_DisplayArrayInTable(Fertiliser_SourceData.Fertiliser_ChemicalCompoundElements_Data(),Table_Fertiliser_ChemicalCompounds[[#Headers],[Fertiliser type f]], 0)</f>
        <v>Ammonium-nitrate based fertilisers</v>
      </c>
      <c r="H26" s="192" t="str" cm="1">
        <f t="array" ref="H26">Common_InputFunctions.Utility_DisplayArrayInTable(Fertiliser_SourceData.Fertiliser_ChemicalCompoundElements_Data(),Table_Fertiliser_ChemicalCompounds[[#Headers],[Fertiliser type f]], 0)</f>
        <v>Calcium ammonium nitrate (CAN)</v>
      </c>
      <c r="I26" s="192" t="str" cm="1">
        <f t="array" ref="I26">Common_InputFunctions.Utility_DisplayArrayInTable(Fertiliser_SourceData.Fertiliser_ChemicalCompoundElements_Data(),Table_Fertiliser_ChemicalCompounds[[#Headers],[Fertiliser type f]], 0)</f>
        <v>VEERG</v>
      </c>
      <c r="K26" s="19" t="str" cm="1">
        <f t="array" ref="K26">Common_InputFunctions.Utility_DisplayArrayInTable(Fertiliser_SourceData.Fertiliser_FractionNCommonFertilisers_Data(), Table2[[#Headers],[Fertiliser type f]], 0)</f>
        <v>Calcium ammonium nitrate (CAN)</v>
      </c>
      <c r="L26" s="19" cm="1">
        <f t="array" ref="L26">Common_InputFunctions.Utility_DisplayArrayInTable(Fertiliser_SourceData.Fertiliser_FractionNCommonFertilisers_Data(), Table2[[#Headers],[Fertiliser type f]], 0)</f>
        <v>0.27</v>
      </c>
      <c r="Q26" s="19" t="str" cm="1">
        <f t="array" ref="Q26">Common_InputFunctions.Utility_DisplayArrayInTable(Fertiliser_SourceData.Fertiliser_FractionUreaCommonFertilisers_Data(), Table28[[#Headers],[Fertiliser type f]], 0)</f>
        <v>Calcium ammonium nitrate (CAN)</v>
      </c>
      <c r="R26" s="19" cm="1">
        <f t="array" ref="R26">Common_InputFunctions.Utility_DisplayArrayInTable(Fertiliser_SourceData.Fertiliser_FractionUreaCommonFertilisers_Data(), Table28[[#Headers],[Fertiliser type f]], 0)</f>
        <v>0</v>
      </c>
    </row>
    <row r="27" spans="1:22" ht="20.100000000000001" customHeight="1" x14ac:dyDescent="0.25">
      <c r="A27" s="5" t="str">
        <f>HYPERLINK("#'Input - Data quality'!A1", "Data quality")</f>
        <v>Data quality</v>
      </c>
      <c r="D27" s="192" t="str" cm="1">
        <f t="array" ref="D27">Common_InputFunctions.Utility_DisplayArrayInTable(Fertiliser_SourceData.Fertiliser_ChemicalCompoundElements_Data(),Table_Fertiliser_ChemicalCompounds[[#Headers],[Fertiliser type f]], 0)</f>
        <v>Nitrogen - Ammoniacal</v>
      </c>
      <c r="E27" s="192" cm="1">
        <f t="array" ref="E27">Common_InputFunctions.Utility_DisplayArrayInTable(Fertiliser_SourceData.Fertiliser_ChemicalCompoundElements_Data(),Table_Fertiliser_ChemicalCompounds[[#Headers],[Fertiliser type f]], 0)</f>
        <v>1</v>
      </c>
      <c r="F27" s="192" cm="1">
        <f t="array" ref="F27">Common_InputFunctions.Utility_DisplayArrayInTable(Fertiliser_SourceData.Fertiliser_ChemicalCompoundElements_Data(),Table_Fertiliser_ChemicalCompounds[[#Headers],[Fertiliser type f]], 0)</f>
        <v>0</v>
      </c>
      <c r="G27" s="192" t="str" cm="1">
        <f t="array" ref="G27">Common_InputFunctions.Utility_DisplayArrayInTable(Fertiliser_SourceData.Fertiliser_ChemicalCompoundElements_Data(),Table_Fertiliser_ChemicalCompounds[[#Headers],[Fertiliser type f]], 0)</f>
        <v>Ammonium-based fertilisers</v>
      </c>
      <c r="H27" s="192" t="str" cm="1">
        <f t="array" ref="H27">Common_InputFunctions.Utility_DisplayArrayInTable(Fertiliser_SourceData.Fertiliser_ChemicalCompoundElements_Data(),Table_Fertiliser_ChemicalCompounds[[#Headers],[Fertiliser type f]], 0)</f>
        <v>Nitrogen - Ammoniacal</v>
      </c>
      <c r="I27" s="192" t="str" cm="1">
        <f t="array" ref="I27">Common_InputFunctions.Utility_DisplayArrayInTable(Fertiliser_SourceData.Fertiliser_ChemicalCompoundElements_Data(),Table_Fertiliser_ChemicalCompounds[[#Headers],[Fertiliser type f]], 0)</f>
        <v>LifeCycles</v>
      </c>
      <c r="K27" s="19" t="str" cm="1">
        <f t="array" ref="K27">Common_InputFunctions.Utility_DisplayArrayInTable(Fertiliser_SourceData.Fertiliser_FractionNCommonFertilisers_Data(), Table2[[#Headers],[Fertiliser type f]], 0)</f>
        <v>Ammonium Sulfate</v>
      </c>
      <c r="L27" s="19" cm="1">
        <f t="array" ref="L27">Common_InputFunctions.Utility_DisplayArrayInTable(Fertiliser_SourceData.Fertiliser_FractionNCommonFertilisers_Data(), Table2[[#Headers],[Fertiliser type f]], 0)</f>
        <v>0.21</v>
      </c>
      <c r="Q27" s="19" t="str" cm="1">
        <f t="array" ref="Q27">Common_InputFunctions.Utility_DisplayArrayInTable(Fertiliser_SourceData.Fertiliser_FractionUreaCommonFertilisers_Data(), Table28[[#Headers],[Fertiliser type f]], 0)</f>
        <v>Ammonium Sulfate</v>
      </c>
      <c r="R27" s="19" cm="1">
        <f t="array" ref="R27">Common_InputFunctions.Utility_DisplayArrayInTable(Fertiliser_SourceData.Fertiliser_FractionUreaCommonFertilisers_Data(), Table28[[#Headers],[Fertiliser type f]], 0)</f>
        <v>0</v>
      </c>
    </row>
    <row r="28" spans="1:22" ht="20.100000000000001" customHeight="1" x14ac:dyDescent="0.25">
      <c r="D28" s="192" t="str" cm="1">
        <f t="array" ref="D28">Common_InputFunctions.Utility_DisplayArrayInTable(Fertiliser_SourceData.Fertiliser_ChemicalCompoundElements_Data(),Table_Fertiliser_ChemicalCompounds[[#Headers],[Fertiliser type f]], 0)</f>
        <v>Nitrogen - Nitrate</v>
      </c>
      <c r="E28" s="192" cm="1">
        <f t="array" ref="E28">Common_InputFunctions.Utility_DisplayArrayInTable(Fertiliser_SourceData.Fertiliser_ChemicalCompoundElements_Data(),Table_Fertiliser_ChemicalCompounds[[#Headers],[Fertiliser type f]], 0)</f>
        <v>1</v>
      </c>
      <c r="F28" s="192" cm="1">
        <f t="array" ref="F28">Common_InputFunctions.Utility_DisplayArrayInTable(Fertiliser_SourceData.Fertiliser_ChemicalCompoundElements_Data(),Table_Fertiliser_ChemicalCompounds[[#Headers],[Fertiliser type f]], 0)</f>
        <v>0</v>
      </c>
      <c r="G28" s="192" t="str" cm="1">
        <f t="array" ref="G28">Common_InputFunctions.Utility_DisplayArrayInTable(Fertiliser_SourceData.Fertiliser_ChemicalCompoundElements_Data(),Table_Fertiliser_ChemicalCompounds[[#Headers],[Fertiliser type f]], 0)</f>
        <v>Nitrate-based fertilisers</v>
      </c>
      <c r="H28" s="192" t="str" cm="1">
        <f t="array" ref="H28">Common_InputFunctions.Utility_DisplayArrayInTable(Fertiliser_SourceData.Fertiliser_ChemicalCompoundElements_Data(),Table_Fertiliser_ChemicalCompounds[[#Headers],[Fertiliser type f]], 0)</f>
        <v>Nitrogen from Nitrate</v>
      </c>
      <c r="I28" s="192" t="str" cm="1">
        <f t="array" ref="I28">Common_InputFunctions.Utility_DisplayArrayInTable(Fertiliser_SourceData.Fertiliser_ChemicalCompoundElements_Data(),Table_Fertiliser_ChemicalCompounds[[#Headers],[Fertiliser type f]], 0)</f>
        <v>LifeCycles</v>
      </c>
      <c r="K28" s="19" t="str" cm="1">
        <f t="array" ref="K28">Common_InputFunctions.Utility_DisplayArrayInTable(Fertiliser_SourceData.Fertiliser_FractionNCommonFertilisers_Data(), Table2[[#Headers],[Fertiliser type f]], 0)</f>
        <v>Calcium Nitrate</v>
      </c>
      <c r="L28" s="19" cm="1">
        <f t="array" ref="L28">Common_InputFunctions.Utility_DisplayArrayInTable(Fertiliser_SourceData.Fertiliser_FractionNCommonFertilisers_Data(), Table2[[#Headers],[Fertiliser type f]], 0)</f>
        <v>0.155</v>
      </c>
      <c r="Q28" s="19" t="str" cm="1">
        <f t="array" ref="Q28">Common_InputFunctions.Utility_DisplayArrayInTable(Fertiliser_SourceData.Fertiliser_FractionUreaCommonFertilisers_Data(), Table28[[#Headers],[Fertiliser type f]], 0)</f>
        <v>Calcium Nitrate</v>
      </c>
      <c r="R28" s="19" cm="1">
        <f t="array" ref="R28">Common_InputFunctions.Utility_DisplayArrayInTable(Fertiliser_SourceData.Fertiliser_FractionUreaCommonFertilisers_Data(), Table28[[#Headers],[Fertiliser type f]], 0)</f>
        <v>0</v>
      </c>
    </row>
    <row r="29" spans="1:22" ht="20.100000000000001" customHeight="1" x14ac:dyDescent="0.25">
      <c r="D29" s="192" t="str" cm="1">
        <f t="array" ref="D29">Common_InputFunctions.Utility_DisplayArrayInTable(Fertiliser_SourceData.Fertiliser_ChemicalCompoundElements_Data(),Table_Fertiliser_ChemicalCompounds[[#Headers],[Fertiliser type f]], 0)</f>
        <v>Nitrogen - Generic</v>
      </c>
      <c r="E29" s="192" cm="1">
        <f t="array" ref="E29">Common_InputFunctions.Utility_DisplayArrayInTable(Fertiliser_SourceData.Fertiliser_ChemicalCompoundElements_Data(),Table_Fertiliser_ChemicalCompounds[[#Headers],[Fertiliser type f]], 0)</f>
        <v>1</v>
      </c>
      <c r="F29" s="192" cm="1">
        <f t="array" ref="F29">Common_InputFunctions.Utility_DisplayArrayInTable(Fertiliser_SourceData.Fertiliser_ChemicalCompoundElements_Data(),Table_Fertiliser_ChemicalCompounds[[#Headers],[Fertiliser type f]], 0)</f>
        <v>0</v>
      </c>
      <c r="G29" s="192" t="str" cm="1">
        <f t="array" ref="G29">Common_InputFunctions.Utility_DisplayArrayInTable(Fertiliser_SourceData.Fertiliser_ChemicalCompoundElements_Data(),Table_Fertiliser_ChemicalCompounds[[#Headers],[Fertiliser type f]], 0)</f>
        <v>Urea-based fertilisers</v>
      </c>
      <c r="H29" s="192" t="str" cm="1">
        <f t="array" ref="H29">Common_InputFunctions.Utility_DisplayArrayInTable(Fertiliser_SourceData.Fertiliser_ChemicalCompoundElements_Data(),Table_Fertiliser_ChemicalCompounds[[#Headers],[Fertiliser type f]], 0)</f>
        <v>Nitrogen from fertiliser</v>
      </c>
      <c r="I29" s="192"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6" t="s">
        <v>2</v>
      </c>
      <c r="D30" s="192" t="str" cm="1">
        <f t="array" ref="D30">Common_InputFunctions.Utility_DisplayArrayInTable(Fertiliser_SourceData.Fertiliser_ChemicalCompoundElements_Data(),Table_Fertiliser_ChemicalCompounds[[#Headers],[Fertiliser type f]], 0)</f>
        <v>Phosphorus - Generic</v>
      </c>
      <c r="E30" s="192" cm="1">
        <f t="array" ref="E30">Common_InputFunctions.Utility_DisplayArrayInTable(Fertiliser_SourceData.Fertiliser_ChemicalCompoundElements_Data(),Table_Fertiliser_ChemicalCompounds[[#Headers],[Fertiliser type f]], 0)</f>
        <v>0</v>
      </c>
      <c r="F30" s="192" cm="1">
        <f t="array" ref="F30">Common_InputFunctions.Utility_DisplayArrayInTable(Fertiliser_SourceData.Fertiliser_ChemicalCompoundElements_Data(),Table_Fertiliser_ChemicalCompounds[[#Headers],[Fertiliser type f]], 0)</f>
        <v>0</v>
      </c>
      <c r="G30" s="192" t="str" cm="1">
        <f t="array" ref="G30">Common_InputFunctions.Utility_DisplayArrayInTable(Fertiliser_SourceData.Fertiliser_ChemicalCompoundElements_Data(),Table_Fertiliser_ChemicalCompounds[[#Headers],[Fertiliser type f]], 0)</f>
        <v>Other fertilisers</v>
      </c>
      <c r="H30" s="192" t="str" cm="1">
        <f t="array" ref="H30">Common_InputFunctions.Utility_DisplayArrayInTable(Fertiliser_SourceData.Fertiliser_ChemicalCompoundElements_Data(),Table_Fertiliser_ChemicalCompounds[[#Headers],[Fertiliser type f]], 0)</f>
        <v>Phosphorus from fertiliser</v>
      </c>
      <c r="I30" s="192"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5" t="str">
        <f>HYPERLINK("#'3.3.1.1-2 Enteric Methane'!A1", "3.3.1.1-2 Enteric methane")</f>
        <v>3.3.1.1-2 Enteric methane</v>
      </c>
      <c r="D31" s="192" t="str" cm="1">
        <f t="array" ref="D31">Common_InputFunctions.Utility_DisplayArrayInTable(Fertiliser_SourceData.Fertiliser_ChemicalCompoundElements_Data(),Table_Fertiliser_ChemicalCompounds[[#Headers],[Fertiliser type f]], 0)</f>
        <v>Potassium - Generic</v>
      </c>
      <c r="E31" s="192" cm="1">
        <f t="array" ref="E31">Common_InputFunctions.Utility_DisplayArrayInTable(Fertiliser_SourceData.Fertiliser_ChemicalCompoundElements_Data(),Table_Fertiliser_ChemicalCompounds[[#Headers],[Fertiliser type f]], 0)</f>
        <v>0</v>
      </c>
      <c r="F31" s="192" cm="1">
        <f t="array" ref="F31">Common_InputFunctions.Utility_DisplayArrayInTable(Fertiliser_SourceData.Fertiliser_ChemicalCompoundElements_Data(),Table_Fertiliser_ChemicalCompounds[[#Headers],[Fertiliser type f]], 0)</f>
        <v>0</v>
      </c>
      <c r="G31" s="192" t="str" cm="1">
        <f t="array" ref="G31">Common_InputFunctions.Utility_DisplayArrayInTable(Fertiliser_SourceData.Fertiliser_ChemicalCompoundElements_Data(),Table_Fertiliser_ChemicalCompounds[[#Headers],[Fertiliser type f]], 0)</f>
        <v>Other fertilisers</v>
      </c>
      <c r="H31" s="192" t="str" cm="1">
        <f t="array" ref="H31">Common_InputFunctions.Utility_DisplayArrayInTable(Fertiliser_SourceData.Fertiliser_ChemicalCompoundElements_Data(),Table_Fertiliser_ChemicalCompounds[[#Headers],[Fertiliser type f]], 0)</f>
        <v>Potassium from fertiliser</v>
      </c>
      <c r="I31" s="192"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5" t="str">
        <f>HYPERLINK("#'4.3.1.1-2 Methane'!A1", "4.3.1.1-2 Manure methane")</f>
        <v>4.3.1.1-2 Manure methane</v>
      </c>
      <c r="D32" s="192" t="str" cm="1">
        <f t="array" ref="D32">Common_InputFunctions.Utility_DisplayArrayInTable(Fertiliser_SourceData.Fertiliser_ChemicalCompoundElements_Data(),Table_Fertiliser_ChemicalCompounds[[#Headers],[Fertiliser type f]], 0)</f>
        <v>Sulfur - Generic</v>
      </c>
      <c r="E32" s="192" cm="1">
        <f t="array" ref="E32">Common_InputFunctions.Utility_DisplayArrayInTable(Fertiliser_SourceData.Fertiliser_ChemicalCompoundElements_Data(),Table_Fertiliser_ChemicalCompounds[[#Headers],[Fertiliser type f]], 0)</f>
        <v>0</v>
      </c>
      <c r="F32" s="192" cm="1">
        <f t="array" ref="F32">Common_InputFunctions.Utility_DisplayArrayInTable(Fertiliser_SourceData.Fertiliser_ChemicalCompoundElements_Data(),Table_Fertiliser_ChemicalCompounds[[#Headers],[Fertiliser type f]], 0)</f>
        <v>0</v>
      </c>
      <c r="G32" s="192" t="str" cm="1">
        <f t="array" ref="G32">Common_InputFunctions.Utility_DisplayArrayInTable(Fertiliser_SourceData.Fertiliser_ChemicalCompoundElements_Data(),Table_Fertiliser_ChemicalCompounds[[#Headers],[Fertiliser type f]], 0)</f>
        <v>Other fertilisers</v>
      </c>
      <c r="H32" s="192" t="str" cm="1">
        <f t="array" ref="H32">Common_InputFunctions.Utility_DisplayArrayInTable(Fertiliser_SourceData.Fertiliser_ChemicalCompoundElements_Data(),Table_Fertiliser_ChemicalCompounds[[#Headers],[Fertiliser type f]], 0)</f>
        <v>Sulfur from fertiliser</v>
      </c>
      <c r="I32" s="192"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5" t="str">
        <f>HYPERLINK("#'4.3.1.3-4 Direct N20'!A1", "4.3.1.3-4 Direct N20")</f>
        <v>4.3.1.3-4 Direct N20</v>
      </c>
      <c r="D33" s="192" t="str" cm="1">
        <f t="array" ref="D33">Common_InputFunctions.Utility_DisplayArrayInTable(Fertiliser_SourceData.Fertiliser_ChemicalCompoundElements_Data(),Table_Fertiliser_ChemicalCompounds[[#Headers],[Fertiliser type f]], 0)</f>
        <v>Zinc - Generic</v>
      </c>
      <c r="E33" s="192" cm="1">
        <f t="array" ref="E33">Common_InputFunctions.Utility_DisplayArrayInTable(Fertiliser_SourceData.Fertiliser_ChemicalCompoundElements_Data(),Table_Fertiliser_ChemicalCompounds[[#Headers],[Fertiliser type f]], 0)</f>
        <v>0</v>
      </c>
      <c r="F33" s="192" cm="1">
        <f t="array" ref="F33">Common_InputFunctions.Utility_DisplayArrayInTable(Fertiliser_SourceData.Fertiliser_ChemicalCompoundElements_Data(),Table_Fertiliser_ChemicalCompounds[[#Headers],[Fertiliser type f]], 0)</f>
        <v>0</v>
      </c>
      <c r="G33" s="192" t="str" cm="1">
        <f t="array" ref="G33">Common_InputFunctions.Utility_DisplayArrayInTable(Fertiliser_SourceData.Fertiliser_ChemicalCompoundElements_Data(),Table_Fertiliser_ChemicalCompounds[[#Headers],[Fertiliser type f]], 0)</f>
        <v>Other fertilisers</v>
      </c>
      <c r="H33" s="192" t="str" cm="1">
        <f t="array" ref="H33">Common_InputFunctions.Utility_DisplayArrayInTable(Fertiliser_SourceData.Fertiliser_ChemicalCompoundElements_Data(),Table_Fertiliser_ChemicalCompounds[[#Headers],[Fertiliser type f]], 0)</f>
        <v>Zinc from fertiliser</v>
      </c>
      <c r="I33" s="192"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5" t="str">
        <f>HYPERLINK("#'4.3.1.5 Atmos deposition'!A1", "4.3.1.5 Atmos deposition")</f>
        <v>4.3.1.5 Atmos deposition</v>
      </c>
      <c r="D34" s="192" t="str" cm="1">
        <f t="array" ref="D34">Common_InputFunctions.Utility_DisplayArrayInTable(Fertiliser_SourceData.Fertiliser_ChemicalCompoundElements_Data(),Table_Fertiliser_ChemicalCompounds[[#Headers],[Fertiliser type f]], 0)</f>
        <v>Muriate of potash (MOP)</v>
      </c>
      <c r="E34" s="192" cm="1">
        <f t="array" ref="E34">Common_InputFunctions.Utility_DisplayArrayInTable(Fertiliser_SourceData.Fertiliser_ChemicalCompoundElements_Data(),Table_Fertiliser_ChemicalCompounds[[#Headers],[Fertiliser type f]], 0)</f>
        <v>0</v>
      </c>
      <c r="F34" s="192" cm="1">
        <f t="array" ref="F34">Common_InputFunctions.Utility_DisplayArrayInTable(Fertiliser_SourceData.Fertiliser_ChemicalCompoundElements_Data(),Table_Fertiliser_ChemicalCompounds[[#Headers],[Fertiliser type f]], 0)</f>
        <v>0</v>
      </c>
      <c r="G34" s="192" t="str" cm="1">
        <f t="array" ref="G34">Common_InputFunctions.Utility_DisplayArrayInTable(Fertiliser_SourceData.Fertiliser_ChemicalCompoundElements_Data(),Table_Fertiliser_ChemicalCompounds[[#Headers],[Fertiliser type f]], 0)</f>
        <v>Other fertilisers</v>
      </c>
      <c r="H34" s="192" t="str" cm="1">
        <f t="array" ref="H34">Common_InputFunctions.Utility_DisplayArrayInTable(Fertiliser_SourceData.Fertiliser_ChemicalCompoundElements_Data(),Table_Fertiliser_ChemicalCompounds[[#Headers],[Fertiliser type f]], 0)</f>
        <v>Muriate of potash (MOP)</v>
      </c>
      <c r="I34" s="192"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s="5" t="str">
        <f>HYPERLINK("#'4.3.1.6-7 Leaching and runoff'!A1", "4.3.1.6-7 Leaching &amp; runoff")</f>
        <v>4.3.1.6-7 Leaching &amp; runoff</v>
      </c>
      <c r="D35" s="192" t="str" cm="1">
        <f t="array" ref="D35">Common_InputFunctions.Utility_DisplayArrayInTable(Fertiliser_SourceData.Fertiliser_ChemicalCompoundElements_Data(),Table_Fertiliser_ChemicalCompounds[[#Headers],[Fertiliser type f]], 0)</f>
        <v>Double superphosphate</v>
      </c>
      <c r="E35" s="192" cm="1">
        <f t="array" ref="E35">Common_InputFunctions.Utility_DisplayArrayInTable(Fertiliser_SourceData.Fertiliser_ChemicalCompoundElements_Data(),Table_Fertiliser_ChemicalCompounds[[#Headers],[Fertiliser type f]], 0)</f>
        <v>0</v>
      </c>
      <c r="F35" s="192" cm="1">
        <f t="array" ref="F35">Common_InputFunctions.Utility_DisplayArrayInTable(Fertiliser_SourceData.Fertiliser_ChemicalCompoundElements_Data(),Table_Fertiliser_ChemicalCompounds[[#Headers],[Fertiliser type f]], 0)</f>
        <v>0</v>
      </c>
      <c r="G35" s="192" t="str" cm="1">
        <f t="array" ref="G35">Common_InputFunctions.Utility_DisplayArrayInTable(Fertiliser_SourceData.Fertiliser_ChemicalCompoundElements_Data(),Table_Fertiliser_ChemicalCompounds[[#Headers],[Fertiliser type f]], 0)</f>
        <v>Other fertilisers</v>
      </c>
      <c r="H35" s="192" t="str" cm="1">
        <f t="array" ref="H35">Common_InputFunctions.Utility_DisplayArrayInTable(Fertiliser_SourceData.Fertiliser_ChemicalCompoundElements_Data(),Table_Fertiliser_ChemicalCompounds[[#Headers],[Fertiliser type f]], 0)</f>
        <v>Double superphosphate</v>
      </c>
      <c r="I35" s="192"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s="5" t="str">
        <f>HYPERLINK("#'4.3.1.8 Manure applied to soils'!A1", "4.3.1.8 Manure applied to soils")</f>
        <v>4.3.1.8 Manure applied to soils</v>
      </c>
      <c r="D36" s="192" t="str" cm="1">
        <f t="array" ref="D36">Common_InputFunctions.Utility_DisplayArrayInTable(Fertiliser_SourceData.Fertiliser_ChemicalCompoundElements_Data(),Table_Fertiliser_ChemicalCompounds[[#Headers],[Fertiliser type f]], 0)</f>
        <v>Single superphosphate (SSP)</v>
      </c>
      <c r="E36" s="192" cm="1">
        <f t="array" ref="E36">Common_InputFunctions.Utility_DisplayArrayInTable(Fertiliser_SourceData.Fertiliser_ChemicalCompoundElements_Data(),Table_Fertiliser_ChemicalCompounds[[#Headers],[Fertiliser type f]], 0)</f>
        <v>0</v>
      </c>
      <c r="F36" s="192" cm="1">
        <f t="array" ref="F36">Common_InputFunctions.Utility_DisplayArrayInTable(Fertiliser_SourceData.Fertiliser_ChemicalCompoundElements_Data(),Table_Fertiliser_ChemicalCompounds[[#Headers],[Fertiliser type f]], 0)</f>
        <v>0</v>
      </c>
      <c r="G36" s="192" t="str" cm="1">
        <f t="array" ref="G36">Common_InputFunctions.Utility_DisplayArrayInTable(Fertiliser_SourceData.Fertiliser_ChemicalCompoundElements_Data(),Table_Fertiliser_ChemicalCompounds[[#Headers],[Fertiliser type f]], 0)</f>
        <v>Other fertilisers</v>
      </c>
      <c r="H36" s="192" t="str" cm="1">
        <f t="array" ref="H36">Common_InputFunctions.Utility_DisplayArrayInTable(Fertiliser_SourceData.Fertiliser_ChemicalCompoundElements_Data(),Table_Fertiliser_ChemicalCompounds[[#Headers],[Fertiliser type f]], 0)</f>
        <v>Single superphosphate (SSP)</v>
      </c>
      <c r="I36" s="192"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5" t="str">
        <f>HYPERLINK("#'4.3.1.9 Soil direct N2O'!A1", "4.3.1.9 Soil direct N2O")</f>
        <v>4.3.1.9 Soil direct N2O</v>
      </c>
      <c r="D37" s="192" t="str" cm="1">
        <f t="array" ref="D37">Common_InputFunctions.Utility_DisplayArrayInTable(Fertiliser_SourceData.Fertiliser_ChemicalCompoundElements_Data(),Table_Fertiliser_ChemicalCompounds[[#Headers],[Fertiliser type f]], 0)</f>
        <v>Ammonia</v>
      </c>
      <c r="E37" s="192" cm="1">
        <f t="array" ref="E37">Common_InputFunctions.Utility_DisplayArrayInTable(Fertiliser_SourceData.Fertiliser_ChemicalCompoundElements_Data(),Table_Fertiliser_ChemicalCompounds[[#Headers],[Fertiliser type f]], 0)</f>
        <v>0.82350000000000001</v>
      </c>
      <c r="F37" s="192" cm="1">
        <f t="array" ref="F37">Common_InputFunctions.Utility_DisplayArrayInTable(Fertiliser_SourceData.Fertiliser_ChemicalCompoundElements_Data(),Table_Fertiliser_ChemicalCompounds[[#Headers],[Fertiliser type f]], 0)</f>
        <v>0</v>
      </c>
      <c r="G37" s="192" t="str" cm="1">
        <f t="array" ref="G37">Common_InputFunctions.Utility_DisplayArrayInTable(Fertiliser_SourceData.Fertiliser_ChemicalCompoundElements_Data(),Table_Fertiliser_ChemicalCompounds[[#Headers],[Fertiliser type f]], 0)</f>
        <v>Ammonium-based fertilisers</v>
      </c>
      <c r="H37" s="192" t="str" cm="1">
        <f t="array" ref="H37">Common_InputFunctions.Utility_DisplayArrayInTable(Fertiliser_SourceData.Fertiliser_ChemicalCompoundElements_Data(),Table_Fertiliser_ChemicalCompounds[[#Headers],[Fertiliser type f]], 0)</f>
        <v>Ammonia</v>
      </c>
      <c r="I37" s="192"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5" t="str">
        <f>HYPERLINK("#'4.3.1.10-11 Soil Atmos Dep'!A1", "4.3.1.10-11 Soil Atmos Deposition")</f>
        <v>4.3.1.10-11 Soil Atmos Deposition</v>
      </c>
      <c r="D38" s="19" t="str" cm="1">
        <f t="array" ref="D38">Common_InputFunctions.Utility_DisplayArrayInTable(Fertiliser_SourceData.Fertiliser_ChemicalCompoundElements_Data(),Table_Fertiliser_ChemicalCompounds[[#Headers],[Fertiliser type f]], 0)</f>
        <v>Calcium nitrate</v>
      </c>
      <c r="E38" s="19" cm="1">
        <f t="array" ref="E38">Common_InputFunctions.Utility_DisplayArrayInTable(Fertiliser_SourceData.Fertiliser_ChemicalCompoundElements_Data(),Table_Fertiliser_ChemicalCompounds[[#Headers],[Fertiliser type f]], 0)</f>
        <v>0.155</v>
      </c>
      <c r="F38" s="19" cm="1">
        <f t="array" ref="F38">Common_InputFunctions.Utility_DisplayArrayInTable(Fertiliser_SourceData.Fertiliser_ChemicalCompoundElements_Data(),Table_Fertiliser_ChemicalCompounds[[#Headers],[Fertiliser type f]], 0)</f>
        <v>0</v>
      </c>
      <c r="G38" s="19" t="str" cm="1">
        <f t="array" ref="G38">Common_InputFunctions.Utility_DisplayArrayInTable(Fertiliser_SourceData.Fertiliser_ChemicalCompoundElements_Data(),Table_Fertiliser_ChemicalCompounds[[#Headers],[Fertiliser type f]], 0)</f>
        <v>Nitrate-based fertilisers</v>
      </c>
      <c r="H38" s="19" t="str" cm="1">
        <f t="array" ref="H38">Common_InputFunctions.Utility_DisplayArrayInTable(Fertiliser_SourceData.Fertiliser_ChemicalCompoundElements_Data(),Table_Fertiliser_ChemicalCompounds[[#Headers],[Fertiliser type f]], 0)</f>
        <v>Calcium nitrate</v>
      </c>
      <c r="I38" s="19"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s="5" t="str">
        <f>HYPERLINK("#'4.3.1.12-13 Soil leach runoff'!A1", "4.3.1.12-13 Soil leach &amp; runoff")</f>
        <v>4.3.1.12-13 Soil leach &amp; runoff</v>
      </c>
    </row>
    <row r="40" spans="1:10" ht="20.100000000000001" customHeight="1" x14ac:dyDescent="0.25">
      <c r="A40" s="5" t="str">
        <f>HYPERLINK("#'5.1.1.1-2 Inorganic fert N2O'!A1", "5.1.1.1-2 Inorganic fert N2O")</f>
        <v>5.1.1.1-2 Inorganic fert N2O</v>
      </c>
      <c r="D40" s="2" t="s">
        <v>361</v>
      </c>
      <c r="F40" s="2" t="s">
        <v>835</v>
      </c>
      <c r="H40" s="2" t="s">
        <v>617</v>
      </c>
      <c r="J40" s="2" t="s">
        <v>836</v>
      </c>
    </row>
    <row r="41" spans="1:10" ht="20.100000000000001" customHeight="1" x14ac:dyDescent="0.25">
      <c r="A41" s="5" t="str">
        <f>HYPERLINK("#'5.1.1.3-4 Inorganic fert CO2'!A1", "5.1.1.3-4 Inorganic fert CO2")</f>
        <v>5.1.1.3-4 Inorganic fert CO2</v>
      </c>
      <c r="D41" s="19" t="s">
        <v>159</v>
      </c>
      <c r="F41" s="19" t="s">
        <v>159</v>
      </c>
      <c r="H41" s="19" t="s">
        <v>63</v>
      </c>
      <c r="J41" s="19" t="s">
        <v>837</v>
      </c>
    </row>
    <row r="42" spans="1:10" ht="20.100000000000001" customHeight="1" x14ac:dyDescent="0.25">
      <c r="A42" s="5" t="str">
        <f>HYPERLINK("#'5.2.1.1-2 Organic Fert N2O'!A1", "5.2.1.1-2 Organic fert N2O")</f>
        <v>5.2.1.1-2 Organic fert N2O</v>
      </c>
      <c r="D42" s="19" t="s">
        <v>162</v>
      </c>
      <c r="F42" s="19" t="s">
        <v>162</v>
      </c>
      <c r="H42" s="19" t="s">
        <v>622</v>
      </c>
      <c r="J42" s="19" t="s">
        <v>838</v>
      </c>
    </row>
    <row r="43" spans="1:10" ht="20.100000000000001" customHeight="1" x14ac:dyDescent="0.25">
      <c r="A43" s="5" t="str">
        <f>HYPERLINK("#'5.3.1.1-2 Lime CO2'!A1", "5.3.1.1-2 Lime CO2")</f>
        <v>5.3.1.1-2 Lime CO2</v>
      </c>
      <c r="D43" s="1" t="s">
        <v>839</v>
      </c>
      <c r="F43" s="1" t="s">
        <v>840</v>
      </c>
      <c r="H43" s="19" t="s">
        <v>623</v>
      </c>
      <c r="J43" s="1" t="s">
        <v>734</v>
      </c>
    </row>
    <row r="44" spans="1:10" ht="20.100000000000001" customHeight="1" x14ac:dyDescent="0.25">
      <c r="A44" s="5" t="str">
        <f>HYPERLINK("#'5.4.1.1-4 Atmos deposition'!A1", "5.4.1.1-4 Atmos. deposition")</f>
        <v>5.4.1.1-4 Atmos. deposition</v>
      </c>
      <c r="F44" s="1" t="s">
        <v>841</v>
      </c>
      <c r="H44" s="1" t="s">
        <v>380</v>
      </c>
      <c r="J44" s="1" t="s">
        <v>842</v>
      </c>
    </row>
    <row r="45" spans="1:10" ht="20.100000000000001" customHeight="1" x14ac:dyDescent="0.25">
      <c r="A45" s="5" t="str">
        <f>HYPERLINK("#'5.5.1.1-2 Leaching and runoff'!A1", "5.5.1.1-2 Leaching &amp; runoff")</f>
        <v>5.5.1.1-2 Leaching &amp; runoff</v>
      </c>
      <c r="F45" s="1" t="s">
        <v>774</v>
      </c>
      <c r="H45" s="1" t="s">
        <v>624</v>
      </c>
      <c r="J45" s="1" t="s">
        <v>733</v>
      </c>
    </row>
    <row r="46" spans="1:10" ht="20.100000000000001" customHeight="1" x14ac:dyDescent="0.25">
      <c r="A46" s="5" t="str">
        <f>HYPERLINK("#'6.2.1.1-2 Pasture residue N2O'!A1", "6.2.1.1-2 Pasture residue N2O")</f>
        <v>6.2.1.1-2 Pasture residue N2O</v>
      </c>
      <c r="H46" s="1" t="s">
        <v>625</v>
      </c>
      <c r="J46" s="1" t="s">
        <v>735</v>
      </c>
    </row>
    <row r="47" spans="1:10" ht="20.100000000000001" customHeight="1" x14ac:dyDescent="0.25">
      <c r="A47" s="5" t="str">
        <f>HYPERLINK("#'6.3.1.1-2 Leach runoff pasture'!A1", "6.3.1.1-2 Leach &amp; runoff (pasture)")</f>
        <v>6.3.1.1-2 Leach &amp; runoff (pasture)</v>
      </c>
    </row>
    <row r="48" spans="1:10" ht="20.100000000000001" customHeight="1" x14ac:dyDescent="0.25">
      <c r="A48" s="5" t="str">
        <f>HYPERLINK("#'8.1.1.1-2 Transport fuel'!A1", "8.1.1.1-2 Transport fuel")</f>
        <v>8.1.1.1-2 Transport fuel</v>
      </c>
      <c r="D48" s="2" t="str" cm="1">
        <f t="array" ref="D48">Fertiliser_SourceData.Fertiliser_FracGASF_Title()</f>
        <v>Fraction of inorganic fertiliser that volatilises as NH3 and NOx</v>
      </c>
      <c r="G48" s="184"/>
    </row>
    <row r="49" spans="1:8" ht="20.100000000000001" customHeight="1" x14ac:dyDescent="0.25">
      <c r="A49" s="5" t="str">
        <f>HYPERLINK("#'8.2.1.1-2 Stationary fuel'!A1", "8.2.1.1-2 Stationary fuel")</f>
        <v>8.2.1.1-2 Stationary fuel</v>
      </c>
      <c r="D49" s="17" t="str" cm="1">
        <f t="array" ref="D49">Fertiliser_SourceData.Fertiliser_FracGASF_Source()</f>
        <v>Table A.2.2.6: Fraction of inorganic fertiliser f that volatilises as NH3 and NOx ((kg NH3-N + NOx-N)/kg N) (FracGASFf)</v>
      </c>
      <c r="G49" s="184"/>
    </row>
    <row r="50" spans="1:8" ht="20.100000000000001" customHeight="1" x14ac:dyDescent="0.25">
      <c r="A50" s="5" t="str">
        <f>HYPERLINK("#'9.1.1.1-2 Refrigerant use'!A1", "9.1.1.1-2 Refrigerant use")</f>
        <v>9.1.1.1-2 Refrigerant use</v>
      </c>
      <c r="D50" s="19" t="s">
        <v>751</v>
      </c>
      <c r="E50" s="19" t="s">
        <v>843</v>
      </c>
      <c r="G50" s="184"/>
    </row>
    <row r="51" spans="1:8" ht="20.100000000000001" customHeight="1" x14ac:dyDescent="0.25">
      <c r="A51" s="5" t="str">
        <f>HYPERLINK("#'10.1.1-2 Solid waste treatment'!A1", "10.1.1.1-2 Solid waste")</f>
        <v>10.1.1.1-2 Solid waste</v>
      </c>
      <c r="D51" s="19" t="str" cm="1">
        <f t="array" ref="D51">Common_InputFunctions.Utility_DisplayArrayInTable(Fertiliser_SourceData.Fertiliser_FracGASF_Data(), Table_SourceData_Fertiliser_FracGASF[[#Headers],[Fertiliser type f]], 0)</f>
        <v>Urea-based fertilisers</v>
      </c>
      <c r="E51" s="19" cm="1">
        <f t="array" ref="E51">Common_InputFunctions.Utility_DisplayArrayInTable(Fertiliser_SourceData.Fertiliser_FracGASF_Data(), Table_SourceData_Fertiliser_FracGASF[[#Headers],[Fertiliser type f]], 0)</f>
        <v>0.15</v>
      </c>
      <c r="G51" s="184"/>
    </row>
    <row r="52" spans="1:8" ht="20.100000000000001" customHeight="1" x14ac:dyDescent="0.25">
      <c r="A52" s="5" t="str">
        <f>HYPERLINK("#'14.1.1-2 Purchased electricity'!A1", "14.1.1-2 Purchased electricity")</f>
        <v>14.1.1-2 Purchased electricity</v>
      </c>
      <c r="D52" s="1" t="str" cm="1">
        <f t="array" ref="D52">Common_InputFunctions.Utility_DisplayArrayInTable(Fertiliser_SourceData.Fertiliser_FracGASF_Data(), Table_SourceData_Fertiliser_FracGASF[[#Headers],[Fertiliser type f]], 0)</f>
        <v>Ammonium-based fertilisers</v>
      </c>
      <c r="E52" s="19" cm="1">
        <f t="array" ref="E52">Common_InputFunctions.Utility_DisplayArrayInTable(Fertiliser_SourceData.Fertiliser_FracGASF_Data(), Table_SourceData_Fertiliser_FracGASF[[#Headers],[Fertiliser type f]], 0)</f>
        <v>0.08</v>
      </c>
      <c r="G52" s="184"/>
    </row>
    <row r="53" spans="1:8" ht="20.100000000000001" customHeight="1" x14ac:dyDescent="0.25">
      <c r="A53" s="5" t="str">
        <f>HYPERLINK("#'15 Scope 3'!A1", "15 Scope 3")</f>
        <v>15 Scope 3</v>
      </c>
      <c r="D53" s="1" t="str" cm="1">
        <f t="array" ref="D53">Common_InputFunctions.Utility_DisplayArrayInTable(Fertiliser_SourceData.Fertiliser_FracGASF_Data(), Table_SourceData_Fertiliser_FracGASF[[#Headers],[Fertiliser type f]], 0)</f>
        <v>Nitrate-based fertilisers</v>
      </c>
      <c r="E53" s="19" cm="1">
        <f t="array" ref="E53">Common_InputFunctions.Utility_DisplayArrayInTable(Fertiliser_SourceData.Fertiliser_FracGASF_Data(), Table_SourceData_Fertiliser_FracGASF[[#Headers],[Fertiliser type f]], 0)</f>
        <v>0.01</v>
      </c>
      <c r="G53" s="184"/>
    </row>
    <row r="54" spans="1:8" ht="20.100000000000001" customHeight="1" x14ac:dyDescent="0.25">
      <c r="A54" s="5" t="str">
        <f>HYPERLINK("#'Calcs - Manure sent off-site'!A1", "Calcs - Manure sent off-site")</f>
        <v>Calcs - Manure sent off-site</v>
      </c>
      <c r="D54" s="1" t="str" cm="1">
        <f t="array" ref="D54">Common_InputFunctions.Utility_DisplayArrayInTable(Fertiliser_SourceData.Fertiliser_FracGASF_Data(), Table_SourceData_Fertiliser_FracGASF[[#Headers],[Fertiliser type f]], 0)</f>
        <v>Ammonium-nitrate based fertilisers</v>
      </c>
      <c r="E54" s="19" cm="1">
        <f t="array" ref="E54">Common_InputFunctions.Utility_DisplayArrayInTable(Fertiliser_SourceData.Fertiliser_FracGASF_Data(), Table_SourceData_Fertiliser_FracGASF[[#Headers],[Fertiliser type f]], 0)</f>
        <v>0.05</v>
      </c>
      <c r="G54" s="184"/>
      <c r="H54" s="184"/>
    </row>
    <row r="55" spans="1:8" ht="20.100000000000001" customHeight="1" x14ac:dyDescent="0.25">
      <c r="D55" s="1" t="str" cm="1">
        <f t="array" ref="D55">Common_InputFunctions.Utility_DisplayArrayInTable(Fertiliser_SourceData.Fertiliser_FracGASF_Data(), Table_SourceData_Fertiliser_FracGASF[[#Headers],[Fertiliser type f]], 0)</f>
        <v>Other fertilisers</v>
      </c>
      <c r="E55" s="19" cm="1">
        <f t="array" ref="E55">Common_InputFunctions.Utility_DisplayArrayInTable(Fertiliser_SourceData.Fertiliser_FracGASF_Data(), Table_SourceData_Fertiliser_FracGASF[[#Headers],[Fertiliser type f]], 0)</f>
        <v>0.11</v>
      </c>
      <c r="G55" s="184"/>
      <c r="H55" s="184"/>
    </row>
    <row r="56" spans="1:8" ht="20.100000000000001" customHeight="1" x14ac:dyDescent="0.25"/>
    <row r="57" spans="1:8" ht="20.100000000000001" customHeight="1" x14ac:dyDescent="0.25">
      <c r="A57" s="82" t="s">
        <v>1</v>
      </c>
    </row>
    <row r="58" spans="1:8" ht="20.100000000000001" customHeight="1" x14ac:dyDescent="0.25">
      <c r="A58" s="5" t="str">
        <f>HYPERLINK("#'Constants - Dairy'!A1", "Constants - Dairy")</f>
        <v>Constants - Dairy</v>
      </c>
      <c r="D58" s="2" t="str" cm="1">
        <f t="array" ref="D58">Fertiliser_SourceData.Fertiliser_EFUreaCO2_Title()</f>
        <v>Emission factor for carbon emissions from urea application</v>
      </c>
    </row>
    <row r="59" spans="1:8" ht="20.100000000000001" customHeight="1" x14ac:dyDescent="0.25">
      <c r="A59" s="5" t="str">
        <f>HYPERLINK("#'Constants - Ag Residue'!A1", "Constants - Ag residue")</f>
        <v>Constants - Ag residue</v>
      </c>
      <c r="D59" s="17" t="str" cm="1">
        <f t="array" ref="D59">Fertiliser_SourceData.Fertiliser_EFUreaCO2_Source()</f>
        <v>VEERG 2026: 5.1.2.2 Constant Parameters</v>
      </c>
    </row>
    <row r="60" spans="1:8" ht="20.100000000000001" customHeight="1" x14ac:dyDescent="0.25">
      <c r="A60" s="5" t="str">
        <f>HYPERLINK("#'Constants - Common Livestock'!A1", "Constants - Common Livestock")</f>
        <v>Constants - Common Livestock</v>
      </c>
      <c r="D60" s="76" t="str" cm="1">
        <f t="array" ref="D60">Fertiliser_SourceData.Fertiliser_EFUreaCO2_Variable()</f>
        <v>EFureaCO2</v>
      </c>
      <c r="E60" s="1" cm="1">
        <f t="array" ref="E60">Fertiliser_SourceData.Fertiliser_EFUreaCO2_Data()</f>
        <v>0.2</v>
      </c>
      <c r="F60" s="9" t="str" cm="1">
        <f t="array" ref="F60">Fertiliser_SourceData.Fertiliser_EFUreaCO2_Unit()</f>
        <v>kg C/kg urea</v>
      </c>
    </row>
    <row r="61" spans="1:8" ht="20.100000000000001" customHeight="1" x14ac:dyDescent="0.25">
      <c r="A61" s="5" t="str">
        <f>HYPERLINK("#'Constants - Electricity'!A1", "Constants - Electricity")</f>
        <v>Constants - Electricity</v>
      </c>
    </row>
    <row r="62" spans="1:8" ht="20.100000000000001" customHeight="1" x14ac:dyDescent="0.25">
      <c r="A62" s="83" t="str">
        <f>HYPERLINK("#'Constants - Fertiliser'!A1", "Constants - Fertiliser")</f>
        <v>Constants - Fertiliser</v>
      </c>
    </row>
    <row r="63" spans="1:8" ht="20.100000000000001" customHeight="1" x14ac:dyDescent="0.25">
      <c r="A63" s="5" t="str">
        <f>HYPERLINK("#'Constants - Fuel'!A1", "Constants - Fuel")</f>
        <v>Constants - Fuel</v>
      </c>
      <c r="D63" s="2" t="str" cm="1">
        <f t="array" ref="D63">Fertiliser_SourceData.Fertiliser_LimeDolomiteGypsumConstants_Title()</f>
        <v>Constants for lime, dolomite and gypsum</v>
      </c>
    </row>
    <row r="64" spans="1:8" ht="20.100000000000001" customHeight="1" x14ac:dyDescent="0.25">
      <c r="A64" s="5" t="str">
        <f>HYPERLINK("#'Constants - Scope 3'!A1", "Constants - Scope 3")</f>
        <v>Constants - Scope 3</v>
      </c>
      <c r="D64" s="17" t="str" cm="1">
        <f t="array" ref="D64">Fertiliser_SourceData.Fertiliser_LimeDolomiteGypsumConstants_Source()</f>
        <v>VEERG 2026: 5.3.2.3 Constant Parameters</v>
      </c>
    </row>
    <row r="65" spans="1:6" ht="20.100000000000001" customHeight="1" x14ac:dyDescent="0.25">
      <c r="A65" s="5" t="str">
        <f>HYPERLINK("#'Constants - Common'!A1", "Constants - Common")</f>
        <v>Constants - Common</v>
      </c>
      <c r="D65" s="19" t="s">
        <v>795</v>
      </c>
      <c r="E65" s="19" t="s">
        <v>844</v>
      </c>
      <c r="F65" s="19" t="s">
        <v>771</v>
      </c>
    </row>
    <row r="66" spans="1:6" ht="20.100000000000001" customHeight="1" x14ac:dyDescent="0.25">
      <c r="A66" s="5" t="str">
        <f>HYPERLINK("#'Constants - Refrigerants'!A1", "Constants - Refrigerants")</f>
        <v>Constants - Refrigerants</v>
      </c>
      <c r="D66" s="19" t="str" cm="1">
        <f t="array" ref="D66">Common_InputFunctions.Utility_DisplayArrayInTable(Fertiliser_SourceData.Fertiliser_LimeDolomiteGypsumConstants_Data(), Table_SourceData_Fertiliser_LimeDolomiteConstants[[#Headers],[Element]], 0)</f>
        <v>Lime (Calcium carbonate)</v>
      </c>
      <c r="E66" s="19" cm="1">
        <f t="array" ref="E66">Common_InputFunctions.Utility_DisplayArrayInTable(Fertiliser_SourceData.Fertiliser_LimeDolomiteGypsumConstants_Data(), Table_SourceData_Fertiliser_LimeDolomiteConstants[[#Headers],[Element]], 0)</f>
        <v>0.9</v>
      </c>
      <c r="F66" s="19" cm="1">
        <f t="array" ref="F66">Common_InputFunctions.Utility_DisplayArrayInTable(Fertiliser_SourceData.Fertiliser_LimeDolomiteGypsumConstants_Data(), Table_SourceData_Fertiliser_LimeDolomiteConstants[[#Headers],[Element]], 0)</f>
        <v>0.12</v>
      </c>
    </row>
    <row r="67" spans="1:6" ht="20.100000000000001" customHeight="1" x14ac:dyDescent="0.25">
      <c r="A67" s="5" t="str">
        <f>HYPERLINK("#'Constants - Solid Waste'!A1", "Constants - Solid Waste")</f>
        <v>Constants - Solid Waste</v>
      </c>
      <c r="D67" s="1" t="str" cm="1">
        <f t="array" ref="D67">Common_InputFunctions.Utility_DisplayArrayInTable(Fertiliser_SourceData.Fertiliser_LimeDolomiteGypsumConstants_Data(), Table_SourceData_Fertiliser_LimeDolomiteConstants[[#Headers],[Element]], 0)</f>
        <v>Dolomite (Magnesium carbonate)</v>
      </c>
      <c r="E67" s="19" cm="1">
        <f t="array" ref="E67">Common_InputFunctions.Utility_DisplayArrayInTable(Fertiliser_SourceData.Fertiliser_LimeDolomiteGypsumConstants_Data(), Table_SourceData_Fertiliser_LimeDolomiteConstants[[#Headers],[Element]], 0)</f>
        <v>0.95</v>
      </c>
      <c r="F67" s="19" cm="1">
        <f t="array" ref="F67">Common_InputFunctions.Utility_DisplayArrayInTable(Fertiliser_SourceData.Fertiliser_LimeDolomiteGypsumConstants_Data(), Table_SourceData_Fertiliser_LimeDolomiteConstants[[#Headers],[Element]], 0)</f>
        <v>0.13</v>
      </c>
    </row>
    <row r="68" spans="1:6" ht="20.100000000000001" customHeight="1" x14ac:dyDescent="0.25">
      <c r="A68" s="5" t="str">
        <f>HYPERLINK("#'Acknowledgements'!A1", "Acknowledgements")</f>
        <v>Acknowledgements</v>
      </c>
      <c r="D68" s="1" t="str" cm="1">
        <f t="array" ref="D68">Common_InputFunctions.Utility_DisplayArrayInTable(Fertiliser_SourceData.Fertiliser_LimeDolomiteGypsumConstants_Data(), Table_SourceData_Fertiliser_LimeDolomiteConstants[[#Headers],[Element]], 0)</f>
        <v>Gypsum</v>
      </c>
      <c r="E68" s="19" cm="1">
        <f t="array" ref="E68">Common_InputFunctions.Utility_DisplayArrayInTable(Fertiliser_SourceData.Fertiliser_LimeDolomiteGypsumConstants_Data(), Table_SourceData_Fertiliser_LimeDolomiteConstants[[#Headers],[Element]], 0)</f>
        <v>0</v>
      </c>
      <c r="F68" s="19" cm="1">
        <f t="array" ref="F68">Common_InputFunctions.Utility_DisplayArrayInTable(Fertiliser_SourceData.Fertiliser_LimeDolomiteGypsumConstants_Data(), Table_SourceData_Fertiliser_LimeDolomiteConstants[[#Headers],[Element]], 0)</f>
        <v>0</v>
      </c>
    </row>
    <row r="69" spans="1:6" ht="20.100000000000001" customHeight="1" x14ac:dyDescent="0.25"/>
    <row r="70" spans="1:6" ht="20.100000000000001" customHeight="1" x14ac:dyDescent="0.25"/>
    <row r="71" spans="1:6" ht="20.100000000000001" customHeight="1" x14ac:dyDescent="0.25">
      <c r="D71" s="2" t="str" cm="1">
        <f t="array" ref="D71">Fertiliser_SourceData.Fertiliser_FracGASMSoil_Title()</f>
        <v>Fraction of organic fertiliser that volatilises as NH3 and NOx</v>
      </c>
    </row>
    <row r="72" spans="1:6" ht="20.100000000000001" customHeight="1" x14ac:dyDescent="0.25">
      <c r="D72" s="17" t="str" cm="1">
        <f t="array" ref="D72">Fertiliser_SourceData.Fertiliser_FracGASMSoil_Source()</f>
        <v>VEERG 2026: 5.4.2.3 Constant Parameters</v>
      </c>
    </row>
    <row r="73" spans="1:6" ht="20.100000000000001" customHeight="1" x14ac:dyDescent="0.25">
      <c r="D73" s="76" t="str" cm="1">
        <f t="array" ref="D73">Fertiliser_SourceData.Fertiliser_FracGASMSoil_Variable()</f>
        <v>FracGASMsoil</v>
      </c>
      <c r="E73" s="1" cm="1">
        <f t="array" ref="E73">Fertiliser_SourceData.Fertiliser_FracGASMSoil_Data()</f>
        <v>0.21</v>
      </c>
      <c r="F73" s="9" t="str" cm="1">
        <f t="array" ref="F73">Fertiliser_SourceData.Fertiliser_FracGASMSoil_Unit()</f>
        <v>(kg NH3-N + NOx-N)/kg N</v>
      </c>
    </row>
    <row r="74" spans="1:6" ht="20.100000000000001" customHeight="1" x14ac:dyDescent="0.25"/>
    <row r="75" spans="1:6" ht="20.100000000000001" customHeight="1" x14ac:dyDescent="0.25"/>
    <row r="76" spans="1:6" ht="20.100000000000001" customHeight="1" x14ac:dyDescent="0.25">
      <c r="D76" s="2" t="str" cm="1">
        <f t="array" ref="D76">Fertiliser_SourceData.Fertiliser_FracLEACH_Title()</f>
        <v>Fraction of nitrogen that is lost through leaching and runoff</v>
      </c>
    </row>
    <row r="77" spans="1:6" ht="20.100000000000001" customHeight="1" x14ac:dyDescent="0.25">
      <c r="D77" s="17" t="str" cm="1">
        <f t="array" ref="D77">Fertiliser_SourceData.Fertiliser_FracLEACH_Source()</f>
        <v>VEERG 2026: 5.5.2.3 Constant Parameters</v>
      </c>
    </row>
    <row r="78" spans="1:6" ht="20.100000000000001" customHeight="1" x14ac:dyDescent="0.25">
      <c r="D78" s="76" t="str" cm="1">
        <f t="array" ref="D78">Fertiliser_SourceData.Fertiliser_FracLEACH_Variable()</f>
        <v>FracLEACH</v>
      </c>
      <c r="E78" s="1" cm="1">
        <f t="array" ref="E78">Fertiliser_SourceData.Fertiliser_FracLEACH_Data()</f>
        <v>0.24</v>
      </c>
      <c r="F78" s="9" t="str" cm="1">
        <f t="array" ref="F78">Fertiliser_SourceData.Fertiliser_FracLEACH_Unit()</f>
        <v>fraction</v>
      </c>
    </row>
    <row r="79" spans="1:6" ht="20.100000000000001" customHeight="1" x14ac:dyDescent="0.25"/>
    <row r="80" spans="1:6" ht="20.100000000000001" customHeight="1" x14ac:dyDescent="0.25"/>
    <row r="81" spans="4:39" ht="20.100000000000001" customHeight="1" x14ac:dyDescent="0.25">
      <c r="D81" s="2" t="str" cm="1">
        <f t="array" ref="D81">Fertiliser_SourceData.Fertiliser_EFLeach_Title()</f>
        <v>Emission factor for nitrogen leaching and runoff</v>
      </c>
    </row>
    <row r="82" spans="4:39" ht="20.100000000000001" customHeight="1" x14ac:dyDescent="0.25">
      <c r="D82" s="17" t="str" cm="1">
        <f t="array" ref="D82">Fertiliser_SourceData.Fertiliser_EFLeach_Source()</f>
        <v>VEERG 2026: 5.5.2.3 Constant Parameters</v>
      </c>
    </row>
    <row r="83" spans="4:39" ht="20.100000000000001" customHeight="1" x14ac:dyDescent="0.25">
      <c r="D83" s="76" t="str" cm="1">
        <f t="array" ref="D83">Fertiliser_SourceData.Fertiliser_EFLeach_Variable()</f>
        <v>EFLeach</v>
      </c>
      <c r="E83" s="1" cm="1">
        <f t="array" ref="E83">Fertiliser_SourceData.Fertiliser_EFLeach_Data()</f>
        <v>1.0999999999999999E-2</v>
      </c>
      <c r="F83" s="9" t="str" cm="1">
        <f t="array" ref="F83">Fertiliser_SourceData.Fertiliser_EFLeach_Unit()</f>
        <v>kg N2O-N / kg N</v>
      </c>
    </row>
    <row r="84" spans="4:39" ht="20.100000000000001" customHeight="1" x14ac:dyDescent="0.25"/>
    <row r="85" spans="4:39" ht="20.100000000000001" customHeight="1" x14ac:dyDescent="0.25"/>
    <row r="86" spans="4:39" ht="20.100000000000001" customHeight="1" x14ac:dyDescent="0.25"/>
    <row r="87" spans="4:39" ht="20.100000000000001" customHeight="1" x14ac:dyDescent="0.25">
      <c r="D87" s="2" t="s">
        <v>845</v>
      </c>
      <c r="E87" s="184"/>
      <c r="F87" s="184"/>
      <c r="G87" s="184"/>
      <c r="H87" s="184"/>
      <c r="I87" s="184"/>
      <c r="J87" s="184"/>
      <c r="K87" s="184"/>
      <c r="L87" s="184"/>
      <c r="N87" s="184"/>
      <c r="O87" s="184"/>
      <c r="P87" s="184"/>
      <c r="Q87" s="184"/>
      <c r="R87" s="184"/>
      <c r="S87" s="184"/>
      <c r="T87" s="184"/>
      <c r="U87" s="184"/>
    </row>
    <row r="88" spans="4:39" ht="20.100000000000001" customHeight="1" x14ac:dyDescent="0.25">
      <c r="D88" s="184"/>
    </row>
    <row r="89" spans="4:39" ht="20.100000000000001" customHeight="1" x14ac:dyDescent="0.25">
      <c r="D89" s="193" t="s">
        <v>846</v>
      </c>
      <c r="E89" s="19" t="s">
        <v>131</v>
      </c>
      <c r="F89" s="19" t="s">
        <v>118</v>
      </c>
      <c r="G89" s="148" t="s">
        <v>678</v>
      </c>
      <c r="H89" s="148" t="s">
        <v>847</v>
      </c>
      <c r="I89" s="148" t="s">
        <v>695</v>
      </c>
      <c r="J89" s="148" t="s">
        <v>696</v>
      </c>
      <c r="K89" s="148" t="s">
        <v>848</v>
      </c>
      <c r="L89" s="148" t="s">
        <v>849</v>
      </c>
      <c r="M89" s="148" t="s">
        <v>850</v>
      </c>
      <c r="N89" s="148" t="s">
        <v>851</v>
      </c>
      <c r="O89" s="148" t="s">
        <v>680</v>
      </c>
      <c r="P89" s="148" t="s">
        <v>681</v>
      </c>
      <c r="Q89" s="19" t="s">
        <v>682</v>
      </c>
      <c r="R89" s="19" t="s">
        <v>683</v>
      </c>
      <c r="S89" s="19" t="s">
        <v>684</v>
      </c>
      <c r="T89" s="19" t="s">
        <v>685</v>
      </c>
      <c r="U89" s="148" t="s">
        <v>686</v>
      </c>
      <c r="V89" s="148" t="s">
        <v>687</v>
      </c>
      <c r="W89" s="19" t="s">
        <v>688</v>
      </c>
      <c r="X89" s="148" t="s">
        <v>689</v>
      </c>
      <c r="Y89" s="148" t="s">
        <v>690</v>
      </c>
      <c r="Z89" s="148" t="s">
        <v>691</v>
      </c>
      <c r="AA89" s="148" t="s">
        <v>852</v>
      </c>
      <c r="AB89" s="148" t="s">
        <v>853</v>
      </c>
      <c r="AC89" s="19" t="s">
        <v>854</v>
      </c>
      <c r="AD89" s="19" t="s">
        <v>855</v>
      </c>
      <c r="AE89" s="19" t="s">
        <v>856</v>
      </c>
      <c r="AF89" s="19" t="s">
        <v>857</v>
      </c>
      <c r="AG89" s="19" t="s">
        <v>858</v>
      </c>
      <c r="AH89" s="19" t="s">
        <v>859</v>
      </c>
      <c r="AK89" s="1"/>
      <c r="AL89" s="1"/>
      <c r="AM89" s="1"/>
    </row>
    <row r="90" spans="4:39" ht="20.100000000000001" customHeight="1" x14ac:dyDescent="0.25">
      <c r="D90" s="192" t="str" cm="1">
        <f t="array" ref="D90">Common_InputFunctions.Utility_DisplayArrayInTable(Fertiliser_SourceData.Fertiliser_Products_Data1(), FertiliserProducts[[#Headers],[Company]],1)</f>
        <v>Campbells fertilisers Australia</v>
      </c>
      <c r="E90" s="192" t="str" cm="1">
        <f t="array" ref="E90">Common_InputFunctions.Utility_DisplayArrayInTable(Fertiliser_SourceData.Fertiliser_Products_Data1(), FertiliserProducts[[#Headers],[Company]],1)</f>
        <v>Aqua Finish</v>
      </c>
      <c r="F90" s="192" t="str" cm="1">
        <f t="array" ref="F90">Common_InputFunctions.Utility_DisplayArrayInTable(Fertiliser_SourceData.Fertiliser_Products_Data1(), FertiliserProducts[[#Headers],[Company]],1)</f>
        <v>L</v>
      </c>
      <c r="G90" s="192" cm="1">
        <f t="array" ref="G90">Common_InputFunctions.Utility_DisplayArrayInTable(Fertiliser_SourceData.Fertiliser_Products_Data1(), FertiliserProducts[[#Headers],[Company]],1)</f>
        <v>1.26</v>
      </c>
      <c r="H90" s="192" t="str" cm="1">
        <f t="array" ref="H90">Common_InputFunctions.Utility_DisplayArrayInTable(Fertiliser_SourceData.Fertiliser_Products_Data1(), FertiliserProducts[[#Headers],[Company]],1)</f>
        <v/>
      </c>
      <c r="I90" s="192" t="str" cm="1">
        <f t="array" ref="I90">Common_InputFunctions.Utility_DisplayArrayInTable(Fertiliser_SourceData.Fertiliser_Products_Data1(), FertiliserProducts[[#Headers],[Company]],1)</f>
        <v/>
      </c>
      <c r="J90" s="192" t="str" cm="1">
        <f t="array" ref="J90">Common_InputFunctions.Utility_DisplayArrayInTable(Fertiliser_SourceData.Fertiliser_Products_Data1(), FertiliserProducts[[#Headers],[Company]],1)</f>
        <v/>
      </c>
      <c r="K90" s="192" cm="1">
        <f t="array" ref="K90">Common_InputFunctions.Utility_DisplayArrayInTable(Fertiliser_SourceData.Fertiliser_Products_Data1(), FertiliserProducts[[#Headers],[Company]],1)</f>
        <v>2.6</v>
      </c>
      <c r="L90" s="192" cm="1">
        <f t="array" ref="L90">Common_InputFunctions.Utility_DisplayArrayInTable(Fertiliser_SourceData.Fertiliser_Products_Data1(), FertiliserProducts[[#Headers],[Company]],1)</f>
        <v>4</v>
      </c>
      <c r="M90" s="192" cm="1">
        <f t="array" ref="M90">Common_InputFunctions.Utility_DisplayArrayInTable(Fertiliser_SourceData.Fertiliser_Products_Data1(), FertiliserProducts[[#Headers],[Company]],1)</f>
        <v>22.5</v>
      </c>
      <c r="N90" s="192" t="str" cm="1">
        <f t="array" ref="N90">Common_InputFunctions.Utility_DisplayArrayInTable(Fertiliser_SourceData.Fertiliser_Products_Data1(), FertiliserProducts[[#Headers],[Company]],1)</f>
        <v/>
      </c>
      <c r="O90" s="192" t="str" cm="1">
        <f t="array" ref="O90">Common_InputFunctions.Utility_DisplayArrayInTable(Fertiliser_SourceData.Fertiliser_Products_Data1(), FertiliserProducts[[#Headers],[Company]],1)</f>
        <v>Potassium - Generic</v>
      </c>
      <c r="P90" s="192" cm="1">
        <f t="array" ref="P90">Common_InputFunctions.Utility_DisplayArrayInTable(Fertiliser_SourceData.Fertiliser_Products_Data1(), FertiliserProducts[[#Headers],[Company]],1)</f>
        <v>0.22500000000000001</v>
      </c>
      <c r="Q90" s="192" t="str" cm="1">
        <f t="array" ref="Q90">Common_InputFunctions.Utility_DisplayArrayInTable(Fertiliser_SourceData.Fertiliser_Products_Data1(), FertiliserProducts[[#Headers],[Company]],1)</f>
        <v>Phosphorus - Generic</v>
      </c>
      <c r="R90" s="192" cm="1">
        <f t="array" ref="R90">Common_InputFunctions.Utility_DisplayArrayInTable(Fertiliser_SourceData.Fertiliser_Products_Data1(), FertiliserProducts[[#Headers],[Company]],1)</f>
        <v>0.04</v>
      </c>
      <c r="S90" s="192" t="str" cm="1">
        <f t="array" ref="S90">Common_InputFunctions.Utility_DisplayArrayInTable(Fertiliser_SourceData.Fertiliser_Products_Data1(), FertiliserProducts[[#Headers],[Company]],1)</f>
        <v>Nitrogen - Generic</v>
      </c>
      <c r="T90" s="192" cm="1">
        <f t="array" ref="T90">Common_InputFunctions.Utility_DisplayArrayInTable(Fertiliser_SourceData.Fertiliser_Products_Data1(), FertiliserProducts[[#Headers],[Company]],1)</f>
        <v>2.5999999999999999E-2</v>
      </c>
      <c r="U90" s="192" t="str" cm="1">
        <f t="array" ref="U90">Common_InputFunctions.Utility_DisplayArrayInTable(Fertiliser_SourceData.Fertiliser_Products_Data1(), FertiliserProducts[[#Headers],[Company]],1)</f>
        <v/>
      </c>
      <c r="V90" s="192" t="str" cm="1">
        <f t="array" ref="V90">Common_InputFunctions.Utility_DisplayArrayInTable(Fertiliser_SourceData.Fertiliser_Products_Data1(), FertiliserProducts[[#Headers],[Company]],1)</f>
        <v/>
      </c>
      <c r="W90" s="192" t="str" cm="1">
        <f t="array" ref="W90">Common_InputFunctions.Utility_DisplayArrayInTable(Fertiliser_SourceData.Fertiliser_Products_Data1(), FertiliserProducts[[#Headers],[Company]],1)</f>
        <v/>
      </c>
      <c r="X90" s="192" t="str" cm="1">
        <f t="array" ref="X90">Common_InputFunctions.Utility_DisplayArrayInTable(Fertiliser_SourceData.Fertiliser_Products_Data1(), FertiliserProducts[[#Headers],[Company]],1)</f>
        <v/>
      </c>
      <c r="Y90" s="192" t="str" cm="1">
        <f t="array" ref="Y90">Common_InputFunctions.Utility_DisplayArrayInTable(Fertiliser_SourceData.Fertiliser_Products_Data1(), FertiliserProducts[[#Headers],[Company]],1)</f>
        <v/>
      </c>
      <c r="Z90" s="192" t="str" cm="1">
        <f t="array" ref="Z90">Common_InputFunctions.Utility_DisplayArrayInTable(Fertiliser_SourceData.Fertiliser_Products_Data1(), FertiliserProducts[[#Headers],[Company]],1)</f>
        <v/>
      </c>
      <c r="AA90" s="192" t="str" cm="1">
        <f t="array" ref="AA90">Common_InputFunctions.Utility_DisplayArrayInTable(Fertiliser_SourceData.Fertiliser_Products_Data1(), FertiliserProducts[[#Headers],[Company]],1)</f>
        <v/>
      </c>
      <c r="AB90" s="192" t="str" cm="1">
        <f t="array" ref="AB90">Common_InputFunctions.Utility_DisplayArrayInTable(Fertiliser_SourceData.Fertiliser_Products_Data1(), FertiliserProducts[[#Headers],[Company]],1)</f>
        <v/>
      </c>
      <c r="AC90" s="192" t="str" cm="1">
        <f t="array" ref="AC90">Common_InputFunctions.Utility_DisplayArrayInTable(Fertiliser_SourceData.Fertiliser_Products_Data1(), FertiliserProducts[[#Headers],[Company]],1)</f>
        <v/>
      </c>
      <c r="AD90" s="192" t="str" cm="1">
        <f t="array" ref="AD90">Common_InputFunctions.Utility_DisplayArrayInTable(Fertiliser_SourceData.Fertiliser_Products_Data1(), FertiliserProducts[[#Headers],[Company]],1)</f>
        <v/>
      </c>
      <c r="AE90" s="192" t="str" cm="1">
        <f t="array" ref="AE90">Common_InputFunctions.Utility_DisplayArrayInTable(Fertiliser_SourceData.Fertiliser_Products_Data1(), FertiliserProducts[[#Headers],[Company]],1)</f>
        <v/>
      </c>
      <c r="AF90" s="192" t="str" cm="1">
        <f t="array" ref="AF90">Common_InputFunctions.Utility_DisplayArrayInTable(Fertiliser_SourceData.Fertiliser_Products_Data1(), FertiliserProducts[[#Headers],[Company]],1)</f>
        <v/>
      </c>
      <c r="AG90" s="192" t="str" cm="1">
        <f t="array" ref="AG90">Common_InputFunctions.Utility_DisplayArrayInTable(Fertiliser_SourceData.Fertiliser_Products_Data1(), FertiliserProducts[[#Headers],[Company]],1)</f>
        <v/>
      </c>
      <c r="AH90" s="192" t="str" cm="1">
        <f t="array" ref="AH90">Common_InputFunctions.Utility_DisplayArrayInTable(Fertiliser_SourceData.Fertiliser_Products_Data1(), FertiliserProducts[[#Headers],[Company]],1)</f>
        <v/>
      </c>
      <c r="AK90" s="1"/>
      <c r="AL90" s="1"/>
      <c r="AM90" s="1"/>
    </row>
    <row r="91" spans="4:39" ht="20.100000000000001" customHeight="1" x14ac:dyDescent="0.25">
      <c r="D91" s="192" t="str" cm="1">
        <f t="array" ref="D91">Common_InputFunctions.Utility_DisplayArrayInTable(Fertiliser_SourceData.Fertiliser_Products_Data1(), FertiliserProducts[[#Headers],[Company]],1)</f>
        <v>Campbells fertilisers Australia</v>
      </c>
      <c r="E91" s="192" t="str" cm="1">
        <f t="array" ref="E91">Common_InputFunctions.Utility_DisplayArrayInTable(Fertiliser_SourceData.Fertiliser_Products_Data1(), FertiliserProducts[[#Headers],[Company]],1)</f>
        <v>Aqua Grow</v>
      </c>
      <c r="F91" s="192" t="str" cm="1">
        <f t="array" ref="F91">Common_InputFunctions.Utility_DisplayArrayInTable(Fertiliser_SourceData.Fertiliser_Products_Data1(), FertiliserProducts[[#Headers],[Company]],1)</f>
        <v>L</v>
      </c>
      <c r="G91" s="192" cm="1">
        <f t="array" ref="G91">Common_InputFunctions.Utility_DisplayArrayInTable(Fertiliser_SourceData.Fertiliser_Products_Data1(), FertiliserProducts[[#Headers],[Company]],1)</f>
        <v>1.26</v>
      </c>
      <c r="H91" s="192" t="str" cm="1">
        <f t="array" ref="H91">Common_InputFunctions.Utility_DisplayArrayInTable(Fertiliser_SourceData.Fertiliser_Products_Data1(), FertiliserProducts[[#Headers],[Company]],1)</f>
        <v/>
      </c>
      <c r="I91" s="192" t="str" cm="1">
        <f t="array" ref="I91">Common_InputFunctions.Utility_DisplayArrayInTable(Fertiliser_SourceData.Fertiliser_Products_Data1(), FertiliserProducts[[#Headers],[Company]],1)</f>
        <v/>
      </c>
      <c r="J91" s="192" t="str" cm="1">
        <f t="array" ref="J91">Common_InputFunctions.Utility_DisplayArrayInTable(Fertiliser_SourceData.Fertiliser_Products_Data1(), FertiliserProducts[[#Headers],[Company]],1)</f>
        <v/>
      </c>
      <c r="K91" s="192" cm="1">
        <f t="array" ref="K91">Common_InputFunctions.Utility_DisplayArrayInTable(Fertiliser_SourceData.Fertiliser_Products_Data1(), FertiliserProducts[[#Headers],[Company]],1)</f>
        <v>9.6</v>
      </c>
      <c r="L91" s="192" cm="1">
        <f t="array" ref="L91">Common_InputFunctions.Utility_DisplayArrayInTable(Fertiliser_SourceData.Fertiliser_Products_Data1(), FertiliserProducts[[#Headers],[Company]],1)</f>
        <v>5</v>
      </c>
      <c r="M91" s="192" cm="1">
        <f t="array" ref="M91">Common_InputFunctions.Utility_DisplayArrayInTable(Fertiliser_SourceData.Fertiliser_Products_Data1(), FertiliserProducts[[#Headers],[Company]],1)</f>
        <v>10.5</v>
      </c>
      <c r="N91" s="192" t="str" cm="1">
        <f t="array" ref="N91">Common_InputFunctions.Utility_DisplayArrayInTable(Fertiliser_SourceData.Fertiliser_Products_Data1(), FertiliserProducts[[#Headers],[Company]],1)</f>
        <v/>
      </c>
      <c r="O91" s="192" t="str" cm="1">
        <f t="array" ref="O91">Common_InputFunctions.Utility_DisplayArrayInTable(Fertiliser_SourceData.Fertiliser_Products_Data1(), FertiliserProducts[[#Headers],[Company]],1)</f>
        <v>Potassium - Generic</v>
      </c>
      <c r="P91" s="192" cm="1">
        <f t="array" ref="P91">Common_InputFunctions.Utility_DisplayArrayInTable(Fertiliser_SourceData.Fertiliser_Products_Data1(), FertiliserProducts[[#Headers],[Company]],1)</f>
        <v>0.105</v>
      </c>
      <c r="Q91" s="192" t="str" cm="1">
        <f t="array" ref="Q91">Common_InputFunctions.Utility_DisplayArrayInTable(Fertiliser_SourceData.Fertiliser_Products_Data1(), FertiliserProducts[[#Headers],[Company]],1)</f>
        <v>Nitrogen - Generic</v>
      </c>
      <c r="R91" s="192" cm="1">
        <f t="array" ref="R91">Common_InputFunctions.Utility_DisplayArrayInTable(Fertiliser_SourceData.Fertiliser_Products_Data1(), FertiliserProducts[[#Headers],[Company]],1)</f>
        <v>9.6000000000000002E-2</v>
      </c>
      <c r="S91" s="192" t="str" cm="1">
        <f t="array" ref="S91">Common_InputFunctions.Utility_DisplayArrayInTable(Fertiliser_SourceData.Fertiliser_Products_Data1(), FertiliserProducts[[#Headers],[Company]],1)</f>
        <v>Phosphorus - Generic</v>
      </c>
      <c r="T91" s="192" cm="1">
        <f t="array" ref="T91">Common_InputFunctions.Utility_DisplayArrayInTable(Fertiliser_SourceData.Fertiliser_Products_Data1(), FertiliserProducts[[#Headers],[Company]],1)</f>
        <v>0.05</v>
      </c>
      <c r="U91" s="192" t="str" cm="1">
        <f t="array" ref="U91">Common_InputFunctions.Utility_DisplayArrayInTable(Fertiliser_SourceData.Fertiliser_Products_Data1(), FertiliserProducts[[#Headers],[Company]],1)</f>
        <v/>
      </c>
      <c r="V91" s="192" t="str" cm="1">
        <f t="array" ref="V91">Common_InputFunctions.Utility_DisplayArrayInTable(Fertiliser_SourceData.Fertiliser_Products_Data1(), FertiliserProducts[[#Headers],[Company]],1)</f>
        <v/>
      </c>
      <c r="W91" s="192" t="str" cm="1">
        <f t="array" ref="W91">Common_InputFunctions.Utility_DisplayArrayInTable(Fertiliser_SourceData.Fertiliser_Products_Data1(), FertiliserProducts[[#Headers],[Company]],1)</f>
        <v/>
      </c>
      <c r="X91" s="192" t="str" cm="1">
        <f t="array" ref="X91">Common_InputFunctions.Utility_DisplayArrayInTable(Fertiliser_SourceData.Fertiliser_Products_Data1(), FertiliserProducts[[#Headers],[Company]],1)</f>
        <v/>
      </c>
      <c r="Y91" s="192" t="str" cm="1">
        <f t="array" ref="Y91">Common_InputFunctions.Utility_DisplayArrayInTable(Fertiliser_SourceData.Fertiliser_Products_Data1(), FertiliserProducts[[#Headers],[Company]],1)</f>
        <v/>
      </c>
      <c r="Z91" s="192" t="str" cm="1">
        <f t="array" ref="Z91">Common_InputFunctions.Utility_DisplayArrayInTable(Fertiliser_SourceData.Fertiliser_Products_Data1(), FertiliserProducts[[#Headers],[Company]],1)</f>
        <v/>
      </c>
      <c r="AA91" s="192" t="str" cm="1">
        <f t="array" ref="AA91">Common_InputFunctions.Utility_DisplayArrayInTable(Fertiliser_SourceData.Fertiliser_Products_Data1(), FertiliserProducts[[#Headers],[Company]],1)</f>
        <v/>
      </c>
      <c r="AB91" s="192" t="str" cm="1">
        <f t="array" ref="AB91">Common_InputFunctions.Utility_DisplayArrayInTable(Fertiliser_SourceData.Fertiliser_Products_Data1(), FertiliserProducts[[#Headers],[Company]],1)</f>
        <v/>
      </c>
      <c r="AC91" s="192" t="str" cm="1">
        <f t="array" ref="AC91">Common_InputFunctions.Utility_DisplayArrayInTable(Fertiliser_SourceData.Fertiliser_Products_Data1(), FertiliserProducts[[#Headers],[Company]],1)</f>
        <v/>
      </c>
      <c r="AD91" s="192" t="str" cm="1">
        <f t="array" ref="AD91">Common_InputFunctions.Utility_DisplayArrayInTable(Fertiliser_SourceData.Fertiliser_Products_Data1(), FertiliserProducts[[#Headers],[Company]],1)</f>
        <v/>
      </c>
      <c r="AE91" s="192" t="str" cm="1">
        <f t="array" ref="AE91">Common_InputFunctions.Utility_DisplayArrayInTable(Fertiliser_SourceData.Fertiliser_Products_Data1(), FertiliserProducts[[#Headers],[Company]],1)</f>
        <v/>
      </c>
      <c r="AF91" s="192" t="str" cm="1">
        <f t="array" ref="AF91">Common_InputFunctions.Utility_DisplayArrayInTable(Fertiliser_SourceData.Fertiliser_Products_Data1(), FertiliserProducts[[#Headers],[Company]],1)</f>
        <v/>
      </c>
      <c r="AG91" s="192" t="str" cm="1">
        <f t="array" ref="AG91">Common_InputFunctions.Utility_DisplayArrayInTable(Fertiliser_SourceData.Fertiliser_Products_Data1(), FertiliserProducts[[#Headers],[Company]],1)</f>
        <v/>
      </c>
      <c r="AH91" s="192" t="str" cm="1">
        <f t="array" ref="AH91">Common_InputFunctions.Utility_DisplayArrayInTable(Fertiliser_SourceData.Fertiliser_Products_Data1(), FertiliserProducts[[#Headers],[Company]],1)</f>
        <v/>
      </c>
      <c r="AK91" s="1"/>
      <c r="AL91" s="1"/>
      <c r="AM91" s="1"/>
    </row>
    <row r="92" spans="4:39" ht="20.100000000000001" customHeight="1" x14ac:dyDescent="0.25">
      <c r="D92" s="192" t="str" cm="1">
        <f t="array" ref="D92">Common_InputFunctions.Utility_DisplayArrayInTable(Fertiliser_SourceData.Fertiliser_Products_Data1(), FertiliserProducts[[#Headers],[Company]],1)</f>
        <v>Campbells fertilisers Australia</v>
      </c>
      <c r="E92" s="192" t="str" cm="1">
        <f t="array" ref="E92">Common_InputFunctions.Utility_DisplayArrayInTable(Fertiliser_SourceData.Fertiliser_Products_Data1(), FertiliserProducts[[#Headers],[Company]],1)</f>
        <v>Aqua Nitro AN</v>
      </c>
      <c r="F92" s="192" t="str" cm="1">
        <f t="array" ref="F92">Common_InputFunctions.Utility_DisplayArrayInTable(Fertiliser_SourceData.Fertiliser_Products_Data1(), FertiliserProducts[[#Headers],[Company]],1)</f>
        <v>L</v>
      </c>
      <c r="G92" s="192" cm="1">
        <f t="array" ref="G92">Common_InputFunctions.Utility_DisplayArrayInTable(Fertiliser_SourceData.Fertiliser_Products_Data1(), FertiliserProducts[[#Headers],[Company]],1)</f>
        <v>1.24</v>
      </c>
      <c r="H92" s="192" t="str" cm="1">
        <f t="array" ref="H92">Common_InputFunctions.Utility_DisplayArrayInTable(Fertiliser_SourceData.Fertiliser_Products_Data1(), FertiliserProducts[[#Headers],[Company]],1)</f>
        <v/>
      </c>
      <c r="I92" s="192" t="str" cm="1">
        <f t="array" ref="I92">Common_InputFunctions.Utility_DisplayArrayInTable(Fertiliser_SourceData.Fertiliser_Products_Data1(), FertiliserProducts[[#Headers],[Company]],1)</f>
        <v/>
      </c>
      <c r="J92" s="192" t="str" cm="1">
        <f t="array" ref="J92">Common_InputFunctions.Utility_DisplayArrayInTable(Fertiliser_SourceData.Fertiliser_Products_Data1(), FertiliserProducts[[#Headers],[Company]],1)</f>
        <v/>
      </c>
      <c r="K92" s="192" cm="1">
        <f t="array" ref="K92">Common_InputFunctions.Utility_DisplayArrayInTable(Fertiliser_SourceData.Fertiliser_Products_Data1(), FertiliserProducts[[#Headers],[Company]],1)</f>
        <v>22.3</v>
      </c>
      <c r="L92" s="192" t="str" cm="1">
        <f t="array" ref="L92">Common_InputFunctions.Utility_DisplayArrayInTable(Fertiliser_SourceData.Fertiliser_Products_Data1(), FertiliserProducts[[#Headers],[Company]],1)</f>
        <v/>
      </c>
      <c r="M92" s="192" t="str" cm="1">
        <f t="array" ref="M92">Common_InputFunctions.Utility_DisplayArrayInTable(Fertiliser_SourceData.Fertiliser_Products_Data1(), FertiliserProducts[[#Headers],[Company]],1)</f>
        <v/>
      </c>
      <c r="N92" s="192" t="str" cm="1">
        <f t="array" ref="N92">Common_InputFunctions.Utility_DisplayArrayInTable(Fertiliser_SourceData.Fertiliser_Products_Data1(), FertiliserProducts[[#Headers],[Company]],1)</f>
        <v/>
      </c>
      <c r="O92" s="192" t="str" cm="1">
        <f t="array" ref="O92">Common_InputFunctions.Utility_DisplayArrayInTable(Fertiliser_SourceData.Fertiliser_Products_Data1(), FertiliserProducts[[#Headers],[Company]],1)</f>
        <v>Nitrogen - Ammoniacal</v>
      </c>
      <c r="P92" s="192" cm="1">
        <f t="array" ref="P92">Common_InputFunctions.Utility_DisplayArrayInTable(Fertiliser_SourceData.Fertiliser_Products_Data1(), FertiliserProducts[[#Headers],[Company]],1)</f>
        <v>0.223</v>
      </c>
      <c r="Q92" s="192" t="str" cm="1">
        <f t="array" ref="Q92">Common_InputFunctions.Utility_DisplayArrayInTable(Fertiliser_SourceData.Fertiliser_Products_Data1(), FertiliserProducts[[#Headers],[Company]],1)</f>
        <v/>
      </c>
      <c r="R92" s="192" t="str" cm="1">
        <f t="array" ref="R92">Common_InputFunctions.Utility_DisplayArrayInTable(Fertiliser_SourceData.Fertiliser_Products_Data1(), FertiliserProducts[[#Headers],[Company]],1)</f>
        <v/>
      </c>
      <c r="S92" s="192" t="str" cm="1">
        <f t="array" ref="S92">Common_InputFunctions.Utility_DisplayArrayInTable(Fertiliser_SourceData.Fertiliser_Products_Data1(), FertiliserProducts[[#Headers],[Company]],1)</f>
        <v/>
      </c>
      <c r="T92" s="192" t="str" cm="1">
        <f t="array" ref="T92">Common_InputFunctions.Utility_DisplayArrayInTable(Fertiliser_SourceData.Fertiliser_Products_Data1(), FertiliserProducts[[#Headers],[Company]],1)</f>
        <v/>
      </c>
      <c r="U92" s="192" t="str" cm="1">
        <f t="array" ref="U92">Common_InputFunctions.Utility_DisplayArrayInTable(Fertiliser_SourceData.Fertiliser_Products_Data1(), FertiliserProducts[[#Headers],[Company]],1)</f>
        <v/>
      </c>
      <c r="V92" s="192" t="str" cm="1">
        <f t="array" ref="V92">Common_InputFunctions.Utility_DisplayArrayInTable(Fertiliser_SourceData.Fertiliser_Products_Data1(), FertiliserProducts[[#Headers],[Company]],1)</f>
        <v/>
      </c>
      <c r="W92" s="192" t="str" cm="1">
        <f t="array" ref="W92">Common_InputFunctions.Utility_DisplayArrayInTable(Fertiliser_SourceData.Fertiliser_Products_Data1(), FertiliserProducts[[#Headers],[Company]],1)</f>
        <v/>
      </c>
      <c r="X92" s="192" t="str" cm="1">
        <f t="array" ref="X92">Common_InputFunctions.Utility_DisplayArrayInTable(Fertiliser_SourceData.Fertiliser_Products_Data1(), FertiliserProducts[[#Headers],[Company]],1)</f>
        <v/>
      </c>
      <c r="Y92" s="192" t="str" cm="1">
        <f t="array" ref="Y92">Common_InputFunctions.Utility_DisplayArrayInTable(Fertiliser_SourceData.Fertiliser_Products_Data1(), FertiliserProducts[[#Headers],[Company]],1)</f>
        <v/>
      </c>
      <c r="Z92" s="192" t="str" cm="1">
        <f t="array" ref="Z92">Common_InputFunctions.Utility_DisplayArrayInTable(Fertiliser_SourceData.Fertiliser_Products_Data1(), FertiliserProducts[[#Headers],[Company]],1)</f>
        <v/>
      </c>
      <c r="AA92" s="192" t="str" cm="1">
        <f t="array" ref="AA92">Common_InputFunctions.Utility_DisplayArrayInTable(Fertiliser_SourceData.Fertiliser_Products_Data1(), FertiliserProducts[[#Headers],[Company]],1)</f>
        <v/>
      </c>
      <c r="AB92" s="192" t="str" cm="1">
        <f t="array" ref="AB92">Common_InputFunctions.Utility_DisplayArrayInTable(Fertiliser_SourceData.Fertiliser_Products_Data1(), FertiliserProducts[[#Headers],[Company]],1)</f>
        <v/>
      </c>
      <c r="AC92" s="192" t="str" cm="1">
        <f t="array" ref="AC92">Common_InputFunctions.Utility_DisplayArrayInTable(Fertiliser_SourceData.Fertiliser_Products_Data1(), FertiliserProducts[[#Headers],[Company]],1)</f>
        <v/>
      </c>
      <c r="AD92" s="192" t="str" cm="1">
        <f t="array" ref="AD92">Common_InputFunctions.Utility_DisplayArrayInTable(Fertiliser_SourceData.Fertiliser_Products_Data1(), FertiliserProducts[[#Headers],[Company]],1)</f>
        <v/>
      </c>
      <c r="AE92" s="192" t="str" cm="1">
        <f t="array" ref="AE92">Common_InputFunctions.Utility_DisplayArrayInTable(Fertiliser_SourceData.Fertiliser_Products_Data1(), FertiliserProducts[[#Headers],[Company]],1)</f>
        <v/>
      </c>
      <c r="AF92" s="192" t="str" cm="1">
        <f t="array" ref="AF92">Common_InputFunctions.Utility_DisplayArrayInTable(Fertiliser_SourceData.Fertiliser_Products_Data1(), FertiliserProducts[[#Headers],[Company]],1)</f>
        <v/>
      </c>
      <c r="AG92" s="192" t="str" cm="1">
        <f t="array" ref="AG92">Common_InputFunctions.Utility_DisplayArrayInTable(Fertiliser_SourceData.Fertiliser_Products_Data1(), FertiliserProducts[[#Headers],[Company]],1)</f>
        <v/>
      </c>
      <c r="AH92" s="192" t="str" cm="1">
        <f t="array" ref="AH92">Common_InputFunctions.Utility_DisplayArrayInTable(Fertiliser_SourceData.Fertiliser_Products_Data1(), FertiliserProducts[[#Headers],[Company]],1)</f>
        <v/>
      </c>
      <c r="AK92" s="1"/>
      <c r="AL92" s="1"/>
      <c r="AM92" s="1"/>
    </row>
    <row r="93" spans="4:39" ht="20.100000000000001" customHeight="1" x14ac:dyDescent="0.25">
      <c r="D93" s="192" t="str" cm="1">
        <f t="array" ref="D93">Common_InputFunctions.Utility_DisplayArrayInTable(Fertiliser_SourceData.Fertiliser_Products_Data1(), FertiliserProducts[[#Headers],[Company]],1)</f>
        <v>Campbells fertilisers Australia</v>
      </c>
      <c r="E93" s="192" t="str" cm="1">
        <f t="array" ref="E93">Common_InputFunctions.Utility_DisplayArrayInTable(Fertiliser_SourceData.Fertiliser_Products_Data1(), FertiliserProducts[[#Headers],[Company]],1)</f>
        <v>Aqua NitroCal</v>
      </c>
      <c r="F93" s="192" t="str" cm="1">
        <f t="array" ref="F93">Common_InputFunctions.Utility_DisplayArrayInTable(Fertiliser_SourceData.Fertiliser_Products_Data1(), FertiliserProducts[[#Headers],[Company]],1)</f>
        <v>L</v>
      </c>
      <c r="G93" s="192" cm="1">
        <f t="array" ref="G93">Common_InputFunctions.Utility_DisplayArrayInTable(Fertiliser_SourceData.Fertiliser_Products_Data1(), FertiliserProducts[[#Headers],[Company]],1)</f>
        <v>1.5</v>
      </c>
      <c r="H93" s="192" t="str" cm="1">
        <f t="array" ref="H93">Common_InputFunctions.Utility_DisplayArrayInTable(Fertiliser_SourceData.Fertiliser_Products_Data1(), FertiliserProducts[[#Headers],[Company]],1)</f>
        <v/>
      </c>
      <c r="I93" s="192" t="str" cm="1">
        <f t="array" ref="I93">Common_InputFunctions.Utility_DisplayArrayInTable(Fertiliser_SourceData.Fertiliser_Products_Data1(), FertiliserProducts[[#Headers],[Company]],1)</f>
        <v/>
      </c>
      <c r="J93" s="192" t="str" cm="1">
        <f t="array" ref="J93">Common_InputFunctions.Utility_DisplayArrayInTable(Fertiliser_SourceData.Fertiliser_Products_Data1(), FertiliserProducts[[#Headers],[Company]],1)</f>
        <v/>
      </c>
      <c r="K93" s="192" cm="1">
        <f t="array" ref="K93">Common_InputFunctions.Utility_DisplayArrayInTable(Fertiliser_SourceData.Fertiliser_Products_Data1(), FertiliserProducts[[#Headers],[Company]],1)</f>
        <v>13.2</v>
      </c>
      <c r="L93" s="192" t="str" cm="1">
        <f t="array" ref="L93">Common_InputFunctions.Utility_DisplayArrayInTable(Fertiliser_SourceData.Fertiliser_Products_Data1(), FertiliserProducts[[#Headers],[Company]],1)</f>
        <v/>
      </c>
      <c r="M93" s="192" t="str" cm="1">
        <f t="array" ref="M93">Common_InputFunctions.Utility_DisplayArrayInTable(Fertiliser_SourceData.Fertiliser_Products_Data1(), FertiliserProducts[[#Headers],[Company]],1)</f>
        <v/>
      </c>
      <c r="N93" s="192" t="str" cm="1">
        <f t="array" ref="N93">Common_InputFunctions.Utility_DisplayArrayInTable(Fertiliser_SourceData.Fertiliser_Products_Data1(), FertiliserProducts[[#Headers],[Company]],1)</f>
        <v/>
      </c>
      <c r="O93" s="192" t="str" cm="1">
        <f t="array" ref="O93">Common_InputFunctions.Utility_DisplayArrayInTable(Fertiliser_SourceData.Fertiliser_Products_Data1(), FertiliserProducts[[#Headers],[Company]],1)</f>
        <v>Calcium</v>
      </c>
      <c r="P93" s="192" cm="1">
        <f t="array" ref="P93">Common_InputFunctions.Utility_DisplayArrayInTable(Fertiliser_SourceData.Fertiliser_Products_Data1(), FertiliserProducts[[#Headers],[Company]],1)</f>
        <v>0.16200000000000001</v>
      </c>
      <c r="Q93" s="192" t="str" cm="1">
        <f t="array" ref="Q93">Common_InputFunctions.Utility_DisplayArrayInTable(Fertiliser_SourceData.Fertiliser_Products_Data1(), FertiliserProducts[[#Headers],[Company]],1)</f>
        <v>Nitrogen - Nitrate</v>
      </c>
      <c r="R93" s="192" cm="1">
        <f t="array" ref="R93">Common_InputFunctions.Utility_DisplayArrayInTable(Fertiliser_SourceData.Fertiliser_Products_Data1(), FertiliserProducts[[#Headers],[Company]],1)</f>
        <v>0.13200000000000001</v>
      </c>
      <c r="S93" s="192" t="str" cm="1">
        <f t="array" ref="S93">Common_InputFunctions.Utility_DisplayArrayInTable(Fertiliser_SourceData.Fertiliser_Products_Data1(), FertiliserProducts[[#Headers],[Company]],1)</f>
        <v/>
      </c>
      <c r="T93" s="192" t="str" cm="1">
        <f t="array" ref="T93">Common_InputFunctions.Utility_DisplayArrayInTable(Fertiliser_SourceData.Fertiliser_Products_Data1(), FertiliserProducts[[#Headers],[Company]],1)</f>
        <v/>
      </c>
      <c r="U93" s="192" t="str" cm="1">
        <f t="array" ref="U93">Common_InputFunctions.Utility_DisplayArrayInTable(Fertiliser_SourceData.Fertiliser_Products_Data1(), FertiliserProducts[[#Headers],[Company]],1)</f>
        <v/>
      </c>
      <c r="V93" s="192" t="str" cm="1">
        <f t="array" ref="V93">Common_InputFunctions.Utility_DisplayArrayInTable(Fertiliser_SourceData.Fertiliser_Products_Data1(), FertiliserProducts[[#Headers],[Company]],1)</f>
        <v/>
      </c>
      <c r="W93" s="192" t="str" cm="1">
        <f t="array" ref="W93">Common_InputFunctions.Utility_DisplayArrayInTable(Fertiliser_SourceData.Fertiliser_Products_Data1(), FertiliserProducts[[#Headers],[Company]],1)</f>
        <v/>
      </c>
      <c r="X93" s="192" t="str" cm="1">
        <f t="array" ref="X93">Common_InputFunctions.Utility_DisplayArrayInTable(Fertiliser_SourceData.Fertiliser_Products_Data1(), FertiliserProducts[[#Headers],[Company]],1)</f>
        <v/>
      </c>
      <c r="Y93" s="192" t="str" cm="1">
        <f t="array" ref="Y93">Common_InputFunctions.Utility_DisplayArrayInTable(Fertiliser_SourceData.Fertiliser_Products_Data1(), FertiliserProducts[[#Headers],[Company]],1)</f>
        <v/>
      </c>
      <c r="Z93" s="192" t="str" cm="1">
        <f t="array" ref="Z93">Common_InputFunctions.Utility_DisplayArrayInTable(Fertiliser_SourceData.Fertiliser_Products_Data1(), FertiliserProducts[[#Headers],[Company]],1)</f>
        <v/>
      </c>
      <c r="AA93" s="192" t="str" cm="1">
        <f t="array" ref="AA93">Common_InputFunctions.Utility_DisplayArrayInTable(Fertiliser_SourceData.Fertiliser_Products_Data1(), FertiliserProducts[[#Headers],[Company]],1)</f>
        <v/>
      </c>
      <c r="AB93" s="192" t="str" cm="1">
        <f t="array" ref="AB93">Common_InputFunctions.Utility_DisplayArrayInTable(Fertiliser_SourceData.Fertiliser_Products_Data1(), FertiliserProducts[[#Headers],[Company]],1)</f>
        <v/>
      </c>
      <c r="AC93" s="192" t="str" cm="1">
        <f t="array" ref="AC93">Common_InputFunctions.Utility_DisplayArrayInTable(Fertiliser_SourceData.Fertiliser_Products_Data1(), FertiliserProducts[[#Headers],[Company]],1)</f>
        <v/>
      </c>
      <c r="AD93" s="192" t="str" cm="1">
        <f t="array" ref="AD93">Common_InputFunctions.Utility_DisplayArrayInTable(Fertiliser_SourceData.Fertiliser_Products_Data1(), FertiliserProducts[[#Headers],[Company]],1)</f>
        <v/>
      </c>
      <c r="AE93" s="192" t="str" cm="1">
        <f t="array" ref="AE93">Common_InputFunctions.Utility_DisplayArrayInTable(Fertiliser_SourceData.Fertiliser_Products_Data1(), FertiliserProducts[[#Headers],[Company]],1)</f>
        <v/>
      </c>
      <c r="AF93" s="192" t="str" cm="1">
        <f t="array" ref="AF93">Common_InputFunctions.Utility_DisplayArrayInTable(Fertiliser_SourceData.Fertiliser_Products_Data1(), FertiliserProducts[[#Headers],[Company]],1)</f>
        <v/>
      </c>
      <c r="AG93" s="192" t="str" cm="1">
        <f t="array" ref="AG93">Common_InputFunctions.Utility_DisplayArrayInTable(Fertiliser_SourceData.Fertiliser_Products_Data1(), FertiliserProducts[[#Headers],[Company]],1)</f>
        <v/>
      </c>
      <c r="AH93" s="192" t="str" cm="1">
        <f t="array" ref="AH93">Common_InputFunctions.Utility_DisplayArrayInTable(Fertiliser_SourceData.Fertiliser_Products_Data1(), FertiliserProducts[[#Headers],[Company]],1)</f>
        <v/>
      </c>
      <c r="AK93" s="1"/>
      <c r="AL93" s="1"/>
      <c r="AM93" s="1"/>
    </row>
    <row r="94" spans="4:39" ht="20.100000000000001" customHeight="1" x14ac:dyDescent="0.25">
      <c r="D94" s="192" t="str" cm="1">
        <f t="array" ref="D94">Common_InputFunctions.Utility_DisplayArrayInTable(Fertiliser_SourceData.Fertiliser_Products_Data1(), FertiliserProducts[[#Headers],[Company]],1)</f>
        <v>Campbells fertilisers Australia</v>
      </c>
      <c r="E94" s="192" t="str" cm="1">
        <f t="array" ref="E94">Common_InputFunctions.Utility_DisplayArrayInTable(Fertiliser_SourceData.Fertiliser_Products_Data1(), FertiliserProducts[[#Headers],[Company]],1)</f>
        <v>Aqua NitroCal (VI)</v>
      </c>
      <c r="F94" s="192" t="str" cm="1">
        <f t="array" ref="F94">Common_InputFunctions.Utility_DisplayArrayInTable(Fertiliser_SourceData.Fertiliser_Products_Data1(), FertiliserProducts[[#Headers],[Company]],1)</f>
        <v>L</v>
      </c>
      <c r="G94" s="192" cm="1">
        <f t="array" ref="G94">Common_InputFunctions.Utility_DisplayArrayInTable(Fertiliser_SourceData.Fertiliser_Products_Data1(), FertiliserProducts[[#Headers],[Company]],1)</f>
        <v>1.5</v>
      </c>
      <c r="H94" s="192" t="str" cm="1">
        <f t="array" ref="H94">Common_InputFunctions.Utility_DisplayArrayInTable(Fertiliser_SourceData.Fertiliser_Products_Data1(), FertiliserProducts[[#Headers],[Company]],1)</f>
        <v/>
      </c>
      <c r="I94" s="192" t="str" cm="1">
        <f t="array" ref="I94">Common_InputFunctions.Utility_DisplayArrayInTable(Fertiliser_SourceData.Fertiliser_Products_Data1(), FertiliserProducts[[#Headers],[Company]],1)</f>
        <v/>
      </c>
      <c r="J94" s="192" t="str" cm="1">
        <f t="array" ref="J94">Common_InputFunctions.Utility_DisplayArrayInTable(Fertiliser_SourceData.Fertiliser_Products_Data1(), FertiliserProducts[[#Headers],[Company]],1)</f>
        <v/>
      </c>
      <c r="K94" s="192" cm="1">
        <f t="array" ref="K94">Common_InputFunctions.Utility_DisplayArrayInTable(Fertiliser_SourceData.Fertiliser_Products_Data1(), FertiliserProducts[[#Headers],[Company]],1)</f>
        <v>13.2</v>
      </c>
      <c r="L94" s="192" t="str" cm="1">
        <f t="array" ref="L94">Common_InputFunctions.Utility_DisplayArrayInTable(Fertiliser_SourceData.Fertiliser_Products_Data1(), FertiliserProducts[[#Headers],[Company]],1)</f>
        <v/>
      </c>
      <c r="M94" s="192" t="str" cm="1">
        <f t="array" ref="M94">Common_InputFunctions.Utility_DisplayArrayInTable(Fertiliser_SourceData.Fertiliser_Products_Data1(), FertiliserProducts[[#Headers],[Company]],1)</f>
        <v/>
      </c>
      <c r="N94" s="192" t="str" cm="1">
        <f t="array" ref="N94">Common_InputFunctions.Utility_DisplayArrayInTable(Fertiliser_SourceData.Fertiliser_Products_Data1(), FertiliserProducts[[#Headers],[Company]],1)</f>
        <v/>
      </c>
      <c r="O94" s="192" t="str" cm="1">
        <f t="array" ref="O94">Common_InputFunctions.Utility_DisplayArrayInTable(Fertiliser_SourceData.Fertiliser_Products_Data1(), FertiliserProducts[[#Headers],[Company]],1)</f>
        <v>Calcium</v>
      </c>
      <c r="P94" s="192" cm="1">
        <f t="array" ref="P94">Common_InputFunctions.Utility_DisplayArrayInTable(Fertiliser_SourceData.Fertiliser_Products_Data1(), FertiliserProducts[[#Headers],[Company]],1)</f>
        <v>0.187</v>
      </c>
      <c r="Q94" s="192" t="str" cm="1">
        <f t="array" ref="Q94">Common_InputFunctions.Utility_DisplayArrayInTable(Fertiliser_SourceData.Fertiliser_Products_Data1(), FertiliserProducts[[#Headers],[Company]],1)</f>
        <v>Nitrogen - Nitrate</v>
      </c>
      <c r="R94" s="192" cm="1">
        <f t="array" ref="R94">Common_InputFunctions.Utility_DisplayArrayInTable(Fertiliser_SourceData.Fertiliser_Products_Data1(), FertiliserProducts[[#Headers],[Company]],1)</f>
        <v>0.13200000000000001</v>
      </c>
      <c r="S94" s="192" t="str" cm="1">
        <f t="array" ref="S94">Common_InputFunctions.Utility_DisplayArrayInTable(Fertiliser_SourceData.Fertiliser_Products_Data1(), FertiliserProducts[[#Headers],[Company]],1)</f>
        <v/>
      </c>
      <c r="T94" s="192" t="str" cm="1">
        <f t="array" ref="T94">Common_InputFunctions.Utility_DisplayArrayInTable(Fertiliser_SourceData.Fertiliser_Products_Data1(), FertiliserProducts[[#Headers],[Company]],1)</f>
        <v/>
      </c>
      <c r="U94" s="192" t="str" cm="1">
        <f t="array" ref="U94">Common_InputFunctions.Utility_DisplayArrayInTable(Fertiliser_SourceData.Fertiliser_Products_Data1(), FertiliserProducts[[#Headers],[Company]],1)</f>
        <v/>
      </c>
      <c r="V94" s="192" t="str" cm="1">
        <f t="array" ref="V94">Common_InputFunctions.Utility_DisplayArrayInTable(Fertiliser_SourceData.Fertiliser_Products_Data1(), FertiliserProducts[[#Headers],[Company]],1)</f>
        <v/>
      </c>
      <c r="W94" s="192" t="str" cm="1">
        <f t="array" ref="W94">Common_InputFunctions.Utility_DisplayArrayInTable(Fertiliser_SourceData.Fertiliser_Products_Data1(), FertiliserProducts[[#Headers],[Company]],1)</f>
        <v/>
      </c>
      <c r="X94" s="192" t="str" cm="1">
        <f t="array" ref="X94">Common_InputFunctions.Utility_DisplayArrayInTable(Fertiliser_SourceData.Fertiliser_Products_Data1(), FertiliserProducts[[#Headers],[Company]],1)</f>
        <v/>
      </c>
      <c r="Y94" s="192" t="str" cm="1">
        <f t="array" ref="Y94">Common_InputFunctions.Utility_DisplayArrayInTable(Fertiliser_SourceData.Fertiliser_Products_Data1(), FertiliserProducts[[#Headers],[Company]],1)</f>
        <v/>
      </c>
      <c r="Z94" s="192" t="str" cm="1">
        <f t="array" ref="Z94">Common_InputFunctions.Utility_DisplayArrayInTable(Fertiliser_SourceData.Fertiliser_Products_Data1(), FertiliserProducts[[#Headers],[Company]],1)</f>
        <v/>
      </c>
      <c r="AA94" s="192" t="str" cm="1">
        <f t="array" ref="AA94">Common_InputFunctions.Utility_DisplayArrayInTable(Fertiliser_SourceData.Fertiliser_Products_Data1(), FertiliserProducts[[#Headers],[Company]],1)</f>
        <v/>
      </c>
      <c r="AB94" s="192" t="str" cm="1">
        <f t="array" ref="AB94">Common_InputFunctions.Utility_DisplayArrayInTable(Fertiliser_SourceData.Fertiliser_Products_Data1(), FertiliserProducts[[#Headers],[Company]],1)</f>
        <v/>
      </c>
      <c r="AC94" s="192" t="str" cm="1">
        <f t="array" ref="AC94">Common_InputFunctions.Utility_DisplayArrayInTable(Fertiliser_SourceData.Fertiliser_Products_Data1(), FertiliserProducts[[#Headers],[Company]],1)</f>
        <v/>
      </c>
      <c r="AD94" s="192" t="str" cm="1">
        <f t="array" ref="AD94">Common_InputFunctions.Utility_DisplayArrayInTable(Fertiliser_SourceData.Fertiliser_Products_Data1(), FertiliserProducts[[#Headers],[Company]],1)</f>
        <v/>
      </c>
      <c r="AE94" s="192" t="str" cm="1">
        <f t="array" ref="AE94">Common_InputFunctions.Utility_DisplayArrayInTable(Fertiliser_SourceData.Fertiliser_Products_Data1(), FertiliserProducts[[#Headers],[Company]],1)</f>
        <v/>
      </c>
      <c r="AF94" s="192" t="str" cm="1">
        <f t="array" ref="AF94">Common_InputFunctions.Utility_DisplayArrayInTable(Fertiliser_SourceData.Fertiliser_Products_Data1(), FertiliserProducts[[#Headers],[Company]],1)</f>
        <v/>
      </c>
      <c r="AG94" s="192" t="str" cm="1">
        <f t="array" ref="AG94">Common_InputFunctions.Utility_DisplayArrayInTable(Fertiliser_SourceData.Fertiliser_Products_Data1(), FertiliserProducts[[#Headers],[Company]],1)</f>
        <v/>
      </c>
      <c r="AH94" s="192" t="str" cm="1">
        <f t="array" ref="AH94">Common_InputFunctions.Utility_DisplayArrayInTable(Fertiliser_SourceData.Fertiliser_Products_Data1(), FertiliserProducts[[#Headers],[Company]],1)</f>
        <v/>
      </c>
      <c r="AK94" s="1"/>
      <c r="AL94" s="1"/>
      <c r="AM94" s="1"/>
    </row>
    <row r="95" spans="4:39" ht="20.100000000000001" customHeight="1" x14ac:dyDescent="0.25">
      <c r="D95" s="192" t="str" cm="1">
        <f t="array" ref="D95">Common_InputFunctions.Utility_DisplayArrayInTable(Fertiliser_SourceData.Fertiliser_Products_Data1(), FertiliserProducts[[#Headers],[Company]],1)</f>
        <v>Campbells fertilisers Australia</v>
      </c>
      <c r="E95" s="192" t="str" cm="1">
        <f t="array" ref="E95">Common_InputFunctions.Utility_DisplayArrayInTable(Fertiliser_SourceData.Fertiliser_Products_Data1(), FertiliserProducts[[#Headers],[Company]],1)</f>
        <v>Aqua NitroCal Ultimate</v>
      </c>
      <c r="F95" s="192" t="str" cm="1">
        <f t="array" ref="F95">Common_InputFunctions.Utility_DisplayArrayInTable(Fertiliser_SourceData.Fertiliser_Products_Data1(), FertiliserProducts[[#Headers],[Company]],1)</f>
        <v>L</v>
      </c>
      <c r="G95" s="192" cm="1">
        <f t="array" ref="G95">Common_InputFunctions.Utility_DisplayArrayInTable(Fertiliser_SourceData.Fertiliser_Products_Data1(), FertiliserProducts[[#Headers],[Company]],1)</f>
        <v>1.5</v>
      </c>
      <c r="H95" s="192" t="str" cm="1">
        <f t="array" ref="H95">Common_InputFunctions.Utility_DisplayArrayInTable(Fertiliser_SourceData.Fertiliser_Products_Data1(), FertiliserProducts[[#Headers],[Company]],1)</f>
        <v/>
      </c>
      <c r="I95" s="192" t="str" cm="1">
        <f t="array" ref="I95">Common_InputFunctions.Utility_DisplayArrayInTable(Fertiliser_SourceData.Fertiliser_Products_Data1(), FertiliserProducts[[#Headers],[Company]],1)</f>
        <v/>
      </c>
      <c r="J95" s="192" t="str" cm="1">
        <f t="array" ref="J95">Common_InputFunctions.Utility_DisplayArrayInTable(Fertiliser_SourceData.Fertiliser_Products_Data1(), FertiliserProducts[[#Headers],[Company]],1)</f>
        <v/>
      </c>
      <c r="K95" s="192" cm="1">
        <f t="array" ref="K95">Common_InputFunctions.Utility_DisplayArrayInTable(Fertiliser_SourceData.Fertiliser_Products_Data1(), FertiliserProducts[[#Headers],[Company]],1)</f>
        <v>13.2</v>
      </c>
      <c r="L95" s="192" t="str" cm="1">
        <f t="array" ref="L95">Common_InputFunctions.Utility_DisplayArrayInTable(Fertiliser_SourceData.Fertiliser_Products_Data1(), FertiliserProducts[[#Headers],[Company]],1)</f>
        <v/>
      </c>
      <c r="M95" s="192" t="str" cm="1">
        <f t="array" ref="M95">Common_InputFunctions.Utility_DisplayArrayInTable(Fertiliser_SourceData.Fertiliser_Products_Data1(), FertiliserProducts[[#Headers],[Company]],1)</f>
        <v/>
      </c>
      <c r="N95" s="192" t="str" cm="1">
        <f t="array" ref="N95">Common_InputFunctions.Utility_DisplayArrayInTable(Fertiliser_SourceData.Fertiliser_Products_Data1(), FertiliserProducts[[#Headers],[Company]],1)</f>
        <v/>
      </c>
      <c r="O95" s="192" t="str" cm="1">
        <f t="array" ref="O95">Common_InputFunctions.Utility_DisplayArrayInTable(Fertiliser_SourceData.Fertiliser_Products_Data1(), FertiliserProducts[[#Headers],[Company]],1)</f>
        <v>Calcium</v>
      </c>
      <c r="P95" s="192" cm="1">
        <f t="array" ref="P95">Common_InputFunctions.Utility_DisplayArrayInTable(Fertiliser_SourceData.Fertiliser_Products_Data1(), FertiliserProducts[[#Headers],[Company]],1)</f>
        <v>0.183</v>
      </c>
      <c r="Q95" s="192" t="str" cm="1">
        <f t="array" ref="Q95">Common_InputFunctions.Utility_DisplayArrayInTable(Fertiliser_SourceData.Fertiliser_Products_Data1(), FertiliserProducts[[#Headers],[Company]],1)</f>
        <v>Nitrogen - Nitrate</v>
      </c>
      <c r="R95" s="192" cm="1">
        <f t="array" ref="R95">Common_InputFunctions.Utility_DisplayArrayInTable(Fertiliser_SourceData.Fertiliser_Products_Data1(), FertiliserProducts[[#Headers],[Company]],1)</f>
        <v>0.13200000000000001</v>
      </c>
      <c r="S95" s="192" t="str" cm="1">
        <f t="array" ref="S95">Common_InputFunctions.Utility_DisplayArrayInTable(Fertiliser_SourceData.Fertiliser_Products_Data1(), FertiliserProducts[[#Headers],[Company]],1)</f>
        <v/>
      </c>
      <c r="T95" s="192" t="str" cm="1">
        <f t="array" ref="T95">Common_InputFunctions.Utility_DisplayArrayInTable(Fertiliser_SourceData.Fertiliser_Products_Data1(), FertiliserProducts[[#Headers],[Company]],1)</f>
        <v/>
      </c>
      <c r="U95" s="192" t="str" cm="1">
        <f t="array" ref="U95">Common_InputFunctions.Utility_DisplayArrayInTable(Fertiliser_SourceData.Fertiliser_Products_Data1(), FertiliserProducts[[#Headers],[Company]],1)</f>
        <v/>
      </c>
      <c r="V95" s="192" t="str" cm="1">
        <f t="array" ref="V95">Common_InputFunctions.Utility_DisplayArrayInTable(Fertiliser_SourceData.Fertiliser_Products_Data1(), FertiliserProducts[[#Headers],[Company]],1)</f>
        <v/>
      </c>
      <c r="W95" s="192" t="str" cm="1">
        <f t="array" ref="W95">Common_InputFunctions.Utility_DisplayArrayInTable(Fertiliser_SourceData.Fertiliser_Products_Data1(), FertiliserProducts[[#Headers],[Company]],1)</f>
        <v/>
      </c>
      <c r="X95" s="192" t="str" cm="1">
        <f t="array" ref="X95">Common_InputFunctions.Utility_DisplayArrayInTable(Fertiliser_SourceData.Fertiliser_Products_Data1(), FertiliserProducts[[#Headers],[Company]],1)</f>
        <v/>
      </c>
      <c r="Y95" s="192" t="str" cm="1">
        <f t="array" ref="Y95">Common_InputFunctions.Utility_DisplayArrayInTable(Fertiliser_SourceData.Fertiliser_Products_Data1(), FertiliserProducts[[#Headers],[Company]],1)</f>
        <v/>
      </c>
      <c r="Z95" s="192" t="str" cm="1">
        <f t="array" ref="Z95">Common_InputFunctions.Utility_DisplayArrayInTable(Fertiliser_SourceData.Fertiliser_Products_Data1(), FertiliserProducts[[#Headers],[Company]],1)</f>
        <v/>
      </c>
      <c r="AA95" s="192" t="str" cm="1">
        <f t="array" ref="AA95">Common_InputFunctions.Utility_DisplayArrayInTable(Fertiliser_SourceData.Fertiliser_Products_Data1(), FertiliserProducts[[#Headers],[Company]],1)</f>
        <v/>
      </c>
      <c r="AB95" s="192" t="str" cm="1">
        <f t="array" ref="AB95">Common_InputFunctions.Utility_DisplayArrayInTable(Fertiliser_SourceData.Fertiliser_Products_Data1(), FertiliserProducts[[#Headers],[Company]],1)</f>
        <v/>
      </c>
      <c r="AC95" s="192" t="str" cm="1">
        <f t="array" ref="AC95">Common_InputFunctions.Utility_DisplayArrayInTable(Fertiliser_SourceData.Fertiliser_Products_Data1(), FertiliserProducts[[#Headers],[Company]],1)</f>
        <v/>
      </c>
      <c r="AD95" s="192" t="str" cm="1">
        <f t="array" ref="AD95">Common_InputFunctions.Utility_DisplayArrayInTable(Fertiliser_SourceData.Fertiliser_Products_Data1(), FertiliserProducts[[#Headers],[Company]],1)</f>
        <v/>
      </c>
      <c r="AE95" s="192" t="str" cm="1">
        <f t="array" ref="AE95">Common_InputFunctions.Utility_DisplayArrayInTable(Fertiliser_SourceData.Fertiliser_Products_Data1(), FertiliserProducts[[#Headers],[Company]],1)</f>
        <v/>
      </c>
      <c r="AF95" s="192" t="str" cm="1">
        <f t="array" ref="AF95">Common_InputFunctions.Utility_DisplayArrayInTable(Fertiliser_SourceData.Fertiliser_Products_Data1(), FertiliserProducts[[#Headers],[Company]],1)</f>
        <v/>
      </c>
      <c r="AG95" s="192" t="str" cm="1">
        <f t="array" ref="AG95">Common_InputFunctions.Utility_DisplayArrayInTable(Fertiliser_SourceData.Fertiliser_Products_Data1(), FertiliserProducts[[#Headers],[Company]],1)</f>
        <v/>
      </c>
      <c r="AH95" s="192" t="str" cm="1">
        <f t="array" ref="AH95">Common_InputFunctions.Utility_DisplayArrayInTable(Fertiliser_SourceData.Fertiliser_Products_Data1(), FertiliserProducts[[#Headers],[Company]],1)</f>
        <v/>
      </c>
      <c r="AK95" s="1"/>
      <c r="AL95" s="1"/>
      <c r="AM95" s="1"/>
    </row>
    <row r="96" spans="4:39" ht="20.100000000000001" customHeight="1" x14ac:dyDescent="0.25">
      <c r="D96" s="192" t="str" cm="1">
        <f t="array" ref="D96">Common_InputFunctions.Utility_DisplayArrayInTable(Fertiliser_SourceData.Fertiliser_Products_Data1(), FertiliserProducts[[#Headers],[Company]],1)</f>
        <v>Campbells fertilisers Australia</v>
      </c>
      <c r="E96" s="192" t="str" cm="1">
        <f t="array" ref="E96">Common_InputFunctions.Utility_DisplayArrayInTable(Fertiliser_SourceData.Fertiliser_Products_Data1(), FertiliserProducts[[#Headers],[Company]],1)</f>
        <v>Aqua Start</v>
      </c>
      <c r="F96" s="192" t="str" cm="1">
        <f t="array" ref="F96">Common_InputFunctions.Utility_DisplayArrayInTable(Fertiliser_SourceData.Fertiliser_Products_Data1(), FertiliserProducts[[#Headers],[Company]],1)</f>
        <v>L</v>
      </c>
      <c r="G96" s="192" cm="1">
        <f t="array" ref="G96">Common_InputFunctions.Utility_DisplayArrayInTable(Fertiliser_SourceData.Fertiliser_Products_Data1(), FertiliserProducts[[#Headers],[Company]],1)</f>
        <v>1.25</v>
      </c>
      <c r="H96" s="192" t="str" cm="1">
        <f t="array" ref="H96">Common_InputFunctions.Utility_DisplayArrayInTable(Fertiliser_SourceData.Fertiliser_Products_Data1(), FertiliserProducts[[#Headers],[Company]],1)</f>
        <v/>
      </c>
      <c r="I96" s="192" t="str" cm="1">
        <f t="array" ref="I96">Common_InputFunctions.Utility_DisplayArrayInTable(Fertiliser_SourceData.Fertiliser_Products_Data1(), FertiliserProducts[[#Headers],[Company]],1)</f>
        <v/>
      </c>
      <c r="J96" s="192" t="str" cm="1">
        <f t="array" ref="J96">Common_InputFunctions.Utility_DisplayArrayInTable(Fertiliser_SourceData.Fertiliser_Products_Data1(), FertiliserProducts[[#Headers],[Company]],1)</f>
        <v/>
      </c>
      <c r="K96" s="192" cm="1">
        <f t="array" ref="K96">Common_InputFunctions.Utility_DisplayArrayInTable(Fertiliser_SourceData.Fertiliser_Products_Data1(), FertiliserProducts[[#Headers],[Company]],1)</f>
        <v>10.3</v>
      </c>
      <c r="L96" s="192" cm="1">
        <f t="array" ref="L96">Common_InputFunctions.Utility_DisplayArrayInTable(Fertiliser_SourceData.Fertiliser_Products_Data1(), FertiliserProducts[[#Headers],[Company]],1)</f>
        <v>10</v>
      </c>
      <c r="M96" s="192" cm="1">
        <f t="array" ref="M96">Common_InputFunctions.Utility_DisplayArrayInTable(Fertiliser_SourceData.Fertiliser_Products_Data1(), FertiliserProducts[[#Headers],[Company]],1)</f>
        <v>3.4</v>
      </c>
      <c r="N96" s="192" t="str" cm="1">
        <f t="array" ref="N96">Common_InputFunctions.Utility_DisplayArrayInTable(Fertiliser_SourceData.Fertiliser_Products_Data1(), FertiliserProducts[[#Headers],[Company]],1)</f>
        <v/>
      </c>
      <c r="O96" s="192" t="str" cm="1">
        <f t="array" ref="O96">Common_InputFunctions.Utility_DisplayArrayInTable(Fertiliser_SourceData.Fertiliser_Products_Data1(), FertiliserProducts[[#Headers],[Company]],1)</f>
        <v>Nitrogen - Generic</v>
      </c>
      <c r="P96" s="192" cm="1">
        <f t="array" ref="P96">Common_InputFunctions.Utility_DisplayArrayInTable(Fertiliser_SourceData.Fertiliser_Products_Data1(), FertiliserProducts[[#Headers],[Company]],1)</f>
        <v>0.10299999999999999</v>
      </c>
      <c r="Q96" s="192" t="str" cm="1">
        <f t="array" ref="Q96">Common_InputFunctions.Utility_DisplayArrayInTable(Fertiliser_SourceData.Fertiliser_Products_Data1(), FertiliserProducts[[#Headers],[Company]],1)</f>
        <v>Phosphorus - Generic</v>
      </c>
      <c r="R96" s="192" cm="1">
        <f t="array" ref="R96">Common_InputFunctions.Utility_DisplayArrayInTable(Fertiliser_SourceData.Fertiliser_Products_Data1(), FertiliserProducts[[#Headers],[Company]],1)</f>
        <v>0.1</v>
      </c>
      <c r="S96" s="192" t="str" cm="1">
        <f t="array" ref="S96">Common_InputFunctions.Utility_DisplayArrayInTable(Fertiliser_SourceData.Fertiliser_Products_Data1(), FertiliserProducts[[#Headers],[Company]],1)</f>
        <v>Potassium - Generic</v>
      </c>
      <c r="T96" s="192" cm="1">
        <f t="array" ref="T96">Common_InputFunctions.Utility_DisplayArrayInTable(Fertiliser_SourceData.Fertiliser_Products_Data1(), FertiliserProducts[[#Headers],[Company]],1)</f>
        <v>3.4000000000000002E-2</v>
      </c>
      <c r="U96" s="192" t="str" cm="1">
        <f t="array" ref="U96">Common_InputFunctions.Utility_DisplayArrayInTable(Fertiliser_SourceData.Fertiliser_Products_Data1(), FertiliserProducts[[#Headers],[Company]],1)</f>
        <v/>
      </c>
      <c r="V96" s="192" t="str" cm="1">
        <f t="array" ref="V96">Common_InputFunctions.Utility_DisplayArrayInTable(Fertiliser_SourceData.Fertiliser_Products_Data1(), FertiliserProducts[[#Headers],[Company]],1)</f>
        <v/>
      </c>
      <c r="W96" s="192" t="str" cm="1">
        <f t="array" ref="W96">Common_InputFunctions.Utility_DisplayArrayInTable(Fertiliser_SourceData.Fertiliser_Products_Data1(), FertiliserProducts[[#Headers],[Company]],1)</f>
        <v/>
      </c>
      <c r="X96" s="192" t="str" cm="1">
        <f t="array" ref="X96">Common_InputFunctions.Utility_DisplayArrayInTable(Fertiliser_SourceData.Fertiliser_Products_Data1(), FertiliserProducts[[#Headers],[Company]],1)</f>
        <v/>
      </c>
      <c r="Y96" s="192" t="str" cm="1">
        <f t="array" ref="Y96">Common_InputFunctions.Utility_DisplayArrayInTable(Fertiliser_SourceData.Fertiliser_Products_Data1(), FertiliserProducts[[#Headers],[Company]],1)</f>
        <v/>
      </c>
      <c r="Z96" s="192" t="str" cm="1">
        <f t="array" ref="Z96">Common_InputFunctions.Utility_DisplayArrayInTable(Fertiliser_SourceData.Fertiliser_Products_Data1(), FertiliserProducts[[#Headers],[Company]],1)</f>
        <v/>
      </c>
      <c r="AA96" s="192" t="str" cm="1">
        <f t="array" ref="AA96">Common_InputFunctions.Utility_DisplayArrayInTable(Fertiliser_SourceData.Fertiliser_Products_Data1(), FertiliserProducts[[#Headers],[Company]],1)</f>
        <v/>
      </c>
      <c r="AB96" s="192" t="str" cm="1">
        <f t="array" ref="AB96">Common_InputFunctions.Utility_DisplayArrayInTable(Fertiliser_SourceData.Fertiliser_Products_Data1(), FertiliserProducts[[#Headers],[Company]],1)</f>
        <v/>
      </c>
      <c r="AC96" s="192" t="str" cm="1">
        <f t="array" ref="AC96">Common_InputFunctions.Utility_DisplayArrayInTable(Fertiliser_SourceData.Fertiliser_Products_Data1(), FertiliserProducts[[#Headers],[Company]],1)</f>
        <v/>
      </c>
      <c r="AD96" s="192" t="str" cm="1">
        <f t="array" ref="AD96">Common_InputFunctions.Utility_DisplayArrayInTable(Fertiliser_SourceData.Fertiliser_Products_Data1(), FertiliserProducts[[#Headers],[Company]],1)</f>
        <v/>
      </c>
      <c r="AE96" s="192" t="str" cm="1">
        <f t="array" ref="AE96">Common_InputFunctions.Utility_DisplayArrayInTable(Fertiliser_SourceData.Fertiliser_Products_Data1(), FertiliserProducts[[#Headers],[Company]],1)</f>
        <v/>
      </c>
      <c r="AF96" s="192" t="str" cm="1">
        <f t="array" ref="AF96">Common_InputFunctions.Utility_DisplayArrayInTable(Fertiliser_SourceData.Fertiliser_Products_Data1(), FertiliserProducts[[#Headers],[Company]],1)</f>
        <v/>
      </c>
      <c r="AG96" s="192" t="str" cm="1">
        <f t="array" ref="AG96">Common_InputFunctions.Utility_DisplayArrayInTable(Fertiliser_SourceData.Fertiliser_Products_Data1(), FertiliserProducts[[#Headers],[Company]],1)</f>
        <v/>
      </c>
      <c r="AH96" s="192" t="str" cm="1">
        <f t="array" ref="AH96">Common_InputFunctions.Utility_DisplayArrayInTable(Fertiliser_SourceData.Fertiliser_Products_Data1(), FertiliserProducts[[#Headers],[Company]],1)</f>
        <v/>
      </c>
      <c r="AK96" s="1"/>
      <c r="AL96" s="1"/>
      <c r="AM96" s="1"/>
    </row>
    <row r="97" spans="4:39" ht="20.100000000000001" customHeight="1" x14ac:dyDescent="0.25">
      <c r="D97" s="192" t="str" cm="1">
        <f t="array" ref="D97">Common_InputFunctions.Utility_DisplayArrayInTable(Fertiliser_SourceData.Fertiliser_Products_Data1(), FertiliserProducts[[#Headers],[Company]],1)</f>
        <v>Campbells fertilisers Australia</v>
      </c>
      <c r="E97" s="192" t="str" cm="1">
        <f t="array" ref="E97">Common_InputFunctions.Utility_DisplayArrayInTable(Fertiliser_SourceData.Fertiliser_Products_Data1(), FertiliserProducts[[#Headers],[Company]],1)</f>
        <v>Aqua Thio-Complete</v>
      </c>
      <c r="F97" s="192" t="str" cm="1">
        <f t="array" ref="F97">Common_InputFunctions.Utility_DisplayArrayInTable(Fertiliser_SourceData.Fertiliser_Products_Data1(), FertiliserProducts[[#Headers],[Company]],1)</f>
        <v>L</v>
      </c>
      <c r="G97" s="192" cm="1">
        <f t="array" ref="G97">Common_InputFunctions.Utility_DisplayArrayInTable(Fertiliser_SourceData.Fertiliser_Products_Data1(), FertiliserProducts[[#Headers],[Company]],1)</f>
        <v>1.43</v>
      </c>
      <c r="H97" s="192" t="str" cm="1">
        <f t="array" ref="H97">Common_InputFunctions.Utility_DisplayArrayInTable(Fertiliser_SourceData.Fertiliser_Products_Data1(), FertiliserProducts[[#Headers],[Company]],1)</f>
        <v/>
      </c>
      <c r="I97" s="192" t="str" cm="1">
        <f t="array" ref="I97">Common_InputFunctions.Utility_DisplayArrayInTable(Fertiliser_SourceData.Fertiliser_Products_Data1(), FertiliserProducts[[#Headers],[Company]],1)</f>
        <v/>
      </c>
      <c r="J97" s="192" t="str" cm="1">
        <f t="array" ref="J97">Common_InputFunctions.Utility_DisplayArrayInTable(Fertiliser_SourceData.Fertiliser_Products_Data1(), FertiliserProducts[[#Headers],[Company]],1)</f>
        <v/>
      </c>
      <c r="K97" s="192" cm="1">
        <f t="array" ref="K97">Common_InputFunctions.Utility_DisplayArrayInTable(Fertiliser_SourceData.Fertiliser_Products_Data1(), FertiliserProducts[[#Headers],[Company]],1)</f>
        <v>2.5</v>
      </c>
      <c r="L97" s="192" cm="1">
        <f t="array" ref="L97">Common_InputFunctions.Utility_DisplayArrayInTable(Fertiliser_SourceData.Fertiliser_Products_Data1(), FertiliserProducts[[#Headers],[Company]],1)</f>
        <v>3.8</v>
      </c>
      <c r="M97" s="192" cm="1">
        <f t="array" ref="M97">Common_InputFunctions.Utility_DisplayArrayInTable(Fertiliser_SourceData.Fertiliser_Products_Data1(), FertiliserProducts[[#Headers],[Company]],1)</f>
        <v>22.5</v>
      </c>
      <c r="N97" s="192" t="str" cm="1">
        <f t="array" ref="N97">Common_InputFunctions.Utility_DisplayArrayInTable(Fertiliser_SourceData.Fertiliser_Products_Data1(), FertiliserProducts[[#Headers],[Company]],1)</f>
        <v/>
      </c>
      <c r="O97" s="192" t="str" cm="1">
        <f t="array" ref="O97">Common_InputFunctions.Utility_DisplayArrayInTable(Fertiliser_SourceData.Fertiliser_Products_Data1(), FertiliserProducts[[#Headers],[Company]],1)</f>
        <v>Potassium - Generic</v>
      </c>
      <c r="P97" s="192" cm="1">
        <f t="array" ref="P97">Common_InputFunctions.Utility_DisplayArrayInTable(Fertiliser_SourceData.Fertiliser_Products_Data1(), FertiliserProducts[[#Headers],[Company]],1)</f>
        <v>0.22500000000000001</v>
      </c>
      <c r="Q97" s="192" t="str" cm="1">
        <f t="array" ref="Q97">Common_InputFunctions.Utility_DisplayArrayInTable(Fertiliser_SourceData.Fertiliser_Products_Data1(), FertiliserProducts[[#Headers],[Company]],1)</f>
        <v>Phosphorus - Generic</v>
      </c>
      <c r="R97" s="192" cm="1">
        <f t="array" ref="R97">Common_InputFunctions.Utility_DisplayArrayInTable(Fertiliser_SourceData.Fertiliser_Products_Data1(), FertiliserProducts[[#Headers],[Company]],1)</f>
        <v>3.7999999999999999E-2</v>
      </c>
      <c r="S97" s="192" t="str" cm="1">
        <f t="array" ref="S97">Common_InputFunctions.Utility_DisplayArrayInTable(Fertiliser_SourceData.Fertiliser_Products_Data1(), FertiliserProducts[[#Headers],[Company]],1)</f>
        <v>Nitrogen - Generic</v>
      </c>
      <c r="T97" s="192" cm="1">
        <f t="array" ref="T97">Common_InputFunctions.Utility_DisplayArrayInTable(Fertiliser_SourceData.Fertiliser_Products_Data1(), FertiliserProducts[[#Headers],[Company]],1)</f>
        <v>2.5000000000000001E-2</v>
      </c>
      <c r="U97" s="192" t="str" cm="1">
        <f t="array" ref="U97">Common_InputFunctions.Utility_DisplayArrayInTable(Fertiliser_SourceData.Fertiliser_Products_Data1(), FertiliserProducts[[#Headers],[Company]],1)</f>
        <v/>
      </c>
      <c r="V97" s="192" t="str" cm="1">
        <f t="array" ref="V97">Common_InputFunctions.Utility_DisplayArrayInTable(Fertiliser_SourceData.Fertiliser_Products_Data1(), FertiliserProducts[[#Headers],[Company]],1)</f>
        <v/>
      </c>
      <c r="W97" s="192" t="str" cm="1">
        <f t="array" ref="W97">Common_InputFunctions.Utility_DisplayArrayInTable(Fertiliser_SourceData.Fertiliser_Products_Data1(), FertiliserProducts[[#Headers],[Company]],1)</f>
        <v/>
      </c>
      <c r="X97" s="192" t="str" cm="1">
        <f t="array" ref="X97">Common_InputFunctions.Utility_DisplayArrayInTable(Fertiliser_SourceData.Fertiliser_Products_Data1(), FertiliserProducts[[#Headers],[Company]],1)</f>
        <v/>
      </c>
      <c r="Y97" s="192" t="str" cm="1">
        <f t="array" ref="Y97">Common_InputFunctions.Utility_DisplayArrayInTable(Fertiliser_SourceData.Fertiliser_Products_Data1(), FertiliserProducts[[#Headers],[Company]],1)</f>
        <v/>
      </c>
      <c r="Z97" s="192" t="str" cm="1">
        <f t="array" ref="Z97">Common_InputFunctions.Utility_DisplayArrayInTable(Fertiliser_SourceData.Fertiliser_Products_Data1(), FertiliserProducts[[#Headers],[Company]],1)</f>
        <v/>
      </c>
      <c r="AA97" s="192" t="str" cm="1">
        <f t="array" ref="AA97">Common_InputFunctions.Utility_DisplayArrayInTable(Fertiliser_SourceData.Fertiliser_Products_Data1(), FertiliserProducts[[#Headers],[Company]],1)</f>
        <v/>
      </c>
      <c r="AB97" s="192" t="str" cm="1">
        <f t="array" ref="AB97">Common_InputFunctions.Utility_DisplayArrayInTable(Fertiliser_SourceData.Fertiliser_Products_Data1(), FertiliserProducts[[#Headers],[Company]],1)</f>
        <v/>
      </c>
      <c r="AC97" s="192" t="str" cm="1">
        <f t="array" ref="AC97">Common_InputFunctions.Utility_DisplayArrayInTable(Fertiliser_SourceData.Fertiliser_Products_Data1(), FertiliserProducts[[#Headers],[Company]],1)</f>
        <v/>
      </c>
      <c r="AD97" s="192" t="str" cm="1">
        <f t="array" ref="AD97">Common_InputFunctions.Utility_DisplayArrayInTable(Fertiliser_SourceData.Fertiliser_Products_Data1(), FertiliserProducts[[#Headers],[Company]],1)</f>
        <v/>
      </c>
      <c r="AE97" s="192" t="str" cm="1">
        <f t="array" ref="AE97">Common_InputFunctions.Utility_DisplayArrayInTable(Fertiliser_SourceData.Fertiliser_Products_Data1(), FertiliserProducts[[#Headers],[Company]],1)</f>
        <v/>
      </c>
      <c r="AF97" s="192" t="str" cm="1">
        <f t="array" ref="AF97">Common_InputFunctions.Utility_DisplayArrayInTable(Fertiliser_SourceData.Fertiliser_Products_Data1(), FertiliserProducts[[#Headers],[Company]],1)</f>
        <v/>
      </c>
      <c r="AG97" s="192" t="str" cm="1">
        <f t="array" ref="AG97">Common_InputFunctions.Utility_DisplayArrayInTable(Fertiliser_SourceData.Fertiliser_Products_Data1(), FertiliserProducts[[#Headers],[Company]],1)</f>
        <v/>
      </c>
      <c r="AH97" s="192" t="str" cm="1">
        <f t="array" ref="AH97">Common_InputFunctions.Utility_DisplayArrayInTable(Fertiliser_SourceData.Fertiliser_Products_Data1(), FertiliserProducts[[#Headers],[Company]],1)</f>
        <v/>
      </c>
      <c r="AK97" s="1"/>
      <c r="AL97" s="1"/>
      <c r="AM97" s="1"/>
    </row>
    <row r="98" spans="4:39" ht="20.100000000000001" customHeight="1" x14ac:dyDescent="0.25">
      <c r="D98" s="192" t="str" cm="1">
        <f t="array" ref="D98">Common_InputFunctions.Utility_DisplayArrayInTable(Fertiliser_SourceData.Fertiliser_Products_Data1(), FertiliserProducts[[#Headers],[Company]],1)</f>
        <v>Campbells fertilisers Australia</v>
      </c>
      <c r="E98" s="192" t="str" cm="1">
        <f t="array" ref="E98">Common_InputFunctions.Utility_DisplayArrayInTable(Fertiliser_SourceData.Fertiliser_Products_Data1(), FertiliserProducts[[#Headers],[Company]],1)</f>
        <v>Aqua Thio-Emerge</v>
      </c>
      <c r="F98" s="192" t="str" cm="1">
        <f t="array" ref="F98">Common_InputFunctions.Utility_DisplayArrayInTable(Fertiliser_SourceData.Fertiliser_Products_Data1(), FertiliserProducts[[#Headers],[Company]],1)</f>
        <v>L</v>
      </c>
      <c r="G98" s="192" cm="1">
        <f t="array" ref="G98">Common_InputFunctions.Utility_DisplayArrayInTable(Fertiliser_SourceData.Fertiliser_Products_Data1(), FertiliserProducts[[#Headers],[Company]],1)</f>
        <v>1.29</v>
      </c>
      <c r="H98" s="192" t="str" cm="1">
        <f t="array" ref="H98">Common_InputFunctions.Utility_DisplayArrayInTable(Fertiliser_SourceData.Fertiliser_Products_Data1(), FertiliserProducts[[#Headers],[Company]],1)</f>
        <v/>
      </c>
      <c r="I98" s="192" t="str" cm="1">
        <f t="array" ref="I98">Common_InputFunctions.Utility_DisplayArrayInTable(Fertiliser_SourceData.Fertiliser_Products_Data1(), FertiliserProducts[[#Headers],[Company]],1)</f>
        <v/>
      </c>
      <c r="J98" s="192" t="str" cm="1">
        <f t="array" ref="J98">Common_InputFunctions.Utility_DisplayArrayInTable(Fertiliser_SourceData.Fertiliser_Products_Data1(), FertiliserProducts[[#Headers],[Company]],1)</f>
        <v/>
      </c>
      <c r="K98" s="192" cm="1">
        <f t="array" ref="K98">Common_InputFunctions.Utility_DisplayArrayInTable(Fertiliser_SourceData.Fertiliser_Products_Data1(), FertiliserProducts[[#Headers],[Company]],1)</f>
        <v>10.5</v>
      </c>
      <c r="L98" s="192" cm="1">
        <f t="array" ref="L98">Common_InputFunctions.Utility_DisplayArrayInTable(Fertiliser_SourceData.Fertiliser_Products_Data1(), FertiliserProducts[[#Headers],[Company]],1)</f>
        <v>9.4</v>
      </c>
      <c r="M98" s="192" cm="1">
        <f t="array" ref="M98">Common_InputFunctions.Utility_DisplayArrayInTable(Fertiliser_SourceData.Fertiliser_Products_Data1(), FertiliserProducts[[#Headers],[Company]],1)</f>
        <v>4</v>
      </c>
      <c r="N98" s="192" cm="1">
        <f t="array" ref="N98">Common_InputFunctions.Utility_DisplayArrayInTable(Fertiliser_SourceData.Fertiliser_Products_Data1(), FertiliserProducts[[#Headers],[Company]],1)</f>
        <v>3</v>
      </c>
      <c r="O98" s="192" t="str" cm="1">
        <f t="array" ref="O98">Common_InputFunctions.Utility_DisplayArrayInTable(Fertiliser_SourceData.Fertiliser_Products_Data1(), FertiliserProducts[[#Headers],[Company]],1)</f>
        <v>Nitrogen - Generic</v>
      </c>
      <c r="P98" s="192" cm="1">
        <f t="array" ref="P98">Common_InputFunctions.Utility_DisplayArrayInTable(Fertiliser_SourceData.Fertiliser_Products_Data1(), FertiliserProducts[[#Headers],[Company]],1)</f>
        <v>0.105</v>
      </c>
      <c r="Q98" s="192" t="str" cm="1">
        <f t="array" ref="Q98">Common_InputFunctions.Utility_DisplayArrayInTable(Fertiliser_SourceData.Fertiliser_Products_Data1(), FertiliserProducts[[#Headers],[Company]],1)</f>
        <v>Phosphorus - Generic</v>
      </c>
      <c r="R98" s="192" cm="1">
        <f t="array" ref="R98">Common_InputFunctions.Utility_DisplayArrayInTable(Fertiliser_SourceData.Fertiliser_Products_Data1(), FertiliserProducts[[#Headers],[Company]],1)</f>
        <v>9.4E-2</v>
      </c>
      <c r="S98" s="192" t="str" cm="1">
        <f t="array" ref="S98">Common_InputFunctions.Utility_DisplayArrayInTable(Fertiliser_SourceData.Fertiliser_Products_Data1(), FertiliserProducts[[#Headers],[Company]],1)</f>
        <v>Potassium - Generic</v>
      </c>
      <c r="T98" s="192" cm="1">
        <f t="array" ref="T98">Common_InputFunctions.Utility_DisplayArrayInTable(Fertiliser_SourceData.Fertiliser_Products_Data1(), FertiliserProducts[[#Headers],[Company]],1)</f>
        <v>0.04</v>
      </c>
      <c r="U98" s="192" t="str" cm="1">
        <f t="array" ref="U98">Common_InputFunctions.Utility_DisplayArrayInTable(Fertiliser_SourceData.Fertiliser_Products_Data1(), FertiliserProducts[[#Headers],[Company]],1)</f>
        <v>Sulfur - Generic</v>
      </c>
      <c r="V98" s="192" cm="1">
        <f t="array" ref="V98">Common_InputFunctions.Utility_DisplayArrayInTable(Fertiliser_SourceData.Fertiliser_Products_Data1(), FertiliserProducts[[#Headers],[Company]],1)</f>
        <v>0.03</v>
      </c>
      <c r="W98" s="192" t="str" cm="1">
        <f t="array" ref="W98">Common_InputFunctions.Utility_DisplayArrayInTable(Fertiliser_SourceData.Fertiliser_Products_Data1(), FertiliserProducts[[#Headers],[Company]],1)</f>
        <v/>
      </c>
      <c r="X98" s="192" t="str" cm="1">
        <f t="array" ref="X98">Common_InputFunctions.Utility_DisplayArrayInTable(Fertiliser_SourceData.Fertiliser_Products_Data1(), FertiliserProducts[[#Headers],[Company]],1)</f>
        <v/>
      </c>
      <c r="Y98" s="192" t="str" cm="1">
        <f t="array" ref="Y98">Common_InputFunctions.Utility_DisplayArrayInTable(Fertiliser_SourceData.Fertiliser_Products_Data1(), FertiliserProducts[[#Headers],[Company]],1)</f>
        <v/>
      </c>
      <c r="Z98" s="192" t="str" cm="1">
        <f t="array" ref="Z98">Common_InputFunctions.Utility_DisplayArrayInTable(Fertiliser_SourceData.Fertiliser_Products_Data1(), FertiliserProducts[[#Headers],[Company]],1)</f>
        <v/>
      </c>
      <c r="AA98" s="192" t="str" cm="1">
        <f t="array" ref="AA98">Common_InputFunctions.Utility_DisplayArrayInTable(Fertiliser_SourceData.Fertiliser_Products_Data1(), FertiliserProducts[[#Headers],[Company]],1)</f>
        <v/>
      </c>
      <c r="AB98" s="192" t="str" cm="1">
        <f t="array" ref="AB98">Common_InputFunctions.Utility_DisplayArrayInTable(Fertiliser_SourceData.Fertiliser_Products_Data1(), FertiliserProducts[[#Headers],[Company]],1)</f>
        <v/>
      </c>
      <c r="AC98" s="192" t="str" cm="1">
        <f t="array" ref="AC98">Common_InputFunctions.Utility_DisplayArrayInTable(Fertiliser_SourceData.Fertiliser_Products_Data1(), FertiliserProducts[[#Headers],[Company]],1)</f>
        <v/>
      </c>
      <c r="AD98" s="192" t="str" cm="1">
        <f t="array" ref="AD98">Common_InputFunctions.Utility_DisplayArrayInTable(Fertiliser_SourceData.Fertiliser_Products_Data1(), FertiliserProducts[[#Headers],[Company]],1)</f>
        <v/>
      </c>
      <c r="AE98" s="192" t="str" cm="1">
        <f t="array" ref="AE98">Common_InputFunctions.Utility_DisplayArrayInTable(Fertiliser_SourceData.Fertiliser_Products_Data1(), FertiliserProducts[[#Headers],[Company]],1)</f>
        <v/>
      </c>
      <c r="AF98" s="192" t="str" cm="1">
        <f t="array" ref="AF98">Common_InputFunctions.Utility_DisplayArrayInTable(Fertiliser_SourceData.Fertiliser_Products_Data1(), FertiliserProducts[[#Headers],[Company]],1)</f>
        <v/>
      </c>
      <c r="AG98" s="192" t="str" cm="1">
        <f t="array" ref="AG98">Common_InputFunctions.Utility_DisplayArrayInTable(Fertiliser_SourceData.Fertiliser_Products_Data1(), FertiliserProducts[[#Headers],[Company]],1)</f>
        <v/>
      </c>
      <c r="AH98" s="192" t="str" cm="1">
        <f t="array" ref="AH98">Common_InputFunctions.Utility_DisplayArrayInTable(Fertiliser_SourceData.Fertiliser_Products_Data1(), FertiliserProducts[[#Headers],[Company]],1)</f>
        <v/>
      </c>
      <c r="AK98" s="1"/>
      <c r="AL98" s="1"/>
      <c r="AM98" s="1"/>
    </row>
    <row r="99" spans="4:39" ht="20.100000000000001" customHeight="1" x14ac:dyDescent="0.25">
      <c r="D99" s="192" t="str" cm="1">
        <f t="array" ref="D99">Common_InputFunctions.Utility_DisplayArrayInTable(Fertiliser_SourceData.Fertiliser_Products_Data1(), FertiliserProducts[[#Headers],[Company]],1)</f>
        <v>Campbells fertilisers Australia</v>
      </c>
      <c r="E99" s="192" t="str" cm="1">
        <f t="array" ref="E99">Common_InputFunctions.Utility_DisplayArrayInTable(Fertiliser_SourceData.Fertiliser_Products_Data1(), FertiliserProducts[[#Headers],[Company]],1)</f>
        <v>Aqua Thio-Flourish</v>
      </c>
      <c r="F99" s="192" t="str" cm="1">
        <f t="array" ref="F99">Common_InputFunctions.Utility_DisplayArrayInTable(Fertiliser_SourceData.Fertiliser_Products_Data1(), FertiliserProducts[[#Headers],[Company]],1)</f>
        <v>L</v>
      </c>
      <c r="G99" s="192" cm="1">
        <f t="array" ref="G99">Common_InputFunctions.Utility_DisplayArrayInTable(Fertiliser_SourceData.Fertiliser_Products_Data1(), FertiliserProducts[[#Headers],[Company]],1)</f>
        <v>1.32</v>
      </c>
      <c r="H99" s="192" t="str" cm="1">
        <f t="array" ref="H99">Common_InputFunctions.Utility_DisplayArrayInTable(Fertiliser_SourceData.Fertiliser_Products_Data1(), FertiliserProducts[[#Headers],[Company]],1)</f>
        <v/>
      </c>
      <c r="I99" s="192" t="str" cm="1">
        <f t="array" ref="I99">Common_InputFunctions.Utility_DisplayArrayInTable(Fertiliser_SourceData.Fertiliser_Products_Data1(), FertiliserProducts[[#Headers],[Company]],1)</f>
        <v/>
      </c>
      <c r="J99" s="192" t="str" cm="1">
        <f t="array" ref="J99">Common_InputFunctions.Utility_DisplayArrayInTable(Fertiliser_SourceData.Fertiliser_Products_Data1(), FertiliserProducts[[#Headers],[Company]],1)</f>
        <v/>
      </c>
      <c r="K99" s="192" cm="1">
        <f t="array" ref="K99">Common_InputFunctions.Utility_DisplayArrayInTable(Fertiliser_SourceData.Fertiliser_Products_Data1(), FertiliserProducts[[#Headers],[Company]],1)</f>
        <v>9.5</v>
      </c>
      <c r="L99" s="192" cm="1">
        <f t="array" ref="L99">Common_InputFunctions.Utility_DisplayArrayInTable(Fertiliser_SourceData.Fertiliser_Products_Data1(), FertiliserProducts[[#Headers],[Company]],1)</f>
        <v>4.7</v>
      </c>
      <c r="M99" s="192" cm="1">
        <f t="array" ref="M99">Common_InputFunctions.Utility_DisplayArrayInTable(Fertiliser_SourceData.Fertiliser_Products_Data1(), FertiliserProducts[[#Headers],[Company]],1)</f>
        <v>10.8</v>
      </c>
      <c r="N99" s="192" cm="1">
        <f t="array" ref="N99">Common_InputFunctions.Utility_DisplayArrayInTable(Fertiliser_SourceData.Fertiliser_Products_Data1(), FertiliserProducts[[#Headers],[Company]],1)</f>
        <v>8.1</v>
      </c>
      <c r="O99" s="192" t="str" cm="1">
        <f t="array" ref="O99">Common_InputFunctions.Utility_DisplayArrayInTable(Fertiliser_SourceData.Fertiliser_Products_Data1(), FertiliserProducts[[#Headers],[Company]],1)</f>
        <v>Potassium - Generic</v>
      </c>
      <c r="P99" s="192" cm="1">
        <f t="array" ref="P99">Common_InputFunctions.Utility_DisplayArrayInTable(Fertiliser_SourceData.Fertiliser_Products_Data1(), FertiliserProducts[[#Headers],[Company]],1)</f>
        <v>0.108</v>
      </c>
      <c r="Q99" s="192" t="str" cm="1">
        <f t="array" ref="Q99">Common_InputFunctions.Utility_DisplayArrayInTable(Fertiliser_SourceData.Fertiliser_Products_Data1(), FertiliserProducts[[#Headers],[Company]],1)</f>
        <v>Nitrogen - Generic</v>
      </c>
      <c r="R99" s="192" cm="1">
        <f t="array" ref="R99">Common_InputFunctions.Utility_DisplayArrayInTable(Fertiliser_SourceData.Fertiliser_Products_Data1(), FertiliserProducts[[#Headers],[Company]],1)</f>
        <v>9.5000000000000001E-2</v>
      </c>
      <c r="S99" s="192" t="str" cm="1">
        <f t="array" ref="S99">Common_InputFunctions.Utility_DisplayArrayInTable(Fertiliser_SourceData.Fertiliser_Products_Data1(), FertiliserProducts[[#Headers],[Company]],1)</f>
        <v>Sulfur - Generic</v>
      </c>
      <c r="T99" s="192" cm="1">
        <f t="array" ref="T99">Common_InputFunctions.Utility_DisplayArrayInTable(Fertiliser_SourceData.Fertiliser_Products_Data1(), FertiliserProducts[[#Headers],[Company]],1)</f>
        <v>8.1000000000000003E-2</v>
      </c>
      <c r="U99" s="192" t="str" cm="1">
        <f t="array" ref="U99">Common_InputFunctions.Utility_DisplayArrayInTable(Fertiliser_SourceData.Fertiliser_Products_Data1(), FertiliserProducts[[#Headers],[Company]],1)</f>
        <v>Phosphorus - Generic</v>
      </c>
      <c r="V99" s="192" cm="1">
        <f t="array" ref="V99">Common_InputFunctions.Utility_DisplayArrayInTable(Fertiliser_SourceData.Fertiliser_Products_Data1(), FertiliserProducts[[#Headers],[Company]],1)</f>
        <v>4.7E-2</v>
      </c>
      <c r="W99" s="192" t="str" cm="1">
        <f t="array" ref="W99">Common_InputFunctions.Utility_DisplayArrayInTable(Fertiliser_SourceData.Fertiliser_Products_Data1(), FertiliserProducts[[#Headers],[Company]],1)</f>
        <v/>
      </c>
      <c r="X99" s="192" t="str" cm="1">
        <f t="array" ref="X99">Common_InputFunctions.Utility_DisplayArrayInTable(Fertiliser_SourceData.Fertiliser_Products_Data1(), FertiliserProducts[[#Headers],[Company]],1)</f>
        <v/>
      </c>
      <c r="Y99" s="192" t="str" cm="1">
        <f t="array" ref="Y99">Common_InputFunctions.Utility_DisplayArrayInTable(Fertiliser_SourceData.Fertiliser_Products_Data1(), FertiliserProducts[[#Headers],[Company]],1)</f>
        <v/>
      </c>
      <c r="Z99" s="192" t="str" cm="1">
        <f t="array" ref="Z99">Common_InputFunctions.Utility_DisplayArrayInTable(Fertiliser_SourceData.Fertiliser_Products_Data1(), FertiliserProducts[[#Headers],[Company]],1)</f>
        <v/>
      </c>
      <c r="AA99" s="192" t="str" cm="1">
        <f t="array" ref="AA99">Common_InputFunctions.Utility_DisplayArrayInTable(Fertiliser_SourceData.Fertiliser_Products_Data1(), FertiliserProducts[[#Headers],[Company]],1)</f>
        <v/>
      </c>
      <c r="AB99" s="192" t="str" cm="1">
        <f t="array" ref="AB99">Common_InputFunctions.Utility_DisplayArrayInTable(Fertiliser_SourceData.Fertiliser_Products_Data1(), FertiliserProducts[[#Headers],[Company]],1)</f>
        <v/>
      </c>
      <c r="AC99" s="192" t="str" cm="1">
        <f t="array" ref="AC99">Common_InputFunctions.Utility_DisplayArrayInTable(Fertiliser_SourceData.Fertiliser_Products_Data1(), FertiliserProducts[[#Headers],[Company]],1)</f>
        <v/>
      </c>
      <c r="AD99" s="192" t="str" cm="1">
        <f t="array" ref="AD99">Common_InputFunctions.Utility_DisplayArrayInTable(Fertiliser_SourceData.Fertiliser_Products_Data1(), FertiliserProducts[[#Headers],[Company]],1)</f>
        <v/>
      </c>
      <c r="AE99" s="192" t="str" cm="1">
        <f t="array" ref="AE99">Common_InputFunctions.Utility_DisplayArrayInTable(Fertiliser_SourceData.Fertiliser_Products_Data1(), FertiliserProducts[[#Headers],[Company]],1)</f>
        <v/>
      </c>
      <c r="AF99" s="192" t="str" cm="1">
        <f t="array" ref="AF99">Common_InputFunctions.Utility_DisplayArrayInTable(Fertiliser_SourceData.Fertiliser_Products_Data1(), FertiliserProducts[[#Headers],[Company]],1)</f>
        <v/>
      </c>
      <c r="AG99" s="192" t="str" cm="1">
        <f t="array" ref="AG99">Common_InputFunctions.Utility_DisplayArrayInTable(Fertiliser_SourceData.Fertiliser_Products_Data1(), FertiliserProducts[[#Headers],[Company]],1)</f>
        <v/>
      </c>
      <c r="AH99" s="192" t="str" cm="1">
        <f t="array" ref="AH99">Common_InputFunctions.Utility_DisplayArrayInTable(Fertiliser_SourceData.Fertiliser_Products_Data1(), FertiliserProducts[[#Headers],[Company]],1)</f>
        <v/>
      </c>
      <c r="AK99" s="1"/>
      <c r="AL99" s="1"/>
      <c r="AM99" s="1"/>
    </row>
    <row r="100" spans="4:39" ht="20.100000000000001" customHeight="1" x14ac:dyDescent="0.25">
      <c r="D100" s="192" t="str" cm="1">
        <f t="array" ref="D100">Common_InputFunctions.Utility_DisplayArrayInTable(Fertiliser_SourceData.Fertiliser_Products_Data1(), FertiliserProducts[[#Headers],[Company]],1)</f>
        <v>Campbells fertilisers Australia</v>
      </c>
      <c r="E100" s="192" t="str" cm="1">
        <f t="array" ref="E100">Common_InputFunctions.Utility_DisplayArrayInTable(Fertiliser_SourceData.Fertiliser_Products_Data1(), FertiliserProducts[[#Headers],[Company]],1)</f>
        <v>Boost-It</v>
      </c>
      <c r="F100" s="192" t="str" cm="1">
        <f t="array" ref="F100">Common_InputFunctions.Utility_DisplayArrayInTable(Fertiliser_SourceData.Fertiliser_Products_Data1(), FertiliserProducts[[#Headers],[Company]],1)</f>
        <v>kg</v>
      </c>
      <c r="G100" s="192" cm="1">
        <f t="array" ref="G100">Common_InputFunctions.Utility_DisplayArrayInTable(Fertiliser_SourceData.Fertiliser_Products_Data1(), FertiliserProducts[[#Headers],[Company]],1)</f>
        <v>1</v>
      </c>
      <c r="H100" s="192" t="str" cm="1">
        <f t="array" ref="H100">Common_InputFunctions.Utility_DisplayArrayInTable(Fertiliser_SourceData.Fertiliser_Products_Data1(), FertiliserProducts[[#Headers],[Company]],1)</f>
        <v/>
      </c>
      <c r="I100" s="192" t="str" cm="1">
        <f t="array" ref="I100">Common_InputFunctions.Utility_DisplayArrayInTable(Fertiliser_SourceData.Fertiliser_Products_Data1(), FertiliserProducts[[#Headers],[Company]],1)</f>
        <v/>
      </c>
      <c r="J100" s="192" t="str" cm="1">
        <f t="array" ref="J100">Common_InputFunctions.Utility_DisplayArrayInTable(Fertiliser_SourceData.Fertiliser_Products_Data1(), FertiliserProducts[[#Headers],[Company]],1)</f>
        <v/>
      </c>
      <c r="K100" s="192" cm="1">
        <f t="array" ref="K100">Common_InputFunctions.Utility_DisplayArrayInTable(Fertiliser_SourceData.Fertiliser_Products_Data1(), FertiliserProducts[[#Headers],[Company]],1)</f>
        <v>24</v>
      </c>
      <c r="L100" s="192" cm="1">
        <f t="array" ref="L100">Common_InputFunctions.Utility_DisplayArrayInTable(Fertiliser_SourceData.Fertiliser_Products_Data1(), FertiliserProducts[[#Headers],[Company]],1)</f>
        <v>5.2</v>
      </c>
      <c r="M100" s="192" cm="1">
        <f t="array" ref="M100">Common_InputFunctions.Utility_DisplayArrayInTable(Fertiliser_SourceData.Fertiliser_Products_Data1(), FertiliserProducts[[#Headers],[Company]],1)</f>
        <v>8</v>
      </c>
      <c r="N100" s="192" cm="1">
        <f t="array" ref="N100">Common_InputFunctions.Utility_DisplayArrayInTable(Fertiliser_SourceData.Fertiliser_Products_Data1(), FertiliserProducts[[#Headers],[Company]],1)</f>
        <v>5.3</v>
      </c>
      <c r="O100" s="192" t="str" cm="1">
        <f t="array" ref="O100">Common_InputFunctions.Utility_DisplayArrayInTable(Fertiliser_SourceData.Fertiliser_Products_Data1(), FertiliserProducts[[#Headers],[Company]],1)</f>
        <v>Urea</v>
      </c>
      <c r="P100" s="192" cm="1">
        <f t="array" ref="P100">Common_InputFunctions.Utility_DisplayArrayInTable(Fertiliser_SourceData.Fertiliser_Products_Data1(), FertiliserProducts[[#Headers],[Company]],1)</f>
        <v>0.52173899999999995</v>
      </c>
      <c r="Q100" s="192" t="str" cm="1">
        <f t="array" ref="Q100">Common_InputFunctions.Utility_DisplayArrayInTable(Fertiliser_SourceData.Fertiliser_Products_Data1(), FertiliserProducts[[#Headers],[Company]],1)</f>
        <v>Potassium - Generic</v>
      </c>
      <c r="R100" s="192" cm="1">
        <f t="array" ref="R100">Common_InputFunctions.Utility_DisplayArrayInTable(Fertiliser_SourceData.Fertiliser_Products_Data1(), FertiliserProducts[[#Headers],[Company]],1)</f>
        <v>0.08</v>
      </c>
      <c r="S100" s="192" t="str" cm="1">
        <f t="array" ref="S100">Common_InputFunctions.Utility_DisplayArrayInTable(Fertiliser_SourceData.Fertiliser_Products_Data1(), FertiliserProducts[[#Headers],[Company]],1)</f>
        <v>Sulfur - Generic</v>
      </c>
      <c r="T100" s="192" cm="1">
        <f t="array" ref="T100">Common_InputFunctions.Utility_DisplayArrayInTable(Fertiliser_SourceData.Fertiliser_Products_Data1(), FertiliserProducts[[#Headers],[Company]],1)</f>
        <v>5.2999999999999999E-2</v>
      </c>
      <c r="U100" s="192" t="str" cm="1">
        <f t="array" ref="U100">Common_InputFunctions.Utility_DisplayArrayInTable(Fertiliser_SourceData.Fertiliser_Products_Data1(), FertiliserProducts[[#Headers],[Company]],1)</f>
        <v>Phosphorus - Generic</v>
      </c>
      <c r="V100" s="192" cm="1">
        <f t="array" ref="V100">Common_InputFunctions.Utility_DisplayArrayInTable(Fertiliser_SourceData.Fertiliser_Products_Data1(), FertiliserProducts[[#Headers],[Company]],1)</f>
        <v>5.1999999999999998E-2</v>
      </c>
      <c r="W100" s="192" t="str" cm="1">
        <f t="array" ref="W100">Common_InputFunctions.Utility_DisplayArrayInTable(Fertiliser_SourceData.Fertiliser_Products_Data1(), FertiliserProducts[[#Headers],[Company]],1)</f>
        <v>Magnesium</v>
      </c>
      <c r="X100" s="192" cm="1">
        <f t="array" ref="X100">Common_InputFunctions.Utility_DisplayArrayInTable(Fertiliser_SourceData.Fertiliser_Products_Data1(), FertiliserProducts[[#Headers],[Company]],1)</f>
        <v>1.2999999999999999E-2</v>
      </c>
      <c r="Y100" s="192" t="str" cm="1">
        <f t="array" ref="Y100">Common_InputFunctions.Utility_DisplayArrayInTable(Fertiliser_SourceData.Fertiliser_Products_Data1(), FertiliserProducts[[#Headers],[Company]],1)</f>
        <v>Zinc</v>
      </c>
      <c r="Z100" s="192" cm="1">
        <f t="array" ref="Z100">Common_InputFunctions.Utility_DisplayArrayInTable(Fertiliser_SourceData.Fertiliser_Products_Data1(), FertiliserProducts[[#Headers],[Company]],1)</f>
        <v>2E-3</v>
      </c>
      <c r="AA100" s="192" t="str" cm="1">
        <f t="array" ref="AA100">Common_InputFunctions.Utility_DisplayArrayInTable(Fertiliser_SourceData.Fertiliser_Products_Data1(), FertiliserProducts[[#Headers],[Company]],1)</f>
        <v>Manganese</v>
      </c>
      <c r="AB100" s="192" cm="1">
        <f t="array" ref="AB100">Common_InputFunctions.Utility_DisplayArrayInTable(Fertiliser_SourceData.Fertiliser_Products_Data1(), FertiliserProducts[[#Headers],[Company]],1)</f>
        <v>3.5000000000000001E-3</v>
      </c>
      <c r="AC100" s="192" t="str" cm="1">
        <f t="array" ref="AC100">Common_InputFunctions.Utility_DisplayArrayInTable(Fertiliser_SourceData.Fertiliser_Products_Data1(), FertiliserProducts[[#Headers],[Company]],1)</f>
        <v>Iron</v>
      </c>
      <c r="AD100" s="192" cm="1">
        <f t="array" ref="AD100">Common_InputFunctions.Utility_DisplayArrayInTable(Fertiliser_SourceData.Fertiliser_Products_Data1(), FertiliserProducts[[#Headers],[Company]],1)</f>
        <v>1.2999999999999999E-3</v>
      </c>
      <c r="AE100" s="192" t="str" cm="1">
        <f t="array" ref="AE100">Common_InputFunctions.Utility_DisplayArrayInTable(Fertiliser_SourceData.Fertiliser_Products_Data1(), FertiliserProducts[[#Headers],[Company]],1)</f>
        <v>Copper</v>
      </c>
      <c r="AF100" s="192" cm="1">
        <f t="array" ref="AF100">Common_InputFunctions.Utility_DisplayArrayInTable(Fertiliser_SourceData.Fertiliser_Products_Data1(), FertiliserProducts[[#Headers],[Company]],1)</f>
        <v>6.9999999999999999E-4</v>
      </c>
      <c r="AG100" s="192" t="str" cm="1">
        <f t="array" ref="AG100">Common_InputFunctions.Utility_DisplayArrayInTable(Fertiliser_SourceData.Fertiliser_Products_Data1(), FertiliserProducts[[#Headers],[Company]],1)</f>
        <v>Boron</v>
      </c>
      <c r="AH100" s="192" cm="1">
        <f t="array" ref="AH100">Common_InputFunctions.Utility_DisplayArrayInTable(Fertiliser_SourceData.Fertiliser_Products_Data1(), FertiliserProducts[[#Headers],[Company]],1)</f>
        <v>6.9999999999999999E-4</v>
      </c>
      <c r="AK100" s="1"/>
      <c r="AL100" s="1"/>
      <c r="AM100" s="1"/>
    </row>
    <row r="101" spans="4:39" ht="20.100000000000001" customHeight="1" x14ac:dyDescent="0.25">
      <c r="D101" s="192" t="str" cm="1">
        <f t="array" ref="D101">Common_InputFunctions.Utility_DisplayArrayInTable(Fertiliser_SourceData.Fertiliser_Products_Data1(), FertiliserProducts[[#Headers],[Company]],1)</f>
        <v>Campbells fertilisers Australia</v>
      </c>
      <c r="E101" s="192" t="str" cm="1">
        <f t="array" ref="E101">Common_InputFunctions.Utility_DisplayArrayInTable(Fertiliser_SourceData.Fertiliser_Products_Data1(), FertiliserProducts[[#Headers],[Company]],1)</f>
        <v>Bronze</v>
      </c>
      <c r="F101" s="192" t="str" cm="1">
        <f t="array" ref="F101">Common_InputFunctions.Utility_DisplayArrayInTable(Fertiliser_SourceData.Fertiliser_Products_Data1(), FertiliserProducts[[#Headers],[Company]],1)</f>
        <v>kg</v>
      </c>
      <c r="G101" s="192" cm="1">
        <f t="array" ref="G101">Common_InputFunctions.Utility_DisplayArrayInTable(Fertiliser_SourceData.Fertiliser_Products_Data1(), FertiliserProducts[[#Headers],[Company]],1)</f>
        <v>1</v>
      </c>
      <c r="H101" s="192" t="str" cm="1">
        <f t="array" ref="H101">Common_InputFunctions.Utility_DisplayArrayInTable(Fertiliser_SourceData.Fertiliser_Products_Data1(), FertiliserProducts[[#Headers],[Company]],1)</f>
        <v/>
      </c>
      <c r="I101" s="192" t="str" cm="1">
        <f t="array" ref="I101">Common_InputFunctions.Utility_DisplayArrayInTable(Fertiliser_SourceData.Fertiliser_Products_Data1(), FertiliserProducts[[#Headers],[Company]],1)</f>
        <v/>
      </c>
      <c r="J101" s="192" t="str" cm="1">
        <f t="array" ref="J101">Common_InputFunctions.Utility_DisplayArrayInTable(Fertiliser_SourceData.Fertiliser_Products_Data1(), FertiliserProducts[[#Headers],[Company]],1)</f>
        <v/>
      </c>
      <c r="K101" s="192" cm="1">
        <f t="array" ref="K101">Common_InputFunctions.Utility_DisplayArrayInTable(Fertiliser_SourceData.Fertiliser_Products_Data1(), FertiliserProducts[[#Headers],[Company]],1)</f>
        <v>17</v>
      </c>
      <c r="L101" s="192" cm="1">
        <f t="array" ref="L101">Common_InputFunctions.Utility_DisplayArrayInTable(Fertiliser_SourceData.Fertiliser_Products_Data1(), FertiliserProducts[[#Headers],[Company]],1)</f>
        <v>0.04</v>
      </c>
      <c r="M101" s="192" cm="1">
        <f t="array" ref="M101">Common_InputFunctions.Utility_DisplayArrayInTable(Fertiliser_SourceData.Fertiliser_Products_Data1(), FertiliserProducts[[#Headers],[Company]],1)</f>
        <v>11.6</v>
      </c>
      <c r="N101" s="192" cm="1">
        <f t="array" ref="N101">Common_InputFunctions.Utility_DisplayArrayInTable(Fertiliser_SourceData.Fertiliser_Products_Data1(), FertiliserProducts[[#Headers],[Company]],1)</f>
        <v>0.5</v>
      </c>
      <c r="O101" s="192" t="str" cm="1">
        <f t="array" ref="O101">Common_InputFunctions.Utility_DisplayArrayInTable(Fertiliser_SourceData.Fertiliser_Products_Data1(), FertiliserProducts[[#Headers],[Company]],1)</f>
        <v>Muriate of potash (MOP)</v>
      </c>
      <c r="P101" s="192" cm="1">
        <f t="array" ref="P101">Common_InputFunctions.Utility_DisplayArrayInTable(Fertiliser_SourceData.Fertiliser_Products_Data1(), FertiliserProducts[[#Headers],[Company]],1)</f>
        <v>0.23200000000000001</v>
      </c>
      <c r="Q101" s="192" t="str" cm="1">
        <f t="array" ref="Q101">Common_InputFunctions.Utility_DisplayArrayInTable(Fertiliser_SourceData.Fertiliser_Products_Data1(), FertiliserProducts[[#Headers],[Company]],1)</f>
        <v>Nitrogen - Generic</v>
      </c>
      <c r="R101" s="192" cm="1">
        <f t="array" ref="R101">Common_InputFunctions.Utility_DisplayArrayInTable(Fertiliser_SourceData.Fertiliser_Products_Data1(), FertiliserProducts[[#Headers],[Company]],1)</f>
        <v>0.17</v>
      </c>
      <c r="S101" s="192" t="str" cm="1">
        <f t="array" ref="S101">Common_InputFunctions.Utility_DisplayArrayInTable(Fertiliser_SourceData.Fertiliser_Products_Data1(), FertiliserProducts[[#Headers],[Company]],1)</f>
        <v>Sulfur - Generic</v>
      </c>
      <c r="T101" s="192" cm="1">
        <f t="array" ref="T101">Common_InputFunctions.Utility_DisplayArrayInTable(Fertiliser_SourceData.Fertiliser_Products_Data1(), FertiliserProducts[[#Headers],[Company]],1)</f>
        <v>5.0000000000000001E-3</v>
      </c>
      <c r="U101" s="192" t="str" cm="1">
        <f t="array" ref="U101">Common_InputFunctions.Utility_DisplayArrayInTable(Fertiliser_SourceData.Fertiliser_Products_Data1(), FertiliserProducts[[#Headers],[Company]],1)</f>
        <v>Magnesium</v>
      </c>
      <c r="V101" s="192" cm="1">
        <f t="array" ref="V101">Common_InputFunctions.Utility_DisplayArrayInTable(Fertiliser_SourceData.Fertiliser_Products_Data1(), FertiliserProducts[[#Headers],[Company]],1)</f>
        <v>2.3999999999999998E-3</v>
      </c>
      <c r="W101" s="192" t="str" cm="1">
        <f t="array" ref="W101">Common_InputFunctions.Utility_DisplayArrayInTable(Fertiliser_SourceData.Fertiliser_Products_Data1(), FertiliserProducts[[#Headers],[Company]],1)</f>
        <v>Phosphorus - Generic</v>
      </c>
      <c r="X101" s="192" cm="1">
        <f t="array" ref="X101">Common_InputFunctions.Utility_DisplayArrayInTable(Fertiliser_SourceData.Fertiliser_Products_Data1(), FertiliserProducts[[#Headers],[Company]],1)</f>
        <v>4.0000000000000002E-4</v>
      </c>
      <c r="Y101" s="192" t="str" cm="1">
        <f t="array" ref="Y101">Common_InputFunctions.Utility_DisplayArrayInTable(Fertiliser_SourceData.Fertiliser_Products_Data1(), FertiliserProducts[[#Headers],[Company]],1)</f>
        <v/>
      </c>
      <c r="Z101" s="192" t="str" cm="1">
        <f t="array" ref="Z101">Common_InputFunctions.Utility_DisplayArrayInTable(Fertiliser_SourceData.Fertiliser_Products_Data1(), FertiliserProducts[[#Headers],[Company]],1)</f>
        <v/>
      </c>
      <c r="AA101" s="192" t="str" cm="1">
        <f t="array" ref="AA101">Common_InputFunctions.Utility_DisplayArrayInTable(Fertiliser_SourceData.Fertiliser_Products_Data1(), FertiliserProducts[[#Headers],[Company]],1)</f>
        <v/>
      </c>
      <c r="AB101" s="192" t="str" cm="1">
        <f t="array" ref="AB101">Common_InputFunctions.Utility_DisplayArrayInTable(Fertiliser_SourceData.Fertiliser_Products_Data1(), FertiliserProducts[[#Headers],[Company]],1)</f>
        <v/>
      </c>
      <c r="AC101" s="192" t="str" cm="1">
        <f t="array" ref="AC101">Common_InputFunctions.Utility_DisplayArrayInTable(Fertiliser_SourceData.Fertiliser_Products_Data1(), FertiliserProducts[[#Headers],[Company]],1)</f>
        <v/>
      </c>
      <c r="AD101" s="192" t="str" cm="1">
        <f t="array" ref="AD101">Common_InputFunctions.Utility_DisplayArrayInTable(Fertiliser_SourceData.Fertiliser_Products_Data1(), FertiliserProducts[[#Headers],[Company]],1)</f>
        <v/>
      </c>
      <c r="AE101" s="192" t="str" cm="1">
        <f t="array" ref="AE101">Common_InputFunctions.Utility_DisplayArrayInTable(Fertiliser_SourceData.Fertiliser_Products_Data1(), FertiliserProducts[[#Headers],[Company]],1)</f>
        <v/>
      </c>
      <c r="AF101" s="192" t="str" cm="1">
        <f t="array" ref="AF101">Common_InputFunctions.Utility_DisplayArrayInTable(Fertiliser_SourceData.Fertiliser_Products_Data1(), FertiliserProducts[[#Headers],[Company]],1)</f>
        <v/>
      </c>
      <c r="AG101" s="192" t="str" cm="1">
        <f t="array" ref="AG101">Common_InputFunctions.Utility_DisplayArrayInTable(Fertiliser_SourceData.Fertiliser_Products_Data1(), FertiliserProducts[[#Headers],[Company]],1)</f>
        <v/>
      </c>
      <c r="AH101" s="192" t="str" cm="1">
        <f t="array" ref="AH101">Common_InputFunctions.Utility_DisplayArrayInTable(Fertiliser_SourceData.Fertiliser_Products_Data1(), FertiliserProducts[[#Headers],[Company]],1)</f>
        <v/>
      </c>
      <c r="AK101" s="1"/>
      <c r="AL101" s="1"/>
      <c r="AM101" s="1"/>
    </row>
    <row r="102" spans="4:39" ht="20.100000000000001" customHeight="1" x14ac:dyDescent="0.25">
      <c r="D102" s="192" t="str" cm="1">
        <f t="array" ref="D102">Common_InputFunctions.Utility_DisplayArrayInTable(Fertiliser_SourceData.Fertiliser_Products_Data1(), FertiliserProducts[[#Headers],[Company]],1)</f>
        <v>Campbells fertilisers Australia</v>
      </c>
      <c r="E102" s="192" t="str" cm="1">
        <f t="array" ref="E102">Common_InputFunctions.Utility_DisplayArrayInTable(Fertiliser_SourceData.Fertiliser_Products_Data1(), FertiliserProducts[[#Headers],[Company]],1)</f>
        <v>Calbit C</v>
      </c>
      <c r="F102" s="192" t="str" cm="1">
        <f t="array" ref="F102">Common_InputFunctions.Utility_DisplayArrayInTable(Fertiliser_SourceData.Fertiliser_Products_Data1(), FertiliserProducts[[#Headers],[Company]],1)</f>
        <v>L</v>
      </c>
      <c r="G102" s="192" cm="1">
        <f t="array" ref="G102">Common_InputFunctions.Utility_DisplayArrayInTable(Fertiliser_SourceData.Fertiliser_Products_Data1(), FertiliserProducts[[#Headers],[Company]],1)</f>
        <v>1.45</v>
      </c>
      <c r="H102" s="192" t="str" cm="1">
        <f t="array" ref="H102">Common_InputFunctions.Utility_DisplayArrayInTable(Fertiliser_SourceData.Fertiliser_Products_Data1(), FertiliserProducts[[#Headers],[Company]],1)</f>
        <v/>
      </c>
      <c r="I102" s="192" t="str" cm="1">
        <f t="array" ref="I102">Common_InputFunctions.Utility_DisplayArrayInTable(Fertiliser_SourceData.Fertiliser_Products_Data1(), FertiliserProducts[[#Headers],[Company]],1)</f>
        <v/>
      </c>
      <c r="J102" s="192" t="str" cm="1">
        <f t="array" ref="J102">Common_InputFunctions.Utility_DisplayArrayInTable(Fertiliser_SourceData.Fertiliser_Products_Data1(), FertiliserProducts[[#Headers],[Company]],1)</f>
        <v/>
      </c>
      <c r="K102" s="192" t="str" cm="1">
        <f t="array" ref="K102">Common_InputFunctions.Utility_DisplayArrayInTable(Fertiliser_SourceData.Fertiliser_Products_Data1(), FertiliserProducts[[#Headers],[Company]],1)</f>
        <v/>
      </c>
      <c r="L102" s="192" t="str" cm="1">
        <f t="array" ref="L102">Common_InputFunctions.Utility_DisplayArrayInTable(Fertiliser_SourceData.Fertiliser_Products_Data1(), FertiliserProducts[[#Headers],[Company]],1)</f>
        <v/>
      </c>
      <c r="M102" s="192" t="str" cm="1">
        <f t="array" ref="M102">Common_InputFunctions.Utility_DisplayArrayInTable(Fertiliser_SourceData.Fertiliser_Products_Data1(), FertiliserProducts[[#Headers],[Company]],1)</f>
        <v/>
      </c>
      <c r="N102" s="192" t="str" cm="1">
        <f t="array" ref="N102">Common_InputFunctions.Utility_DisplayArrayInTable(Fertiliser_SourceData.Fertiliser_Products_Data1(), FertiliserProducts[[#Headers],[Company]],1)</f>
        <v/>
      </c>
      <c r="O102" s="192" t="str" cm="1">
        <f t="array" ref="O102">Common_InputFunctions.Utility_DisplayArrayInTable(Fertiliser_SourceData.Fertiliser_Products_Data1(), FertiliserProducts[[#Headers],[Company]],1)</f>
        <v>Calcium</v>
      </c>
      <c r="P102" s="192" cm="1">
        <f t="array" ref="P102">Common_InputFunctions.Utility_DisplayArrayInTable(Fertiliser_SourceData.Fertiliser_Products_Data1(), FertiliserProducts[[#Headers],[Company]],1)</f>
        <v>0.107</v>
      </c>
      <c r="Q102" s="192" t="str" cm="1">
        <f t="array" ref="Q102">Common_InputFunctions.Utility_DisplayArrayInTable(Fertiliser_SourceData.Fertiliser_Products_Data1(), FertiliserProducts[[#Headers],[Company]],1)</f>
        <v/>
      </c>
      <c r="R102" s="192" t="str" cm="1">
        <f t="array" ref="R102">Common_InputFunctions.Utility_DisplayArrayInTable(Fertiliser_SourceData.Fertiliser_Products_Data1(), FertiliserProducts[[#Headers],[Company]],1)</f>
        <v/>
      </c>
      <c r="S102" s="192" t="str" cm="1">
        <f t="array" ref="S102">Common_InputFunctions.Utility_DisplayArrayInTable(Fertiliser_SourceData.Fertiliser_Products_Data1(), FertiliserProducts[[#Headers],[Company]],1)</f>
        <v/>
      </c>
      <c r="T102" s="192" t="str" cm="1">
        <f t="array" ref="T102">Common_InputFunctions.Utility_DisplayArrayInTable(Fertiliser_SourceData.Fertiliser_Products_Data1(), FertiliserProducts[[#Headers],[Company]],1)</f>
        <v/>
      </c>
      <c r="U102" s="192" t="str" cm="1">
        <f t="array" ref="U102">Common_InputFunctions.Utility_DisplayArrayInTable(Fertiliser_SourceData.Fertiliser_Products_Data1(), FertiliserProducts[[#Headers],[Company]],1)</f>
        <v/>
      </c>
      <c r="V102" s="192" t="str" cm="1">
        <f t="array" ref="V102">Common_InputFunctions.Utility_DisplayArrayInTable(Fertiliser_SourceData.Fertiliser_Products_Data1(), FertiliserProducts[[#Headers],[Company]],1)</f>
        <v/>
      </c>
      <c r="W102" s="192" t="str" cm="1">
        <f t="array" ref="W102">Common_InputFunctions.Utility_DisplayArrayInTable(Fertiliser_SourceData.Fertiliser_Products_Data1(), FertiliserProducts[[#Headers],[Company]],1)</f>
        <v/>
      </c>
      <c r="X102" s="192" t="str" cm="1">
        <f t="array" ref="X102">Common_InputFunctions.Utility_DisplayArrayInTable(Fertiliser_SourceData.Fertiliser_Products_Data1(), FertiliserProducts[[#Headers],[Company]],1)</f>
        <v/>
      </c>
      <c r="Y102" s="192" t="str" cm="1">
        <f t="array" ref="Y102">Common_InputFunctions.Utility_DisplayArrayInTable(Fertiliser_SourceData.Fertiliser_Products_Data1(), FertiliserProducts[[#Headers],[Company]],1)</f>
        <v/>
      </c>
      <c r="Z102" s="192" t="str" cm="1">
        <f t="array" ref="Z102">Common_InputFunctions.Utility_DisplayArrayInTable(Fertiliser_SourceData.Fertiliser_Products_Data1(), FertiliserProducts[[#Headers],[Company]],1)</f>
        <v/>
      </c>
      <c r="AA102" s="192" t="str" cm="1">
        <f t="array" ref="AA102">Common_InputFunctions.Utility_DisplayArrayInTable(Fertiliser_SourceData.Fertiliser_Products_Data1(), FertiliserProducts[[#Headers],[Company]],1)</f>
        <v/>
      </c>
      <c r="AB102" s="192" t="str" cm="1">
        <f t="array" ref="AB102">Common_InputFunctions.Utility_DisplayArrayInTable(Fertiliser_SourceData.Fertiliser_Products_Data1(), FertiliserProducts[[#Headers],[Company]],1)</f>
        <v/>
      </c>
      <c r="AC102" s="192" t="str" cm="1">
        <f t="array" ref="AC102">Common_InputFunctions.Utility_DisplayArrayInTable(Fertiliser_SourceData.Fertiliser_Products_Data1(), FertiliserProducts[[#Headers],[Company]],1)</f>
        <v/>
      </c>
      <c r="AD102" s="192" t="str" cm="1">
        <f t="array" ref="AD102">Common_InputFunctions.Utility_DisplayArrayInTable(Fertiliser_SourceData.Fertiliser_Products_Data1(), FertiliserProducts[[#Headers],[Company]],1)</f>
        <v/>
      </c>
      <c r="AE102" s="192" t="str" cm="1">
        <f t="array" ref="AE102">Common_InputFunctions.Utility_DisplayArrayInTable(Fertiliser_SourceData.Fertiliser_Products_Data1(), FertiliserProducts[[#Headers],[Company]],1)</f>
        <v/>
      </c>
      <c r="AF102" s="192" t="str" cm="1">
        <f t="array" ref="AF102">Common_InputFunctions.Utility_DisplayArrayInTable(Fertiliser_SourceData.Fertiliser_Products_Data1(), FertiliserProducts[[#Headers],[Company]],1)</f>
        <v/>
      </c>
      <c r="AG102" s="192" t="str" cm="1">
        <f t="array" ref="AG102">Common_InputFunctions.Utility_DisplayArrayInTable(Fertiliser_SourceData.Fertiliser_Products_Data1(), FertiliserProducts[[#Headers],[Company]],1)</f>
        <v/>
      </c>
      <c r="AH102" s="192" t="str" cm="1">
        <f t="array" ref="AH102">Common_InputFunctions.Utility_DisplayArrayInTable(Fertiliser_SourceData.Fertiliser_Products_Data1(), FertiliserProducts[[#Headers],[Company]],1)</f>
        <v/>
      </c>
      <c r="AK102" s="1"/>
      <c r="AL102" s="1"/>
      <c r="AM102" s="1"/>
    </row>
    <row r="103" spans="4:39" ht="20.100000000000001" customHeight="1" x14ac:dyDescent="0.25">
      <c r="D103" s="192" t="str" cm="1">
        <f t="array" ref="D103">Common_InputFunctions.Utility_DisplayArrayInTable(Fertiliser_SourceData.Fertiliser_Products_Data1(), FertiliserProducts[[#Headers],[Company]],1)</f>
        <v>Campbells fertilisers Australia</v>
      </c>
      <c r="E103" s="192" t="str" cm="1">
        <f t="array" ref="E103">Common_InputFunctions.Utility_DisplayArrayInTable(Fertiliser_SourceData.Fertiliser_Products_Data1(), FertiliserProducts[[#Headers],[Company]],1)</f>
        <v>Compass</v>
      </c>
      <c r="F103" s="192" t="str" cm="1">
        <f t="array" ref="F103">Common_InputFunctions.Utility_DisplayArrayInTable(Fertiliser_SourceData.Fertiliser_Products_Data1(), FertiliserProducts[[#Headers],[Company]],1)</f>
        <v>kg</v>
      </c>
      <c r="G103" s="192" cm="1">
        <f t="array" ref="G103">Common_InputFunctions.Utility_DisplayArrayInTable(Fertiliser_SourceData.Fertiliser_Products_Data1(), FertiliserProducts[[#Headers],[Company]],1)</f>
        <v>1</v>
      </c>
      <c r="H103" s="192" t="str" cm="1">
        <f t="array" ref="H103">Common_InputFunctions.Utility_DisplayArrayInTable(Fertiliser_SourceData.Fertiliser_Products_Data1(), FertiliserProducts[[#Headers],[Company]],1)</f>
        <v/>
      </c>
      <c r="I103" s="192" t="str" cm="1">
        <f t="array" ref="I103">Common_InputFunctions.Utility_DisplayArrayInTable(Fertiliser_SourceData.Fertiliser_Products_Data1(), FertiliserProducts[[#Headers],[Company]],1)</f>
        <v/>
      </c>
      <c r="J103" s="192" t="str" cm="1">
        <f t="array" ref="J103">Common_InputFunctions.Utility_DisplayArrayInTable(Fertiliser_SourceData.Fertiliser_Products_Data1(), FertiliserProducts[[#Headers],[Company]],1)</f>
        <v/>
      </c>
      <c r="K103" s="192" cm="1">
        <f t="array" ref="K103">Common_InputFunctions.Utility_DisplayArrayInTable(Fertiliser_SourceData.Fertiliser_Products_Data1(), FertiliserProducts[[#Headers],[Company]],1)</f>
        <v>15</v>
      </c>
      <c r="L103" s="192" cm="1">
        <f t="array" ref="L103">Common_InputFunctions.Utility_DisplayArrayInTable(Fertiliser_SourceData.Fertiliser_Products_Data1(), FertiliserProducts[[#Headers],[Company]],1)</f>
        <v>6.5</v>
      </c>
      <c r="M103" s="192" cm="1">
        <f t="array" ref="M103">Common_InputFunctions.Utility_DisplayArrayInTable(Fertiliser_SourceData.Fertiliser_Products_Data1(), FertiliserProducts[[#Headers],[Company]],1)</f>
        <v>12.5</v>
      </c>
      <c r="N103" s="192" cm="1">
        <f t="array" ref="N103">Common_InputFunctions.Utility_DisplayArrayInTable(Fertiliser_SourceData.Fertiliser_Products_Data1(), FertiliserProducts[[#Headers],[Company]],1)</f>
        <v>6</v>
      </c>
      <c r="O103" s="192" t="str" cm="1">
        <f t="array" ref="O103">Common_InputFunctions.Utility_DisplayArrayInTable(Fertiliser_SourceData.Fertiliser_Products_Data1(), FertiliserProducts[[#Headers],[Company]],1)</f>
        <v>Nitrogen - Ammoniacal</v>
      </c>
      <c r="P103" s="192" cm="1">
        <f t="array" ref="P103">Common_InputFunctions.Utility_DisplayArrayInTable(Fertiliser_SourceData.Fertiliser_Products_Data1(), FertiliserProducts[[#Headers],[Company]],1)</f>
        <v>7.4999999999999997E-2</v>
      </c>
      <c r="Q103" s="192" t="str" cm="1">
        <f t="array" ref="Q103">Common_InputFunctions.Utility_DisplayArrayInTable(Fertiliser_SourceData.Fertiliser_Products_Data1(), FertiliserProducts[[#Headers],[Company]],1)</f>
        <v>Nitrogen - Nitrate</v>
      </c>
      <c r="R103" s="192" cm="1">
        <f t="array" ref="R103">Common_InputFunctions.Utility_DisplayArrayInTable(Fertiliser_SourceData.Fertiliser_Products_Data1(), FertiliserProducts[[#Headers],[Company]],1)</f>
        <v>7.4999999999999997E-2</v>
      </c>
      <c r="S103" s="192" t="str" cm="1">
        <f t="array" ref="S103">Common_InputFunctions.Utility_DisplayArrayInTable(Fertiliser_SourceData.Fertiliser_Products_Data1(), FertiliserProducts[[#Headers],[Company]],1)</f>
        <v>Potassium - Generic</v>
      </c>
      <c r="T103" s="192" cm="1">
        <f t="array" ref="T103">Common_InputFunctions.Utility_DisplayArrayInTable(Fertiliser_SourceData.Fertiliser_Products_Data1(), FertiliserProducts[[#Headers],[Company]],1)</f>
        <v>0.125</v>
      </c>
      <c r="U103" s="192" t="str" cm="1">
        <f t="array" ref="U103">Common_InputFunctions.Utility_DisplayArrayInTable(Fertiliser_SourceData.Fertiliser_Products_Data1(), FertiliserProducts[[#Headers],[Company]],1)</f>
        <v>Phosphorus - Generic</v>
      </c>
      <c r="V103" s="192" cm="1">
        <f t="array" ref="V103">Common_InputFunctions.Utility_DisplayArrayInTable(Fertiliser_SourceData.Fertiliser_Products_Data1(), FertiliserProducts[[#Headers],[Company]],1)</f>
        <v>6.5000000000000002E-2</v>
      </c>
      <c r="W103" s="192" t="str" cm="1">
        <f t="array" ref="W103">Common_InputFunctions.Utility_DisplayArrayInTable(Fertiliser_SourceData.Fertiliser_Products_Data1(), FertiliserProducts[[#Headers],[Company]],1)</f>
        <v>Sulfur - Generic</v>
      </c>
      <c r="X103" s="192" cm="1">
        <f t="array" ref="X103">Common_InputFunctions.Utility_DisplayArrayInTable(Fertiliser_SourceData.Fertiliser_Products_Data1(), FertiliserProducts[[#Headers],[Company]],1)</f>
        <v>0.06</v>
      </c>
      <c r="Y103" s="192" t="str" cm="1">
        <f t="array" ref="Y103">Common_InputFunctions.Utility_DisplayArrayInTable(Fertiliser_SourceData.Fertiliser_Products_Data1(), FertiliserProducts[[#Headers],[Company]],1)</f>
        <v/>
      </c>
      <c r="Z103" s="192" t="str" cm="1">
        <f t="array" ref="Z103">Common_InputFunctions.Utility_DisplayArrayInTable(Fertiliser_SourceData.Fertiliser_Products_Data1(), FertiliserProducts[[#Headers],[Company]],1)</f>
        <v/>
      </c>
      <c r="AA103" s="192" t="str" cm="1">
        <f t="array" ref="AA103">Common_InputFunctions.Utility_DisplayArrayInTable(Fertiliser_SourceData.Fertiliser_Products_Data1(), FertiliserProducts[[#Headers],[Company]],1)</f>
        <v/>
      </c>
      <c r="AB103" s="192" t="str" cm="1">
        <f t="array" ref="AB103">Common_InputFunctions.Utility_DisplayArrayInTable(Fertiliser_SourceData.Fertiliser_Products_Data1(), FertiliserProducts[[#Headers],[Company]],1)</f>
        <v/>
      </c>
      <c r="AC103" s="192" t="str" cm="1">
        <f t="array" ref="AC103">Common_InputFunctions.Utility_DisplayArrayInTable(Fertiliser_SourceData.Fertiliser_Products_Data1(), FertiliserProducts[[#Headers],[Company]],1)</f>
        <v/>
      </c>
      <c r="AD103" s="192" t="str" cm="1">
        <f t="array" ref="AD103">Common_InputFunctions.Utility_DisplayArrayInTable(Fertiliser_SourceData.Fertiliser_Products_Data1(), FertiliserProducts[[#Headers],[Company]],1)</f>
        <v/>
      </c>
      <c r="AE103" s="192" t="str" cm="1">
        <f t="array" ref="AE103">Common_InputFunctions.Utility_DisplayArrayInTable(Fertiliser_SourceData.Fertiliser_Products_Data1(), FertiliserProducts[[#Headers],[Company]],1)</f>
        <v/>
      </c>
      <c r="AF103" s="192" t="str" cm="1">
        <f t="array" ref="AF103">Common_InputFunctions.Utility_DisplayArrayInTable(Fertiliser_SourceData.Fertiliser_Products_Data1(), FertiliserProducts[[#Headers],[Company]],1)</f>
        <v/>
      </c>
      <c r="AG103" s="192" t="str" cm="1">
        <f t="array" ref="AG103">Common_InputFunctions.Utility_DisplayArrayInTable(Fertiliser_SourceData.Fertiliser_Products_Data1(), FertiliserProducts[[#Headers],[Company]],1)</f>
        <v/>
      </c>
      <c r="AH103" s="192" t="str" cm="1">
        <f t="array" ref="AH103">Common_InputFunctions.Utility_DisplayArrayInTable(Fertiliser_SourceData.Fertiliser_Products_Data1(), FertiliserProducts[[#Headers],[Company]],1)</f>
        <v/>
      </c>
      <c r="AK103" s="1"/>
      <c r="AL103" s="1"/>
      <c r="AM103" s="1"/>
    </row>
    <row r="104" spans="4:39" ht="20.100000000000001" customHeight="1" x14ac:dyDescent="0.25">
      <c r="D104" s="192" t="str" cm="1">
        <f t="array" ref="D104">Common_InputFunctions.Utility_DisplayArrayInTable(Fertiliser_SourceData.Fertiliser_Products_Data1(), FertiliserProducts[[#Headers],[Company]],1)</f>
        <v>Campbells fertilisers Australia</v>
      </c>
      <c r="E104" s="192" t="str" cm="1">
        <f t="array" ref="E104">Common_InputFunctions.Utility_DisplayArrayInTable(Fertiliser_SourceData.Fertiliser_Products_Data1(), FertiliserProducts[[#Headers],[Company]],1)</f>
        <v>CoRoN 12-0-10</v>
      </c>
      <c r="F104" s="192" t="str" cm="1">
        <f t="array" ref="F104">Common_InputFunctions.Utility_DisplayArrayInTable(Fertiliser_SourceData.Fertiliser_Products_Data1(), FertiliserProducts[[#Headers],[Company]],1)</f>
        <v>L</v>
      </c>
      <c r="G104" s="192" cm="1">
        <f t="array" ref="G104">Common_InputFunctions.Utility_DisplayArrayInTable(Fertiliser_SourceData.Fertiliser_Products_Data1(), FertiliserProducts[[#Headers],[Company]],1)</f>
        <v>1.2150000000000001</v>
      </c>
      <c r="H104" s="192" t="str" cm="1">
        <f t="array" ref="H104">Common_InputFunctions.Utility_DisplayArrayInTable(Fertiliser_SourceData.Fertiliser_Products_Data1(), FertiliserProducts[[#Headers],[Company]],1)</f>
        <v/>
      </c>
      <c r="I104" s="192" t="str" cm="1">
        <f t="array" ref="I104">Common_InputFunctions.Utility_DisplayArrayInTable(Fertiliser_SourceData.Fertiliser_Products_Data1(), FertiliserProducts[[#Headers],[Company]],1)</f>
        <v/>
      </c>
      <c r="J104" s="192" t="str" cm="1">
        <f t="array" ref="J104">Common_InputFunctions.Utility_DisplayArrayInTable(Fertiliser_SourceData.Fertiliser_Products_Data1(), FertiliserProducts[[#Headers],[Company]],1)</f>
        <v/>
      </c>
      <c r="K104" s="192" cm="1">
        <f t="array" ref="K104">Common_InputFunctions.Utility_DisplayArrayInTable(Fertiliser_SourceData.Fertiliser_Products_Data1(), FertiliserProducts[[#Headers],[Company]],1)</f>
        <v>12</v>
      </c>
      <c r="L104" s="192" t="str" cm="1">
        <f t="array" ref="L104">Common_InputFunctions.Utility_DisplayArrayInTable(Fertiliser_SourceData.Fertiliser_Products_Data1(), FertiliserProducts[[#Headers],[Company]],1)</f>
        <v/>
      </c>
      <c r="M104" s="192" cm="1">
        <f t="array" ref="M104">Common_InputFunctions.Utility_DisplayArrayInTable(Fertiliser_SourceData.Fertiliser_Products_Data1(), FertiliserProducts[[#Headers],[Company]],1)</f>
        <v>10</v>
      </c>
      <c r="N104" s="192" t="str" cm="1">
        <f t="array" ref="N104">Common_InputFunctions.Utility_DisplayArrayInTable(Fertiliser_SourceData.Fertiliser_Products_Data1(), FertiliserProducts[[#Headers],[Company]],1)</f>
        <v/>
      </c>
      <c r="O104" s="192" t="str" cm="1">
        <f t="array" ref="O104">Common_InputFunctions.Utility_DisplayArrayInTable(Fertiliser_SourceData.Fertiliser_Products_Data1(), FertiliserProducts[[#Headers],[Company]],1)</f>
        <v>Urea</v>
      </c>
      <c r="P104" s="192" cm="1">
        <f t="array" ref="P104">Common_InputFunctions.Utility_DisplayArrayInTable(Fertiliser_SourceData.Fertiliser_Products_Data1(), FertiliserProducts[[#Headers],[Company]],1)</f>
        <v>0.19565199999999999</v>
      </c>
      <c r="Q104" s="192" t="str" cm="1">
        <f t="array" ref="Q104">Common_InputFunctions.Utility_DisplayArrayInTable(Fertiliser_SourceData.Fertiliser_Products_Data1(), FertiliserProducts[[#Headers],[Company]],1)</f>
        <v>Potassium - Generic</v>
      </c>
      <c r="R104" s="192" cm="1">
        <f t="array" ref="R104">Common_InputFunctions.Utility_DisplayArrayInTable(Fertiliser_SourceData.Fertiliser_Products_Data1(), FertiliserProducts[[#Headers],[Company]],1)</f>
        <v>0.1</v>
      </c>
      <c r="S104" s="192" t="str" cm="1">
        <f t="array" ref="S104">Common_InputFunctions.Utility_DisplayArrayInTable(Fertiliser_SourceData.Fertiliser_Products_Data1(), FertiliserProducts[[#Headers],[Company]],1)</f>
        <v>Nitrogen - Generic</v>
      </c>
      <c r="T104" s="192" cm="1">
        <f t="array" ref="T104">Common_InputFunctions.Utility_DisplayArrayInTable(Fertiliser_SourceData.Fertiliser_Products_Data1(), FertiliserProducts[[#Headers],[Company]],1)</f>
        <v>0.03</v>
      </c>
      <c r="U104" s="192" t="str" cm="1">
        <f t="array" ref="U104">Common_InputFunctions.Utility_DisplayArrayInTable(Fertiliser_SourceData.Fertiliser_Products_Data1(), FertiliserProducts[[#Headers],[Company]],1)</f>
        <v>Boron</v>
      </c>
      <c r="V104" s="192" cm="1">
        <f t="array" ref="V104">Common_InputFunctions.Utility_DisplayArrayInTable(Fertiliser_SourceData.Fertiliser_Products_Data1(), FertiliserProducts[[#Headers],[Company]],1)</f>
        <v>5.0000000000000001E-3</v>
      </c>
      <c r="W104" s="192" t="str" cm="1">
        <f t="array" ref="W104">Common_InputFunctions.Utility_DisplayArrayInTable(Fertiliser_SourceData.Fertiliser_Products_Data1(), FertiliserProducts[[#Headers],[Company]],1)</f>
        <v/>
      </c>
      <c r="X104" s="192" t="str" cm="1">
        <f t="array" ref="X104">Common_InputFunctions.Utility_DisplayArrayInTable(Fertiliser_SourceData.Fertiliser_Products_Data1(), FertiliserProducts[[#Headers],[Company]],1)</f>
        <v/>
      </c>
      <c r="Y104" s="192" t="str" cm="1">
        <f t="array" ref="Y104">Common_InputFunctions.Utility_DisplayArrayInTable(Fertiliser_SourceData.Fertiliser_Products_Data1(), FertiliserProducts[[#Headers],[Company]],1)</f>
        <v/>
      </c>
      <c r="Z104" s="192" t="str" cm="1">
        <f t="array" ref="Z104">Common_InputFunctions.Utility_DisplayArrayInTable(Fertiliser_SourceData.Fertiliser_Products_Data1(), FertiliserProducts[[#Headers],[Company]],1)</f>
        <v/>
      </c>
      <c r="AA104" s="192" t="str" cm="1">
        <f t="array" ref="AA104">Common_InputFunctions.Utility_DisplayArrayInTable(Fertiliser_SourceData.Fertiliser_Products_Data1(), FertiliserProducts[[#Headers],[Company]],1)</f>
        <v/>
      </c>
      <c r="AB104" s="192" t="str" cm="1">
        <f t="array" ref="AB104">Common_InputFunctions.Utility_DisplayArrayInTable(Fertiliser_SourceData.Fertiliser_Products_Data1(), FertiliserProducts[[#Headers],[Company]],1)</f>
        <v/>
      </c>
      <c r="AC104" s="192" t="str" cm="1">
        <f t="array" ref="AC104">Common_InputFunctions.Utility_DisplayArrayInTable(Fertiliser_SourceData.Fertiliser_Products_Data1(), FertiliserProducts[[#Headers],[Company]],1)</f>
        <v/>
      </c>
      <c r="AD104" s="192" t="str" cm="1">
        <f t="array" ref="AD104">Common_InputFunctions.Utility_DisplayArrayInTable(Fertiliser_SourceData.Fertiliser_Products_Data1(), FertiliserProducts[[#Headers],[Company]],1)</f>
        <v/>
      </c>
      <c r="AE104" s="192" t="str" cm="1">
        <f t="array" ref="AE104">Common_InputFunctions.Utility_DisplayArrayInTable(Fertiliser_SourceData.Fertiliser_Products_Data1(), FertiliserProducts[[#Headers],[Company]],1)</f>
        <v/>
      </c>
      <c r="AF104" s="192" t="str" cm="1">
        <f t="array" ref="AF104">Common_InputFunctions.Utility_DisplayArrayInTable(Fertiliser_SourceData.Fertiliser_Products_Data1(), FertiliserProducts[[#Headers],[Company]],1)</f>
        <v/>
      </c>
      <c r="AG104" s="192" t="str" cm="1">
        <f t="array" ref="AG104">Common_InputFunctions.Utility_DisplayArrayInTable(Fertiliser_SourceData.Fertiliser_Products_Data1(), FertiliserProducts[[#Headers],[Company]],1)</f>
        <v/>
      </c>
      <c r="AH104" s="192" t="str" cm="1">
        <f t="array" ref="AH104">Common_InputFunctions.Utility_DisplayArrayInTable(Fertiliser_SourceData.Fertiliser_Products_Data1(), FertiliserProducts[[#Headers],[Company]],1)</f>
        <v/>
      </c>
      <c r="AK104" s="1"/>
      <c r="AL104" s="1"/>
      <c r="AM104" s="1"/>
    </row>
    <row r="105" spans="4:39" ht="20.100000000000001" customHeight="1" x14ac:dyDescent="0.25">
      <c r="D105" s="192" t="str" cm="1">
        <f t="array" ref="D105">Common_InputFunctions.Utility_DisplayArrayInTable(Fertiliser_SourceData.Fertiliser_Products_Data1(), FertiliserProducts[[#Headers],[Company]],1)</f>
        <v>Campbells fertilisers Australia</v>
      </c>
      <c r="E105" s="192" t="str" cm="1">
        <f t="array" ref="E105">Common_InputFunctions.Utility_DisplayArrayInTable(Fertiliser_SourceData.Fertiliser_Products_Data1(), FertiliserProducts[[#Headers],[Company]],1)</f>
        <v>Maximum Quick-N</v>
      </c>
      <c r="F105" s="192" t="str" cm="1">
        <f t="array" ref="F105">Common_InputFunctions.Utility_DisplayArrayInTable(Fertiliser_SourceData.Fertiliser_Products_Data1(), FertiliserProducts[[#Headers],[Company]],1)</f>
        <v>kg</v>
      </c>
      <c r="G105" s="192" cm="1">
        <f t="array" ref="G105">Common_InputFunctions.Utility_DisplayArrayInTable(Fertiliser_SourceData.Fertiliser_Products_Data1(), FertiliserProducts[[#Headers],[Company]],1)</f>
        <v>1</v>
      </c>
      <c r="H105" s="192" t="str" cm="1">
        <f t="array" ref="H105">Common_InputFunctions.Utility_DisplayArrayInTable(Fertiliser_SourceData.Fertiliser_Products_Data1(), FertiliserProducts[[#Headers],[Company]],1)</f>
        <v/>
      </c>
      <c r="I105" s="192" t="str" cm="1">
        <f t="array" ref="I105">Common_InputFunctions.Utility_DisplayArrayInTable(Fertiliser_SourceData.Fertiliser_Products_Data1(), FertiliserProducts[[#Headers],[Company]],1)</f>
        <v/>
      </c>
      <c r="J105" s="192" t="str" cm="1">
        <f t="array" ref="J105">Common_InputFunctions.Utility_DisplayArrayInTable(Fertiliser_SourceData.Fertiliser_Products_Data1(), FertiliserProducts[[#Headers],[Company]],1)</f>
        <v/>
      </c>
      <c r="K105" s="192" cm="1">
        <f t="array" ref="K105">Common_InputFunctions.Utility_DisplayArrayInTable(Fertiliser_SourceData.Fertiliser_Products_Data1(), FertiliserProducts[[#Headers],[Company]],1)</f>
        <v>21.66</v>
      </c>
      <c r="L105" s="192" t="str" cm="1">
        <f t="array" ref="L105">Common_InputFunctions.Utility_DisplayArrayInTable(Fertiliser_SourceData.Fertiliser_Products_Data1(), FertiliserProducts[[#Headers],[Company]],1)</f>
        <v/>
      </c>
      <c r="M105" s="192" t="str" cm="1">
        <f t="array" ref="M105">Common_InputFunctions.Utility_DisplayArrayInTable(Fertiliser_SourceData.Fertiliser_Products_Data1(), FertiliserProducts[[#Headers],[Company]],1)</f>
        <v/>
      </c>
      <c r="N105" s="192" cm="1">
        <f t="array" ref="N105">Common_InputFunctions.Utility_DisplayArrayInTable(Fertiliser_SourceData.Fertiliser_Products_Data1(), FertiliserProducts[[#Headers],[Company]],1)</f>
        <v>13.2</v>
      </c>
      <c r="O105" s="192" t="str" cm="1">
        <f t="array" ref="O105">Common_InputFunctions.Utility_DisplayArrayInTable(Fertiliser_SourceData.Fertiliser_Products_Data1(), FertiliserProducts[[#Headers],[Company]],1)</f>
        <v>Sulphate of ammonia (SOA)</v>
      </c>
      <c r="P105" s="192" cm="1">
        <f t="array" ref="P105">Common_InputFunctions.Utility_DisplayArrayInTable(Fertiliser_SourceData.Fertiliser_Products_Data1(), FertiliserProducts[[#Headers],[Company]],1)</f>
        <v>0.55000000000000004</v>
      </c>
      <c r="Q105" s="192" t="str" cm="1">
        <f t="array" ref="Q105">Common_InputFunctions.Utility_DisplayArrayInTable(Fertiliser_SourceData.Fertiliser_Products_Data1(), FertiliserProducts[[#Headers],[Company]],1)</f>
        <v>Ammonium nitrate (AN)</v>
      </c>
      <c r="R105" s="192" cm="1">
        <f t="array" ref="R105">Common_InputFunctions.Utility_DisplayArrayInTable(Fertiliser_SourceData.Fertiliser_Products_Data1(), FertiliserProducts[[#Headers],[Company]],1)</f>
        <v>0.3</v>
      </c>
      <c r="S105" s="192" t="str" cm="1">
        <f t="array" ref="S105">Common_InputFunctions.Utility_DisplayArrayInTable(Fertiliser_SourceData.Fertiliser_Products_Data1(), FertiliserProducts[[#Headers],[Company]],1)</f>
        <v/>
      </c>
      <c r="T105" s="192" t="str" cm="1">
        <f t="array" ref="T105">Common_InputFunctions.Utility_DisplayArrayInTable(Fertiliser_SourceData.Fertiliser_Products_Data1(), FertiliserProducts[[#Headers],[Company]],1)</f>
        <v/>
      </c>
      <c r="U105" s="192" t="str" cm="1">
        <f t="array" ref="U105">Common_InputFunctions.Utility_DisplayArrayInTable(Fertiliser_SourceData.Fertiliser_Products_Data1(), FertiliserProducts[[#Headers],[Company]],1)</f>
        <v/>
      </c>
      <c r="V105" s="192" t="str" cm="1">
        <f t="array" ref="V105">Common_InputFunctions.Utility_DisplayArrayInTable(Fertiliser_SourceData.Fertiliser_Products_Data1(), FertiliserProducts[[#Headers],[Company]],1)</f>
        <v/>
      </c>
      <c r="W105" s="192" t="str" cm="1">
        <f t="array" ref="W105">Common_InputFunctions.Utility_DisplayArrayInTable(Fertiliser_SourceData.Fertiliser_Products_Data1(), FertiliserProducts[[#Headers],[Company]],1)</f>
        <v/>
      </c>
      <c r="X105" s="192" t="str" cm="1">
        <f t="array" ref="X105">Common_InputFunctions.Utility_DisplayArrayInTable(Fertiliser_SourceData.Fertiliser_Products_Data1(), FertiliserProducts[[#Headers],[Company]],1)</f>
        <v/>
      </c>
      <c r="Y105" s="192" t="str" cm="1">
        <f t="array" ref="Y105">Common_InputFunctions.Utility_DisplayArrayInTable(Fertiliser_SourceData.Fertiliser_Products_Data1(), FertiliserProducts[[#Headers],[Company]],1)</f>
        <v/>
      </c>
      <c r="Z105" s="192" t="str" cm="1">
        <f t="array" ref="Z105">Common_InputFunctions.Utility_DisplayArrayInTable(Fertiliser_SourceData.Fertiliser_Products_Data1(), FertiliserProducts[[#Headers],[Company]],1)</f>
        <v/>
      </c>
      <c r="AA105" s="192" t="str" cm="1">
        <f t="array" ref="AA105">Common_InputFunctions.Utility_DisplayArrayInTable(Fertiliser_SourceData.Fertiliser_Products_Data1(), FertiliserProducts[[#Headers],[Company]],1)</f>
        <v/>
      </c>
      <c r="AB105" s="192" t="str" cm="1">
        <f t="array" ref="AB105">Common_InputFunctions.Utility_DisplayArrayInTable(Fertiliser_SourceData.Fertiliser_Products_Data1(), FertiliserProducts[[#Headers],[Company]],1)</f>
        <v/>
      </c>
      <c r="AC105" s="192" t="str" cm="1">
        <f t="array" ref="AC105">Common_InputFunctions.Utility_DisplayArrayInTable(Fertiliser_SourceData.Fertiliser_Products_Data1(), FertiliserProducts[[#Headers],[Company]],1)</f>
        <v/>
      </c>
      <c r="AD105" s="192" t="str" cm="1">
        <f t="array" ref="AD105">Common_InputFunctions.Utility_DisplayArrayInTable(Fertiliser_SourceData.Fertiliser_Products_Data1(), FertiliserProducts[[#Headers],[Company]],1)</f>
        <v/>
      </c>
      <c r="AE105" s="192" t="str" cm="1">
        <f t="array" ref="AE105">Common_InputFunctions.Utility_DisplayArrayInTable(Fertiliser_SourceData.Fertiliser_Products_Data1(), FertiliserProducts[[#Headers],[Company]],1)</f>
        <v/>
      </c>
      <c r="AF105" s="192" t="str" cm="1">
        <f t="array" ref="AF105">Common_InputFunctions.Utility_DisplayArrayInTable(Fertiliser_SourceData.Fertiliser_Products_Data1(), FertiliserProducts[[#Headers],[Company]],1)</f>
        <v/>
      </c>
      <c r="AG105" s="192" t="str" cm="1">
        <f t="array" ref="AG105">Common_InputFunctions.Utility_DisplayArrayInTable(Fertiliser_SourceData.Fertiliser_Products_Data1(), FertiliserProducts[[#Headers],[Company]],1)</f>
        <v/>
      </c>
      <c r="AH105" s="192" t="str" cm="1">
        <f t="array" ref="AH105">Common_InputFunctions.Utility_DisplayArrayInTable(Fertiliser_SourceData.Fertiliser_Products_Data1(), FertiliserProducts[[#Headers],[Company]],1)</f>
        <v/>
      </c>
      <c r="AK105" s="1"/>
      <c r="AL105" s="1"/>
      <c r="AM105" s="1"/>
    </row>
    <row r="106" spans="4:39" ht="20.100000000000001" customHeight="1" x14ac:dyDescent="0.25">
      <c r="D106" s="192" t="str" cm="1">
        <f t="array" ref="D106">Common_InputFunctions.Utility_DisplayArrayInTable(Fertiliser_SourceData.Fertiliser_Products_Data1(), FertiliserProducts[[#Headers],[Company]],1)</f>
        <v>SL Tec</v>
      </c>
      <c r="E106" s="192" t="str" cm="1">
        <f t="array" ref="E106">Common_InputFunctions.Utility_DisplayArrayInTable(Fertiliser_SourceData.Fertiliser_Products_Data1(), FertiliserProducts[[#Headers],[Company]],1)</f>
        <v>Crop Booster PLUS</v>
      </c>
      <c r="F106" s="192" t="str" cm="1">
        <f t="array" ref="F106">Common_InputFunctions.Utility_DisplayArrayInTable(Fertiliser_SourceData.Fertiliser_Products_Data1(), FertiliserProducts[[#Headers],[Company]],1)</f>
        <v>L</v>
      </c>
      <c r="G106" s="192" cm="1">
        <f t="array" ref="G106">Common_InputFunctions.Utility_DisplayArrayInTable(Fertiliser_SourceData.Fertiliser_Products_Data1(), FertiliserProducts[[#Headers],[Company]],1)</f>
        <v>1.319</v>
      </c>
      <c r="H106" s="192" t="str" cm="1">
        <f t="array" ref="H106">Common_InputFunctions.Utility_DisplayArrayInTable(Fertiliser_SourceData.Fertiliser_Products_Data1(), FertiliserProducts[[#Headers],[Company]],1)</f>
        <v/>
      </c>
      <c r="I106" s="192" t="str" cm="1">
        <f t="array" ref="I106">Common_InputFunctions.Utility_DisplayArrayInTable(Fertiliser_SourceData.Fertiliser_Products_Data1(), FertiliserProducts[[#Headers],[Company]],1)</f>
        <v/>
      </c>
      <c r="J106" s="192" t="str" cm="1">
        <f t="array" ref="J106">Common_InputFunctions.Utility_DisplayArrayInTable(Fertiliser_SourceData.Fertiliser_Products_Data1(), FertiliserProducts[[#Headers],[Company]],1)</f>
        <v/>
      </c>
      <c r="K106" s="192" cm="1">
        <f t="array" ref="K106">Common_InputFunctions.Utility_DisplayArrayInTable(Fertiliser_SourceData.Fertiliser_Products_Data1(), FertiliserProducts[[#Headers],[Company]],1)</f>
        <v>5</v>
      </c>
      <c r="L106" s="192" cm="1">
        <f t="array" ref="L106">Common_InputFunctions.Utility_DisplayArrayInTable(Fertiliser_SourceData.Fertiliser_Products_Data1(), FertiliserProducts[[#Headers],[Company]],1)</f>
        <v>15</v>
      </c>
      <c r="M106" s="192" cm="1">
        <f t="array" ref="M106">Common_InputFunctions.Utility_DisplayArrayInTable(Fertiliser_SourceData.Fertiliser_Products_Data1(), FertiliserProducts[[#Headers],[Company]],1)</f>
        <v>2.1</v>
      </c>
      <c r="N106" s="192" t="str" cm="1">
        <f t="array" ref="N106">Common_InputFunctions.Utility_DisplayArrayInTable(Fertiliser_SourceData.Fertiliser_Products_Data1(), FertiliserProducts[[#Headers],[Company]],1)</f>
        <v/>
      </c>
      <c r="O106" s="192" t="str" cm="1">
        <f t="array" ref="O106">Common_InputFunctions.Utility_DisplayArrayInTable(Fertiliser_SourceData.Fertiliser_Products_Data1(), FertiliserProducts[[#Headers],[Company]],1)</f>
        <v>Phosphorus - Generic</v>
      </c>
      <c r="P106" s="192" cm="1">
        <f t="array" ref="P106">Common_InputFunctions.Utility_DisplayArrayInTable(Fertiliser_SourceData.Fertiliser_Products_Data1(), FertiliserProducts[[#Headers],[Company]],1)</f>
        <v>0.15</v>
      </c>
      <c r="Q106" s="192" t="str" cm="1">
        <f t="array" ref="Q106">Common_InputFunctions.Utility_DisplayArrayInTable(Fertiliser_SourceData.Fertiliser_Products_Data1(), FertiliserProducts[[#Headers],[Company]],1)</f>
        <v>Calcium</v>
      </c>
      <c r="R106" s="192" cm="1">
        <f t="array" ref="R106">Common_InputFunctions.Utility_DisplayArrayInTable(Fertiliser_SourceData.Fertiliser_Products_Data1(), FertiliserProducts[[#Headers],[Company]],1)</f>
        <v>0.04</v>
      </c>
      <c r="S106" s="192" t="str" cm="1">
        <f t="array" ref="S106">Common_InputFunctions.Utility_DisplayArrayInTable(Fertiliser_SourceData.Fertiliser_Products_Data1(), FertiliserProducts[[#Headers],[Company]],1)</f>
        <v>Nitrogen - Ammoniacal</v>
      </c>
      <c r="T106" s="192" cm="1">
        <f t="array" ref="T106">Common_InputFunctions.Utility_DisplayArrayInTable(Fertiliser_SourceData.Fertiliser_Products_Data1(), FertiliserProducts[[#Headers],[Company]],1)</f>
        <v>2.9000000000000001E-2</v>
      </c>
      <c r="U106" s="192" t="str" cm="1">
        <f t="array" ref="U106">Common_InputFunctions.Utility_DisplayArrayInTable(Fertiliser_SourceData.Fertiliser_Products_Data1(), FertiliserProducts[[#Headers],[Company]],1)</f>
        <v>Nitrogen - Nitrate</v>
      </c>
      <c r="V106" s="192" cm="1">
        <f t="array" ref="V106">Common_InputFunctions.Utility_DisplayArrayInTable(Fertiliser_SourceData.Fertiliser_Products_Data1(), FertiliserProducts[[#Headers],[Company]],1)</f>
        <v>2.1000000000000001E-2</v>
      </c>
      <c r="W106" s="192" t="str" cm="1">
        <f t="array" ref="W106">Common_InputFunctions.Utility_DisplayArrayInTable(Fertiliser_SourceData.Fertiliser_Products_Data1(), FertiliserProducts[[#Headers],[Company]],1)</f>
        <v>Potassium - Generic</v>
      </c>
      <c r="X106" s="192" cm="1">
        <f t="array" ref="X106">Common_InputFunctions.Utility_DisplayArrayInTable(Fertiliser_SourceData.Fertiliser_Products_Data1(), FertiliserProducts[[#Headers],[Company]],1)</f>
        <v>2.1000000000000001E-2</v>
      </c>
      <c r="Y106" s="192" t="str" cm="1">
        <f t="array" ref="Y106">Common_InputFunctions.Utility_DisplayArrayInTable(Fertiliser_SourceData.Fertiliser_Products_Data1(), FertiliserProducts[[#Headers],[Company]],1)</f>
        <v>Copper</v>
      </c>
      <c r="Z106" s="192" cm="1">
        <f t="array" ref="Z106">Common_InputFunctions.Utility_DisplayArrayInTable(Fertiliser_SourceData.Fertiliser_Products_Data1(), FertiliserProducts[[#Headers],[Company]],1)</f>
        <v>5.0000000000000001E-3</v>
      </c>
      <c r="AA106" s="192" t="str" cm="1">
        <f t="array" ref="AA106">Common_InputFunctions.Utility_DisplayArrayInTable(Fertiliser_SourceData.Fertiliser_Products_Data1(), FertiliserProducts[[#Headers],[Company]],1)</f>
        <v>Zinc</v>
      </c>
      <c r="AB106" s="192" cm="1">
        <f t="array" ref="AB106">Common_InputFunctions.Utility_DisplayArrayInTable(Fertiliser_SourceData.Fertiliser_Products_Data1(), FertiliserProducts[[#Headers],[Company]],1)</f>
        <v>4.0000000000000001E-3</v>
      </c>
      <c r="AC106" s="192" t="str" cm="1">
        <f t="array" ref="AC106">Common_InputFunctions.Utility_DisplayArrayInTable(Fertiliser_SourceData.Fertiliser_Products_Data1(), FertiliserProducts[[#Headers],[Company]],1)</f>
        <v>Manganese</v>
      </c>
      <c r="AD106" s="192" cm="1">
        <f t="array" ref="AD106">Common_InputFunctions.Utility_DisplayArrayInTable(Fertiliser_SourceData.Fertiliser_Products_Data1(), FertiliserProducts[[#Headers],[Company]],1)</f>
        <v>4.0000000000000001E-3</v>
      </c>
      <c r="AE106" s="192" t="str" cm="1">
        <f t="array" ref="AE106">Common_InputFunctions.Utility_DisplayArrayInTable(Fertiliser_SourceData.Fertiliser_Products_Data1(), FertiliserProducts[[#Headers],[Company]],1)</f>
        <v>Magnesium</v>
      </c>
      <c r="AF106" s="192" cm="1">
        <f t="array" ref="AF106">Common_InputFunctions.Utility_DisplayArrayInTable(Fertiliser_SourceData.Fertiliser_Products_Data1(), FertiliserProducts[[#Headers],[Company]],1)</f>
        <v>2E-3</v>
      </c>
      <c r="AG106" s="192" t="str" cm="1">
        <f t="array" ref="AG106">Common_InputFunctions.Utility_DisplayArrayInTable(Fertiliser_SourceData.Fertiliser_Products_Data1(), FertiliserProducts[[#Headers],[Company]],1)</f>
        <v/>
      </c>
      <c r="AH106" s="192" t="str" cm="1">
        <f t="array" ref="AH106">Common_InputFunctions.Utility_DisplayArrayInTable(Fertiliser_SourceData.Fertiliser_Products_Data1(), FertiliserProducts[[#Headers],[Company]],1)</f>
        <v/>
      </c>
      <c r="AK106" s="1"/>
      <c r="AL106" s="1"/>
      <c r="AM106" s="1"/>
    </row>
    <row r="107" spans="4:39" ht="20.100000000000001" customHeight="1" x14ac:dyDescent="0.25">
      <c r="D107" s="192" t="str" cm="1">
        <f t="array" ref="D107">Common_InputFunctions.Utility_DisplayArrayInTable(Fertiliser_SourceData.Fertiliser_Products_Data1(), FertiliserProducts[[#Headers],[Company]],1)</f>
        <v>Risso-Chemical</v>
      </c>
      <c r="E107" s="192" t="str" cm="1">
        <f t="array" ref="E107">Common_InputFunctions.Utility_DisplayArrayInTable(Fertiliser_SourceData.Fertiliser_Products_Data1(), FertiliserProducts[[#Headers],[Company]],1)</f>
        <v>Ammonium Bicarbonate</v>
      </c>
      <c r="F107" s="192" t="str" cm="1">
        <f t="array" ref="F107">Common_InputFunctions.Utility_DisplayArrayInTable(Fertiliser_SourceData.Fertiliser_Products_Data1(), FertiliserProducts[[#Headers],[Company]],1)</f>
        <v>kg</v>
      </c>
      <c r="G107" s="192" cm="1">
        <f t="array" ref="G107">Common_InputFunctions.Utility_DisplayArrayInTable(Fertiliser_SourceData.Fertiliser_Products_Data1(), FertiliserProducts[[#Headers],[Company]],1)</f>
        <v>1</v>
      </c>
      <c r="H107" s="192" t="str" cm="1">
        <f t="array" ref="H107">Common_InputFunctions.Utility_DisplayArrayInTable(Fertiliser_SourceData.Fertiliser_Products_Data1(), FertiliserProducts[[#Headers],[Company]],1)</f>
        <v/>
      </c>
      <c r="I107" s="192" t="str" cm="1">
        <f t="array" ref="I107">Common_InputFunctions.Utility_DisplayArrayInTable(Fertiliser_SourceData.Fertiliser_Products_Data1(), FertiliserProducts[[#Headers],[Company]],1)</f>
        <v/>
      </c>
      <c r="J107" s="192" t="str" cm="1">
        <f t="array" ref="J107">Common_InputFunctions.Utility_DisplayArrayInTable(Fertiliser_SourceData.Fertiliser_Products_Data1(), FertiliserProducts[[#Headers],[Company]],1)</f>
        <v>China</v>
      </c>
      <c r="K107" s="192" cm="1">
        <f t="array" ref="K107">Common_InputFunctions.Utility_DisplayArrayInTable(Fertiliser_SourceData.Fertiliser_Products_Data1(), FertiliserProducts[[#Headers],[Company]],1)</f>
        <v>17.7</v>
      </c>
      <c r="L107" s="192" t="str" cm="1">
        <f t="array" ref="L107">Common_InputFunctions.Utility_DisplayArrayInTable(Fertiliser_SourceData.Fertiliser_Products_Data1(), FertiliserProducts[[#Headers],[Company]],1)</f>
        <v/>
      </c>
      <c r="M107" s="192" t="str" cm="1">
        <f t="array" ref="M107">Common_InputFunctions.Utility_DisplayArrayInTable(Fertiliser_SourceData.Fertiliser_Products_Data1(), FertiliserProducts[[#Headers],[Company]],1)</f>
        <v/>
      </c>
      <c r="N107" s="192" t="str" cm="1">
        <f t="array" ref="N107">Common_InputFunctions.Utility_DisplayArrayInTable(Fertiliser_SourceData.Fertiliser_Products_Data1(), FertiliserProducts[[#Headers],[Company]],1)</f>
        <v/>
      </c>
      <c r="O107" s="192" t="str" cm="1">
        <f t="array" ref="O107">Common_InputFunctions.Utility_DisplayArrayInTable(Fertiliser_SourceData.Fertiliser_Products_Data1(), FertiliserProducts[[#Headers],[Company]],1)</f>
        <v>Nitrogen - Ammoniacal</v>
      </c>
      <c r="P107" s="192" cm="1">
        <f t="array" ref="P107">Common_InputFunctions.Utility_DisplayArrayInTable(Fertiliser_SourceData.Fertiliser_Products_Data1(), FertiliserProducts[[#Headers],[Company]],1)</f>
        <v>0.17699999999999999</v>
      </c>
      <c r="Q107" s="192" t="str" cm="1">
        <f t="array" ref="Q107">Common_InputFunctions.Utility_DisplayArrayInTable(Fertiliser_SourceData.Fertiliser_Products_Data1(), FertiliserProducts[[#Headers],[Company]],1)</f>
        <v/>
      </c>
      <c r="R107" s="192" t="str" cm="1">
        <f t="array" ref="R107">Common_InputFunctions.Utility_DisplayArrayInTable(Fertiliser_SourceData.Fertiliser_Products_Data1(), FertiliserProducts[[#Headers],[Company]],1)</f>
        <v/>
      </c>
      <c r="S107" s="192" t="str" cm="1">
        <f t="array" ref="S107">Common_InputFunctions.Utility_DisplayArrayInTable(Fertiliser_SourceData.Fertiliser_Products_Data1(), FertiliserProducts[[#Headers],[Company]],1)</f>
        <v/>
      </c>
      <c r="T107" s="192" t="str" cm="1">
        <f t="array" ref="T107">Common_InputFunctions.Utility_DisplayArrayInTable(Fertiliser_SourceData.Fertiliser_Products_Data1(), FertiliserProducts[[#Headers],[Company]],1)</f>
        <v/>
      </c>
      <c r="U107" s="192" t="str" cm="1">
        <f t="array" ref="U107">Common_InputFunctions.Utility_DisplayArrayInTable(Fertiliser_SourceData.Fertiliser_Products_Data1(), FertiliserProducts[[#Headers],[Company]],1)</f>
        <v/>
      </c>
      <c r="V107" s="192" t="str" cm="1">
        <f t="array" ref="V107">Common_InputFunctions.Utility_DisplayArrayInTable(Fertiliser_SourceData.Fertiliser_Products_Data1(), FertiliserProducts[[#Headers],[Company]],1)</f>
        <v/>
      </c>
      <c r="W107" s="192" t="str" cm="1">
        <f t="array" ref="W107">Common_InputFunctions.Utility_DisplayArrayInTable(Fertiliser_SourceData.Fertiliser_Products_Data1(), FertiliserProducts[[#Headers],[Company]],1)</f>
        <v/>
      </c>
      <c r="X107" s="192" t="str" cm="1">
        <f t="array" ref="X107">Common_InputFunctions.Utility_DisplayArrayInTable(Fertiliser_SourceData.Fertiliser_Products_Data1(), FertiliserProducts[[#Headers],[Company]],1)</f>
        <v/>
      </c>
      <c r="Y107" s="192" t="str" cm="1">
        <f t="array" ref="Y107">Common_InputFunctions.Utility_DisplayArrayInTable(Fertiliser_SourceData.Fertiliser_Products_Data1(), FertiliserProducts[[#Headers],[Company]],1)</f>
        <v/>
      </c>
      <c r="Z107" s="192" t="str" cm="1">
        <f t="array" ref="Z107">Common_InputFunctions.Utility_DisplayArrayInTable(Fertiliser_SourceData.Fertiliser_Products_Data1(), FertiliserProducts[[#Headers],[Company]],1)</f>
        <v/>
      </c>
      <c r="AA107" s="192" t="str" cm="1">
        <f t="array" ref="AA107">Common_InputFunctions.Utility_DisplayArrayInTable(Fertiliser_SourceData.Fertiliser_Products_Data1(), FertiliserProducts[[#Headers],[Company]],1)</f>
        <v/>
      </c>
      <c r="AB107" s="192" t="str" cm="1">
        <f t="array" ref="AB107">Common_InputFunctions.Utility_DisplayArrayInTable(Fertiliser_SourceData.Fertiliser_Products_Data1(), FertiliserProducts[[#Headers],[Company]],1)</f>
        <v/>
      </c>
      <c r="AC107" s="192" t="str" cm="1">
        <f t="array" ref="AC107">Common_InputFunctions.Utility_DisplayArrayInTable(Fertiliser_SourceData.Fertiliser_Products_Data1(), FertiliserProducts[[#Headers],[Company]],1)</f>
        <v/>
      </c>
      <c r="AD107" s="192" t="str" cm="1">
        <f t="array" ref="AD107">Common_InputFunctions.Utility_DisplayArrayInTable(Fertiliser_SourceData.Fertiliser_Products_Data1(), FertiliserProducts[[#Headers],[Company]],1)</f>
        <v/>
      </c>
      <c r="AE107" s="192" t="str" cm="1">
        <f t="array" ref="AE107">Common_InputFunctions.Utility_DisplayArrayInTable(Fertiliser_SourceData.Fertiliser_Products_Data1(), FertiliserProducts[[#Headers],[Company]],1)</f>
        <v/>
      </c>
      <c r="AF107" s="192" t="str" cm="1">
        <f t="array" ref="AF107">Common_InputFunctions.Utility_DisplayArrayInTable(Fertiliser_SourceData.Fertiliser_Products_Data1(), FertiliserProducts[[#Headers],[Company]],1)</f>
        <v/>
      </c>
      <c r="AG107" s="192" t="str" cm="1">
        <f t="array" ref="AG107">Common_InputFunctions.Utility_DisplayArrayInTable(Fertiliser_SourceData.Fertiliser_Products_Data1(), FertiliserProducts[[#Headers],[Company]],1)</f>
        <v/>
      </c>
      <c r="AH107" s="192" t="str" cm="1">
        <f t="array" ref="AH107">Common_InputFunctions.Utility_DisplayArrayInTable(Fertiliser_SourceData.Fertiliser_Products_Data1(), FertiliserProducts[[#Headers],[Company]],1)</f>
        <v/>
      </c>
      <c r="AK107" s="1"/>
      <c r="AL107" s="1"/>
      <c r="AM107" s="1"/>
    </row>
    <row r="108" spans="4:39" ht="20.100000000000001" customHeight="1" x14ac:dyDescent="0.25">
      <c r="D108" s="192" t="str" cm="1">
        <f t="array" ref="D108">Common_InputFunctions.Utility_DisplayArrayInTable(Fertiliser_SourceData.Fertiliser_Products_Data1(), FertiliserProducts[[#Headers],[Company]],1)</f>
        <v>Risso-Chemical</v>
      </c>
      <c r="E108" s="192" t="str" cm="1">
        <f t="array" ref="E108">Common_InputFunctions.Utility_DisplayArrayInTable(Fertiliser_SourceData.Fertiliser_Products_Data1(), FertiliserProducts[[#Headers],[Company]],1)</f>
        <v>Ammonium Sulfate</v>
      </c>
      <c r="F108" s="192" t="str" cm="1">
        <f t="array" ref="F108">Common_InputFunctions.Utility_DisplayArrayInTable(Fertiliser_SourceData.Fertiliser_Products_Data1(), FertiliserProducts[[#Headers],[Company]],1)</f>
        <v>kg</v>
      </c>
      <c r="G108" s="192" cm="1">
        <f t="array" ref="G108">Common_InputFunctions.Utility_DisplayArrayInTable(Fertiliser_SourceData.Fertiliser_Products_Data1(), FertiliserProducts[[#Headers],[Company]],1)</f>
        <v>1</v>
      </c>
      <c r="H108" s="192" t="str" cm="1">
        <f t="array" ref="H108">Common_InputFunctions.Utility_DisplayArrayInTable(Fertiliser_SourceData.Fertiliser_Products_Data1(), FertiliserProducts[[#Headers],[Company]],1)</f>
        <v/>
      </c>
      <c r="I108" s="192" t="str" cm="1">
        <f t="array" ref="I108">Common_InputFunctions.Utility_DisplayArrayInTable(Fertiliser_SourceData.Fertiliser_Products_Data1(), FertiliserProducts[[#Headers],[Company]],1)</f>
        <v/>
      </c>
      <c r="J108" s="192" t="str" cm="1">
        <f t="array" ref="J108">Common_InputFunctions.Utility_DisplayArrayInTable(Fertiliser_SourceData.Fertiliser_Products_Data1(), FertiliserProducts[[#Headers],[Company]],1)</f>
        <v>China</v>
      </c>
      <c r="K108" s="192" cm="1">
        <f t="array" ref="K108">Common_InputFunctions.Utility_DisplayArrayInTable(Fertiliser_SourceData.Fertiliser_Products_Data1(), FertiliserProducts[[#Headers],[Company]],1)</f>
        <v>21</v>
      </c>
      <c r="L108" s="192" t="str" cm="1">
        <f t="array" ref="L108">Common_InputFunctions.Utility_DisplayArrayInTable(Fertiliser_SourceData.Fertiliser_Products_Data1(), FertiliserProducts[[#Headers],[Company]],1)</f>
        <v/>
      </c>
      <c r="M108" s="192" t="str" cm="1">
        <f t="array" ref="M108">Common_InputFunctions.Utility_DisplayArrayInTable(Fertiliser_SourceData.Fertiliser_Products_Data1(), FertiliserProducts[[#Headers],[Company]],1)</f>
        <v/>
      </c>
      <c r="N108" s="192" cm="1">
        <f t="array" ref="N108">Common_InputFunctions.Utility_DisplayArrayInTable(Fertiliser_SourceData.Fertiliser_Products_Data1(), FertiliserProducts[[#Headers],[Company]],1)</f>
        <v>24</v>
      </c>
      <c r="O108" s="192" t="str" cm="1">
        <f t="array" ref="O108">Common_InputFunctions.Utility_DisplayArrayInTable(Fertiliser_SourceData.Fertiliser_Products_Data1(), FertiliserProducts[[#Headers],[Company]],1)</f>
        <v>Sulfur - Generic</v>
      </c>
      <c r="P108" s="192" cm="1">
        <f t="array" ref="P108">Common_InputFunctions.Utility_DisplayArrayInTable(Fertiliser_SourceData.Fertiliser_Products_Data1(), FertiliserProducts[[#Headers],[Company]],1)</f>
        <v>0.24</v>
      </c>
      <c r="Q108" s="192" t="str" cm="1">
        <f t="array" ref="Q108">Common_InputFunctions.Utility_DisplayArrayInTable(Fertiliser_SourceData.Fertiliser_Products_Data1(), FertiliserProducts[[#Headers],[Company]],1)</f>
        <v>Nitrogen - Ammoniacal</v>
      </c>
      <c r="R108" s="192" cm="1">
        <f t="array" ref="R108">Common_InputFunctions.Utility_DisplayArrayInTable(Fertiliser_SourceData.Fertiliser_Products_Data1(), FertiliserProducts[[#Headers],[Company]],1)</f>
        <v>0.21</v>
      </c>
      <c r="S108" s="192" t="str" cm="1">
        <f t="array" ref="S108">Common_InputFunctions.Utility_DisplayArrayInTable(Fertiliser_SourceData.Fertiliser_Products_Data1(), FertiliserProducts[[#Headers],[Company]],1)</f>
        <v/>
      </c>
      <c r="T108" s="192" t="str" cm="1">
        <f t="array" ref="T108">Common_InputFunctions.Utility_DisplayArrayInTable(Fertiliser_SourceData.Fertiliser_Products_Data1(), FertiliserProducts[[#Headers],[Company]],1)</f>
        <v/>
      </c>
      <c r="U108" s="192" t="str" cm="1">
        <f t="array" ref="U108">Common_InputFunctions.Utility_DisplayArrayInTable(Fertiliser_SourceData.Fertiliser_Products_Data1(), FertiliserProducts[[#Headers],[Company]],1)</f>
        <v/>
      </c>
      <c r="V108" s="192" t="str" cm="1">
        <f t="array" ref="V108">Common_InputFunctions.Utility_DisplayArrayInTable(Fertiliser_SourceData.Fertiliser_Products_Data1(), FertiliserProducts[[#Headers],[Company]],1)</f>
        <v/>
      </c>
      <c r="W108" s="192" t="str" cm="1">
        <f t="array" ref="W108">Common_InputFunctions.Utility_DisplayArrayInTable(Fertiliser_SourceData.Fertiliser_Products_Data1(), FertiliserProducts[[#Headers],[Company]],1)</f>
        <v/>
      </c>
      <c r="X108" s="192" t="str" cm="1">
        <f t="array" ref="X108">Common_InputFunctions.Utility_DisplayArrayInTable(Fertiliser_SourceData.Fertiliser_Products_Data1(), FertiliserProducts[[#Headers],[Company]],1)</f>
        <v/>
      </c>
      <c r="Y108" s="192" t="str" cm="1">
        <f t="array" ref="Y108">Common_InputFunctions.Utility_DisplayArrayInTable(Fertiliser_SourceData.Fertiliser_Products_Data1(), FertiliserProducts[[#Headers],[Company]],1)</f>
        <v/>
      </c>
      <c r="Z108" s="192" t="str" cm="1">
        <f t="array" ref="Z108">Common_InputFunctions.Utility_DisplayArrayInTable(Fertiliser_SourceData.Fertiliser_Products_Data1(), FertiliserProducts[[#Headers],[Company]],1)</f>
        <v/>
      </c>
      <c r="AA108" s="192" t="str" cm="1">
        <f t="array" ref="AA108">Common_InputFunctions.Utility_DisplayArrayInTable(Fertiliser_SourceData.Fertiliser_Products_Data1(), FertiliserProducts[[#Headers],[Company]],1)</f>
        <v/>
      </c>
      <c r="AB108" s="192" t="str" cm="1">
        <f t="array" ref="AB108">Common_InputFunctions.Utility_DisplayArrayInTable(Fertiliser_SourceData.Fertiliser_Products_Data1(), FertiliserProducts[[#Headers],[Company]],1)</f>
        <v/>
      </c>
      <c r="AC108" s="192" t="str" cm="1">
        <f t="array" ref="AC108">Common_InputFunctions.Utility_DisplayArrayInTable(Fertiliser_SourceData.Fertiliser_Products_Data1(), FertiliserProducts[[#Headers],[Company]],1)</f>
        <v/>
      </c>
      <c r="AD108" s="192" t="str" cm="1">
        <f t="array" ref="AD108">Common_InputFunctions.Utility_DisplayArrayInTable(Fertiliser_SourceData.Fertiliser_Products_Data1(), FertiliserProducts[[#Headers],[Company]],1)</f>
        <v/>
      </c>
      <c r="AE108" s="192" t="str" cm="1">
        <f t="array" ref="AE108">Common_InputFunctions.Utility_DisplayArrayInTable(Fertiliser_SourceData.Fertiliser_Products_Data1(), FertiliserProducts[[#Headers],[Company]],1)</f>
        <v/>
      </c>
      <c r="AF108" s="192" t="str" cm="1">
        <f t="array" ref="AF108">Common_InputFunctions.Utility_DisplayArrayInTable(Fertiliser_SourceData.Fertiliser_Products_Data1(), FertiliserProducts[[#Headers],[Company]],1)</f>
        <v/>
      </c>
      <c r="AG108" s="192" t="str" cm="1">
        <f t="array" ref="AG108">Common_InputFunctions.Utility_DisplayArrayInTable(Fertiliser_SourceData.Fertiliser_Products_Data1(), FertiliserProducts[[#Headers],[Company]],1)</f>
        <v/>
      </c>
      <c r="AH108" s="192" t="str" cm="1">
        <f t="array" ref="AH108">Common_InputFunctions.Utility_DisplayArrayInTable(Fertiliser_SourceData.Fertiliser_Products_Data1(), FertiliserProducts[[#Headers],[Company]],1)</f>
        <v/>
      </c>
      <c r="AK108" s="1"/>
      <c r="AL108" s="1"/>
      <c r="AM108" s="1"/>
    </row>
    <row r="109" spans="4:39" ht="20.100000000000001" customHeight="1" x14ac:dyDescent="0.25">
      <c r="D109" s="192" t="str" cm="1">
        <f t="array" ref="D109">Common_InputFunctions.Utility_DisplayArrayInTable(Fertiliser_SourceData.Fertiliser_Products_Data1(), FertiliserProducts[[#Headers],[Company]],1)</f>
        <v>Ravensdown</v>
      </c>
      <c r="E109" s="192" t="str" cm="1">
        <f t="array" ref="E109">Common_InputFunctions.Utility_DisplayArrayInTable(Fertiliser_SourceData.Fertiliser_Products_Data1(), FertiliserProducts[[#Headers],[Company]],1)</f>
        <v>Ammonium Sulphate - Granular</v>
      </c>
      <c r="F109" s="192" t="str" cm="1">
        <f t="array" ref="F109">Common_InputFunctions.Utility_DisplayArrayInTable(Fertiliser_SourceData.Fertiliser_Products_Data1(), FertiliserProducts[[#Headers],[Company]],1)</f>
        <v>kg</v>
      </c>
      <c r="G109" s="192" cm="1">
        <f t="array" ref="G109">Common_InputFunctions.Utility_DisplayArrayInTable(Fertiliser_SourceData.Fertiliser_Products_Data1(), FertiliserProducts[[#Headers],[Company]],1)</f>
        <v>1</v>
      </c>
      <c r="H109" s="192" t="str" cm="1">
        <f t="array" ref="H109">Common_InputFunctions.Utility_DisplayArrayInTable(Fertiliser_SourceData.Fertiliser_Products_Data1(), FertiliserProducts[[#Headers],[Company]],1)</f>
        <v/>
      </c>
      <c r="I109" s="192" t="str" cm="1">
        <f t="array" ref="I109">Common_InputFunctions.Utility_DisplayArrayInTable(Fertiliser_SourceData.Fertiliser_Products_Data1(), FertiliserProducts[[#Headers],[Company]],1)</f>
        <v/>
      </c>
      <c r="J109" s="192" t="str" cm="1">
        <f t="array" ref="J109">Common_InputFunctions.Utility_DisplayArrayInTable(Fertiliser_SourceData.Fertiliser_Products_Data1(), FertiliserProducts[[#Headers],[Company]],1)</f>
        <v/>
      </c>
      <c r="K109" s="192" cm="1">
        <f t="array" ref="K109">Common_InputFunctions.Utility_DisplayArrayInTable(Fertiliser_SourceData.Fertiliser_Products_Data1(), FertiliserProducts[[#Headers],[Company]],1)</f>
        <v>21</v>
      </c>
      <c r="L109" s="192" t="str" cm="1">
        <f t="array" ref="L109">Common_InputFunctions.Utility_DisplayArrayInTable(Fertiliser_SourceData.Fertiliser_Products_Data1(), FertiliserProducts[[#Headers],[Company]],1)</f>
        <v/>
      </c>
      <c r="M109" s="192" t="str" cm="1">
        <f t="array" ref="M109">Common_InputFunctions.Utility_DisplayArrayInTable(Fertiliser_SourceData.Fertiliser_Products_Data1(), FertiliserProducts[[#Headers],[Company]],1)</f>
        <v/>
      </c>
      <c r="N109" s="192" cm="1">
        <f t="array" ref="N109">Common_InputFunctions.Utility_DisplayArrayInTable(Fertiliser_SourceData.Fertiliser_Products_Data1(), FertiliserProducts[[#Headers],[Company]],1)</f>
        <v>24</v>
      </c>
      <c r="O109" s="192" t="str" cm="1">
        <f t="array" ref="O109">Common_InputFunctions.Utility_DisplayArrayInTable(Fertiliser_SourceData.Fertiliser_Products_Data1(), FertiliserProducts[[#Headers],[Company]],1)</f>
        <v>Sulphate of ammonia (SOA)</v>
      </c>
      <c r="P109" s="192" cm="1">
        <f t="array" ref="P109">Common_InputFunctions.Utility_DisplayArrayInTable(Fertiliser_SourceData.Fertiliser_Products_Data1(), FertiliserProducts[[#Headers],[Company]],1)</f>
        <v>1</v>
      </c>
      <c r="Q109" s="192" t="str" cm="1">
        <f t="array" ref="Q109">Common_InputFunctions.Utility_DisplayArrayInTable(Fertiliser_SourceData.Fertiliser_Products_Data1(), FertiliserProducts[[#Headers],[Company]],1)</f>
        <v/>
      </c>
      <c r="R109" s="192" t="str" cm="1">
        <f t="array" ref="R109">Common_InputFunctions.Utility_DisplayArrayInTable(Fertiliser_SourceData.Fertiliser_Products_Data1(), FertiliserProducts[[#Headers],[Company]],1)</f>
        <v/>
      </c>
      <c r="S109" s="192" t="str" cm="1">
        <f t="array" ref="S109">Common_InputFunctions.Utility_DisplayArrayInTable(Fertiliser_SourceData.Fertiliser_Products_Data1(), FertiliserProducts[[#Headers],[Company]],1)</f>
        <v/>
      </c>
      <c r="T109" s="192" t="str" cm="1">
        <f t="array" ref="T109">Common_InputFunctions.Utility_DisplayArrayInTable(Fertiliser_SourceData.Fertiliser_Products_Data1(), FertiliserProducts[[#Headers],[Company]],1)</f>
        <v/>
      </c>
      <c r="U109" s="192" t="str" cm="1">
        <f t="array" ref="U109">Common_InputFunctions.Utility_DisplayArrayInTable(Fertiliser_SourceData.Fertiliser_Products_Data1(), FertiliserProducts[[#Headers],[Company]],1)</f>
        <v/>
      </c>
      <c r="V109" s="192" t="str" cm="1">
        <f t="array" ref="V109">Common_InputFunctions.Utility_DisplayArrayInTable(Fertiliser_SourceData.Fertiliser_Products_Data1(), FertiliserProducts[[#Headers],[Company]],1)</f>
        <v/>
      </c>
      <c r="W109" s="192" t="str" cm="1">
        <f t="array" ref="W109">Common_InputFunctions.Utility_DisplayArrayInTable(Fertiliser_SourceData.Fertiliser_Products_Data1(), FertiliserProducts[[#Headers],[Company]],1)</f>
        <v/>
      </c>
      <c r="X109" s="192" t="str" cm="1">
        <f t="array" ref="X109">Common_InputFunctions.Utility_DisplayArrayInTable(Fertiliser_SourceData.Fertiliser_Products_Data1(), FertiliserProducts[[#Headers],[Company]],1)</f>
        <v/>
      </c>
      <c r="Y109" s="192" t="str" cm="1">
        <f t="array" ref="Y109">Common_InputFunctions.Utility_DisplayArrayInTable(Fertiliser_SourceData.Fertiliser_Products_Data1(), FertiliserProducts[[#Headers],[Company]],1)</f>
        <v/>
      </c>
      <c r="Z109" s="192" t="str" cm="1">
        <f t="array" ref="Z109">Common_InputFunctions.Utility_DisplayArrayInTable(Fertiliser_SourceData.Fertiliser_Products_Data1(), FertiliserProducts[[#Headers],[Company]],1)</f>
        <v/>
      </c>
      <c r="AA109" s="192" t="str" cm="1">
        <f t="array" ref="AA109">Common_InputFunctions.Utility_DisplayArrayInTable(Fertiliser_SourceData.Fertiliser_Products_Data1(), FertiliserProducts[[#Headers],[Company]],1)</f>
        <v/>
      </c>
      <c r="AB109" s="192" t="str" cm="1">
        <f t="array" ref="AB109">Common_InputFunctions.Utility_DisplayArrayInTable(Fertiliser_SourceData.Fertiliser_Products_Data1(), FertiliserProducts[[#Headers],[Company]],1)</f>
        <v/>
      </c>
      <c r="AC109" s="192" t="str" cm="1">
        <f t="array" ref="AC109">Common_InputFunctions.Utility_DisplayArrayInTable(Fertiliser_SourceData.Fertiliser_Products_Data1(), FertiliserProducts[[#Headers],[Company]],1)</f>
        <v/>
      </c>
      <c r="AD109" s="192" t="str" cm="1">
        <f t="array" ref="AD109">Common_InputFunctions.Utility_DisplayArrayInTable(Fertiliser_SourceData.Fertiliser_Products_Data1(), FertiliserProducts[[#Headers],[Company]],1)</f>
        <v/>
      </c>
      <c r="AE109" s="192" t="str" cm="1">
        <f t="array" ref="AE109">Common_InputFunctions.Utility_DisplayArrayInTable(Fertiliser_SourceData.Fertiliser_Products_Data1(), FertiliserProducts[[#Headers],[Company]],1)</f>
        <v/>
      </c>
      <c r="AF109" s="192" t="str" cm="1">
        <f t="array" ref="AF109">Common_InputFunctions.Utility_DisplayArrayInTable(Fertiliser_SourceData.Fertiliser_Products_Data1(), FertiliserProducts[[#Headers],[Company]],1)</f>
        <v/>
      </c>
      <c r="AG109" s="192" t="str" cm="1">
        <f t="array" ref="AG109">Common_InputFunctions.Utility_DisplayArrayInTable(Fertiliser_SourceData.Fertiliser_Products_Data1(), FertiliserProducts[[#Headers],[Company]],1)</f>
        <v/>
      </c>
      <c r="AH109" s="192" t="str" cm="1">
        <f t="array" ref="AH109">Common_InputFunctions.Utility_DisplayArrayInTable(Fertiliser_SourceData.Fertiliser_Products_Data1(), FertiliserProducts[[#Headers],[Company]],1)</f>
        <v/>
      </c>
      <c r="AK109" s="1"/>
      <c r="AL109" s="1"/>
      <c r="AM109" s="1"/>
    </row>
    <row r="110" spans="4:39" ht="20.100000000000001" customHeight="1" x14ac:dyDescent="0.25">
      <c r="D110" s="192" t="str" cm="1">
        <f t="array" ref="D110">Common_InputFunctions.Utility_DisplayArrayInTable(Fertiliser_SourceData.Fertiliser_Products_Data1(), FertiliserProducts[[#Headers],[Company]],1)</f>
        <v>Impact Fertilisers</v>
      </c>
      <c r="E110" s="192" t="str" cm="1">
        <f t="array" ref="E110">Common_InputFunctions.Utility_DisplayArrayInTable(Fertiliser_SourceData.Fertiliser_Products_Data1(), FertiliserProducts[[#Headers],[Company]],1)</f>
        <v>Di-Ammonium Phosphate (DAP)</v>
      </c>
      <c r="F110" s="192" t="str" cm="1">
        <f t="array" ref="F110">Common_InputFunctions.Utility_DisplayArrayInTable(Fertiliser_SourceData.Fertiliser_Products_Data1(), FertiliserProducts[[#Headers],[Company]],1)</f>
        <v>kg</v>
      </c>
      <c r="G110" s="192" cm="1">
        <f t="array" ref="G110">Common_InputFunctions.Utility_DisplayArrayInTable(Fertiliser_SourceData.Fertiliser_Products_Data1(), FertiliserProducts[[#Headers],[Company]],1)</f>
        <v>1</v>
      </c>
      <c r="H110" s="192" t="str" cm="1">
        <f t="array" ref="H110">Common_InputFunctions.Utility_DisplayArrayInTable(Fertiliser_SourceData.Fertiliser_Products_Data1(), FertiliserProducts[[#Headers],[Company]],1)</f>
        <v/>
      </c>
      <c r="I110" s="192" t="str" cm="1">
        <f t="array" ref="I110">Common_InputFunctions.Utility_DisplayArrayInTable(Fertiliser_SourceData.Fertiliser_Products_Data1(), FertiliserProducts[[#Headers],[Company]],1)</f>
        <v/>
      </c>
      <c r="J110" s="192" t="str" cm="1">
        <f t="array" ref="J110">Common_InputFunctions.Utility_DisplayArrayInTable(Fertiliser_SourceData.Fertiliser_Products_Data1(), FertiliserProducts[[#Headers],[Company]],1)</f>
        <v/>
      </c>
      <c r="K110" s="192" cm="1">
        <f t="array" ref="K110">Common_InputFunctions.Utility_DisplayArrayInTable(Fertiliser_SourceData.Fertiliser_Products_Data1(), FertiliserProducts[[#Headers],[Company]],1)</f>
        <v>18</v>
      </c>
      <c r="L110" s="192" cm="1">
        <f t="array" ref="L110">Common_InputFunctions.Utility_DisplayArrayInTable(Fertiliser_SourceData.Fertiliser_Products_Data1(), FertiliserProducts[[#Headers],[Company]],1)</f>
        <v>20</v>
      </c>
      <c r="M110" s="192" t="str" cm="1">
        <f t="array" ref="M110">Common_InputFunctions.Utility_DisplayArrayInTable(Fertiliser_SourceData.Fertiliser_Products_Data1(), FertiliserProducts[[#Headers],[Company]],1)</f>
        <v/>
      </c>
      <c r="N110" s="192" t="str" cm="1">
        <f t="array" ref="N110">Common_InputFunctions.Utility_DisplayArrayInTable(Fertiliser_SourceData.Fertiliser_Products_Data1(), FertiliserProducts[[#Headers],[Company]],1)</f>
        <v/>
      </c>
      <c r="O110" s="192" t="str" cm="1">
        <f t="array" ref="O110">Common_InputFunctions.Utility_DisplayArrayInTable(Fertiliser_SourceData.Fertiliser_Products_Data1(), FertiliserProducts[[#Headers],[Company]],1)</f>
        <v>Diammonium phosphate (DAP)</v>
      </c>
      <c r="P110" s="192" cm="1">
        <f t="array" ref="P110">Common_InputFunctions.Utility_DisplayArrayInTable(Fertiliser_SourceData.Fertiliser_Products_Data1(), FertiliserProducts[[#Headers],[Company]],1)</f>
        <v>1</v>
      </c>
      <c r="Q110" s="192" t="str" cm="1">
        <f t="array" ref="Q110">Common_InputFunctions.Utility_DisplayArrayInTable(Fertiliser_SourceData.Fertiliser_Products_Data1(), FertiliserProducts[[#Headers],[Company]],1)</f>
        <v/>
      </c>
      <c r="R110" s="192" t="str" cm="1">
        <f t="array" ref="R110">Common_InputFunctions.Utility_DisplayArrayInTable(Fertiliser_SourceData.Fertiliser_Products_Data1(), FertiliserProducts[[#Headers],[Company]],1)</f>
        <v/>
      </c>
      <c r="S110" s="192" t="str" cm="1">
        <f t="array" ref="S110">Common_InputFunctions.Utility_DisplayArrayInTable(Fertiliser_SourceData.Fertiliser_Products_Data1(), FertiliserProducts[[#Headers],[Company]],1)</f>
        <v/>
      </c>
      <c r="T110" s="192" t="str" cm="1">
        <f t="array" ref="T110">Common_InputFunctions.Utility_DisplayArrayInTable(Fertiliser_SourceData.Fertiliser_Products_Data1(), FertiliserProducts[[#Headers],[Company]],1)</f>
        <v/>
      </c>
      <c r="U110" s="192" t="str" cm="1">
        <f t="array" ref="U110">Common_InputFunctions.Utility_DisplayArrayInTable(Fertiliser_SourceData.Fertiliser_Products_Data1(), FertiliserProducts[[#Headers],[Company]],1)</f>
        <v/>
      </c>
      <c r="V110" s="192" t="str" cm="1">
        <f t="array" ref="V110">Common_InputFunctions.Utility_DisplayArrayInTable(Fertiliser_SourceData.Fertiliser_Products_Data1(), FertiliserProducts[[#Headers],[Company]],1)</f>
        <v/>
      </c>
      <c r="W110" s="192" t="str" cm="1">
        <f t="array" ref="W110">Common_InputFunctions.Utility_DisplayArrayInTable(Fertiliser_SourceData.Fertiliser_Products_Data1(), FertiliserProducts[[#Headers],[Company]],1)</f>
        <v/>
      </c>
      <c r="X110" s="192" t="str" cm="1">
        <f t="array" ref="X110">Common_InputFunctions.Utility_DisplayArrayInTable(Fertiliser_SourceData.Fertiliser_Products_Data1(), FertiliserProducts[[#Headers],[Company]],1)</f>
        <v/>
      </c>
      <c r="Y110" s="192" t="str" cm="1">
        <f t="array" ref="Y110">Common_InputFunctions.Utility_DisplayArrayInTable(Fertiliser_SourceData.Fertiliser_Products_Data1(), FertiliserProducts[[#Headers],[Company]],1)</f>
        <v/>
      </c>
      <c r="Z110" s="192" t="str" cm="1">
        <f t="array" ref="Z110">Common_InputFunctions.Utility_DisplayArrayInTable(Fertiliser_SourceData.Fertiliser_Products_Data1(), FertiliserProducts[[#Headers],[Company]],1)</f>
        <v/>
      </c>
      <c r="AA110" s="192" t="str" cm="1">
        <f t="array" ref="AA110">Common_InputFunctions.Utility_DisplayArrayInTable(Fertiliser_SourceData.Fertiliser_Products_Data1(), FertiliserProducts[[#Headers],[Company]],1)</f>
        <v/>
      </c>
      <c r="AB110" s="192" t="str" cm="1">
        <f t="array" ref="AB110">Common_InputFunctions.Utility_DisplayArrayInTable(Fertiliser_SourceData.Fertiliser_Products_Data1(), FertiliserProducts[[#Headers],[Company]],1)</f>
        <v/>
      </c>
      <c r="AC110" s="192" t="str" cm="1">
        <f t="array" ref="AC110">Common_InputFunctions.Utility_DisplayArrayInTable(Fertiliser_SourceData.Fertiliser_Products_Data1(), FertiliserProducts[[#Headers],[Company]],1)</f>
        <v/>
      </c>
      <c r="AD110" s="192" t="str" cm="1">
        <f t="array" ref="AD110">Common_InputFunctions.Utility_DisplayArrayInTable(Fertiliser_SourceData.Fertiliser_Products_Data1(), FertiliserProducts[[#Headers],[Company]],1)</f>
        <v/>
      </c>
      <c r="AE110" s="192" t="str" cm="1">
        <f t="array" ref="AE110">Common_InputFunctions.Utility_DisplayArrayInTable(Fertiliser_SourceData.Fertiliser_Products_Data1(), FertiliserProducts[[#Headers],[Company]],1)</f>
        <v/>
      </c>
      <c r="AF110" s="192" t="str" cm="1">
        <f t="array" ref="AF110">Common_InputFunctions.Utility_DisplayArrayInTable(Fertiliser_SourceData.Fertiliser_Products_Data1(), FertiliserProducts[[#Headers],[Company]],1)</f>
        <v/>
      </c>
      <c r="AG110" s="192" t="str" cm="1">
        <f t="array" ref="AG110">Common_InputFunctions.Utility_DisplayArrayInTable(Fertiliser_SourceData.Fertiliser_Products_Data1(), FertiliserProducts[[#Headers],[Company]],1)</f>
        <v/>
      </c>
      <c r="AH110" s="192" t="str" cm="1">
        <f t="array" ref="AH110">Common_InputFunctions.Utility_DisplayArrayInTable(Fertiliser_SourceData.Fertiliser_Products_Data1(), FertiliserProducts[[#Headers],[Company]],1)</f>
        <v/>
      </c>
      <c r="AK110" s="1"/>
      <c r="AL110" s="1"/>
      <c r="AM110" s="1"/>
    </row>
    <row r="111" spans="4:39" ht="20.100000000000001" customHeight="1" x14ac:dyDescent="0.25">
      <c r="D111" s="192" t="str" cm="1">
        <f t="array" ref="D111">Common_InputFunctions.Utility_DisplayArrayInTable(Fertiliser_SourceData.Fertiliser_Products_Data1(), FertiliserProducts[[#Headers],[Company]],1)</f>
        <v>Incitec Pivot Fertilisers</v>
      </c>
      <c r="E111" s="192" t="str" cm="1">
        <f t="array" ref="E111">Common_InputFunctions.Utility_DisplayArrayInTable(Fertiliser_SourceData.Fertiliser_Products_Data1(), FertiliserProducts[[#Headers],[Company]],1)</f>
        <v>Basalt BooSSta</v>
      </c>
      <c r="F111" s="192" t="str" cm="1">
        <f t="array" ref="F111">Common_InputFunctions.Utility_DisplayArrayInTable(Fertiliser_SourceData.Fertiliser_Products_Data1(), FertiliserProducts[[#Headers],[Company]],1)</f>
        <v>kg</v>
      </c>
      <c r="G111" s="192" cm="1">
        <f t="array" ref="G111">Common_InputFunctions.Utility_DisplayArrayInTable(Fertiliser_SourceData.Fertiliser_Products_Data1(), FertiliserProducts[[#Headers],[Company]],1)</f>
        <v>1</v>
      </c>
      <c r="H111" s="192" t="str" cm="1">
        <f t="array" ref="H111">Common_InputFunctions.Utility_DisplayArrayInTable(Fertiliser_SourceData.Fertiliser_Products_Data1(), FertiliserProducts[[#Headers],[Company]],1)</f>
        <v/>
      </c>
      <c r="I111" s="192" t="str" cm="1">
        <f t="array" ref="I111">Common_InputFunctions.Utility_DisplayArrayInTable(Fertiliser_SourceData.Fertiliser_Products_Data1(), FertiliserProducts[[#Headers],[Company]],1)</f>
        <v/>
      </c>
      <c r="J111" s="192" t="str" cm="1">
        <f t="array" ref="J111">Common_InputFunctions.Utility_DisplayArrayInTable(Fertiliser_SourceData.Fertiliser_Products_Data1(), FertiliserProducts[[#Headers],[Company]],1)</f>
        <v/>
      </c>
      <c r="K111" s="192" cm="1">
        <f t="array" ref="K111">Common_InputFunctions.Utility_DisplayArrayInTable(Fertiliser_SourceData.Fertiliser_Products_Data1(), FertiliserProducts[[#Headers],[Company]],1)</f>
        <v>8</v>
      </c>
      <c r="L111" s="192" cm="1">
        <f t="array" ref="L111">Common_InputFunctions.Utility_DisplayArrayInTable(Fertiliser_SourceData.Fertiliser_Products_Data1(), FertiliserProducts[[#Headers],[Company]],1)</f>
        <v>14</v>
      </c>
      <c r="M111" s="192" t="str" cm="1">
        <f t="array" ref="M111">Common_InputFunctions.Utility_DisplayArrayInTable(Fertiliser_SourceData.Fertiliser_Products_Data1(), FertiliserProducts[[#Headers],[Company]],1)</f>
        <v/>
      </c>
      <c r="N111" s="192" cm="1">
        <f t="array" ref="N111">Common_InputFunctions.Utility_DisplayArrayInTable(Fertiliser_SourceData.Fertiliser_Products_Data1(), FertiliserProducts[[#Headers],[Company]],1)</f>
        <v>27.6</v>
      </c>
      <c r="O111" s="192" t="str" cm="1">
        <f t="array" ref="O111">Common_InputFunctions.Utility_DisplayArrayInTable(Fertiliser_SourceData.Fertiliser_Products_Data1(), FertiliserProducts[[#Headers],[Company]],1)</f>
        <v>Sulfur - Generic</v>
      </c>
      <c r="P111" s="192" cm="1">
        <f t="array" ref="P111">Common_InputFunctions.Utility_DisplayArrayInTable(Fertiliser_SourceData.Fertiliser_Products_Data1(), FertiliserProducts[[#Headers],[Company]],1)</f>
        <v>0.27600000000000002</v>
      </c>
      <c r="Q111" s="192" t="str" cm="1">
        <f t="array" ref="Q111">Common_InputFunctions.Utility_DisplayArrayInTable(Fertiliser_SourceData.Fertiliser_Products_Data1(), FertiliserProducts[[#Headers],[Company]],1)</f>
        <v>Phosphorus - Generic</v>
      </c>
      <c r="R111" s="192" cm="1">
        <f t="array" ref="R111">Common_InputFunctions.Utility_DisplayArrayInTable(Fertiliser_SourceData.Fertiliser_Products_Data1(), FertiliserProducts[[#Headers],[Company]],1)</f>
        <v>0.14000000000000001</v>
      </c>
      <c r="S111" s="192" t="str" cm="1">
        <f t="array" ref="S111">Common_InputFunctions.Utility_DisplayArrayInTable(Fertiliser_SourceData.Fertiliser_Products_Data1(), FertiliserProducts[[#Headers],[Company]],1)</f>
        <v>Nitrogen - Generic</v>
      </c>
      <c r="T111" s="192" cm="1">
        <f t="array" ref="T111">Common_InputFunctions.Utility_DisplayArrayInTable(Fertiliser_SourceData.Fertiliser_Products_Data1(), FertiliserProducts[[#Headers],[Company]],1)</f>
        <v>0.08</v>
      </c>
      <c r="U111" s="192" t="str" cm="1">
        <f t="array" ref="U111">Common_InputFunctions.Utility_DisplayArrayInTable(Fertiliser_SourceData.Fertiliser_Products_Data1(), FertiliserProducts[[#Headers],[Company]],1)</f>
        <v>Fluoride</v>
      </c>
      <c r="V111" s="192" cm="1">
        <f t="array" ref="V111">Common_InputFunctions.Utility_DisplayArrayInTable(Fertiliser_SourceData.Fertiliser_Products_Data1(), FertiliserProducts[[#Headers],[Company]],1)</f>
        <v>2.4E-2</v>
      </c>
      <c r="W111" s="192" t="str" cm="1">
        <f t="array" ref="W111">Common_InputFunctions.Utility_DisplayArrayInTable(Fertiliser_SourceData.Fertiliser_Products_Data1(), FertiliserProducts[[#Headers],[Company]],1)</f>
        <v/>
      </c>
      <c r="X111" s="192" t="str" cm="1">
        <f t="array" ref="X111">Common_InputFunctions.Utility_DisplayArrayInTable(Fertiliser_SourceData.Fertiliser_Products_Data1(), FertiliserProducts[[#Headers],[Company]],1)</f>
        <v/>
      </c>
      <c r="Y111" s="192" t="str" cm="1">
        <f t="array" ref="Y111">Common_InputFunctions.Utility_DisplayArrayInTable(Fertiliser_SourceData.Fertiliser_Products_Data1(), FertiliserProducts[[#Headers],[Company]],1)</f>
        <v/>
      </c>
      <c r="Z111" s="192" t="str" cm="1">
        <f t="array" ref="Z111">Common_InputFunctions.Utility_DisplayArrayInTable(Fertiliser_SourceData.Fertiliser_Products_Data1(), FertiliserProducts[[#Headers],[Company]],1)</f>
        <v/>
      </c>
      <c r="AA111" s="192" t="str" cm="1">
        <f t="array" ref="AA111">Common_InputFunctions.Utility_DisplayArrayInTable(Fertiliser_SourceData.Fertiliser_Products_Data1(), FertiliserProducts[[#Headers],[Company]],1)</f>
        <v/>
      </c>
      <c r="AB111" s="192" t="str" cm="1">
        <f t="array" ref="AB111">Common_InputFunctions.Utility_DisplayArrayInTable(Fertiliser_SourceData.Fertiliser_Products_Data1(), FertiliserProducts[[#Headers],[Company]],1)</f>
        <v/>
      </c>
      <c r="AC111" s="192" t="str" cm="1">
        <f t="array" ref="AC111">Common_InputFunctions.Utility_DisplayArrayInTable(Fertiliser_SourceData.Fertiliser_Products_Data1(), FertiliserProducts[[#Headers],[Company]],1)</f>
        <v/>
      </c>
      <c r="AD111" s="192" t="str" cm="1">
        <f t="array" ref="AD111">Common_InputFunctions.Utility_DisplayArrayInTable(Fertiliser_SourceData.Fertiliser_Products_Data1(), FertiliserProducts[[#Headers],[Company]],1)</f>
        <v/>
      </c>
      <c r="AE111" s="192" t="str" cm="1">
        <f t="array" ref="AE111">Common_InputFunctions.Utility_DisplayArrayInTable(Fertiliser_SourceData.Fertiliser_Products_Data1(), FertiliserProducts[[#Headers],[Company]],1)</f>
        <v/>
      </c>
      <c r="AF111" s="192" t="str" cm="1">
        <f t="array" ref="AF111">Common_InputFunctions.Utility_DisplayArrayInTable(Fertiliser_SourceData.Fertiliser_Products_Data1(), FertiliserProducts[[#Headers],[Company]],1)</f>
        <v/>
      </c>
      <c r="AG111" s="192" t="str" cm="1">
        <f t="array" ref="AG111">Common_InputFunctions.Utility_DisplayArrayInTable(Fertiliser_SourceData.Fertiliser_Products_Data1(), FertiliserProducts[[#Headers],[Company]],1)</f>
        <v/>
      </c>
      <c r="AH111" s="192" t="str" cm="1">
        <f t="array" ref="AH111">Common_InputFunctions.Utility_DisplayArrayInTable(Fertiliser_SourceData.Fertiliser_Products_Data1(), FertiliserProducts[[#Headers],[Company]],1)</f>
        <v/>
      </c>
      <c r="AK111" s="1"/>
      <c r="AL111" s="1"/>
      <c r="AM111" s="1"/>
    </row>
    <row r="112" spans="4:39" ht="20.100000000000001" customHeight="1" x14ac:dyDescent="0.25">
      <c r="D112" s="192" t="str" cm="1">
        <f t="array" ref="D112">Common_InputFunctions.Utility_DisplayArrayInTable(Fertiliser_SourceData.Fertiliser_Products_Data1(), FertiliserProducts[[#Headers],[Company]],1)</f>
        <v>Summit Fertilizers</v>
      </c>
      <c r="E112" s="192" t="str" cm="1">
        <f t="array" ref="E112">Common_InputFunctions.Utility_DisplayArrayInTable(Fertiliser_SourceData.Fertiliser_Products_Data1(), FertiliserProducts[[#Headers],[Company]],1)</f>
        <v>DAPSZC</v>
      </c>
      <c r="F112" s="192" t="str" cm="1">
        <f t="array" ref="F112">Common_InputFunctions.Utility_DisplayArrayInTable(Fertiliser_SourceData.Fertiliser_Products_Data1(), FertiliserProducts[[#Headers],[Company]],1)</f>
        <v>kg</v>
      </c>
      <c r="G112" s="192" cm="1">
        <f t="array" ref="G112">Common_InputFunctions.Utility_DisplayArrayInTable(Fertiliser_SourceData.Fertiliser_Products_Data1(), FertiliserProducts[[#Headers],[Company]],1)</f>
        <v>1</v>
      </c>
      <c r="H112" s="192" t="str" cm="1">
        <f t="array" ref="H112">Common_InputFunctions.Utility_DisplayArrayInTable(Fertiliser_SourceData.Fertiliser_Products_Data1(), FertiliserProducts[[#Headers],[Company]],1)</f>
        <v/>
      </c>
      <c r="I112" s="192" t="str" cm="1">
        <f t="array" ref="I112">Common_InputFunctions.Utility_DisplayArrayInTable(Fertiliser_SourceData.Fertiliser_Products_Data1(), FertiliserProducts[[#Headers],[Company]],1)</f>
        <v/>
      </c>
      <c r="J112" s="192" t="str" cm="1">
        <f t="array" ref="J112">Common_InputFunctions.Utility_DisplayArrayInTable(Fertiliser_SourceData.Fertiliser_Products_Data1(), FertiliserProducts[[#Headers],[Company]],1)</f>
        <v/>
      </c>
      <c r="K112" s="192" cm="1">
        <f t="array" ref="K112">Common_InputFunctions.Utility_DisplayArrayInTable(Fertiliser_SourceData.Fertiliser_Products_Data1(), FertiliserProducts[[#Headers],[Company]],1)</f>
        <v>16.899999999999999</v>
      </c>
      <c r="L112" s="192" cm="1">
        <f t="array" ref="L112">Common_InputFunctions.Utility_DisplayArrayInTable(Fertiliser_SourceData.Fertiliser_Products_Data1(), FertiliserProducts[[#Headers],[Company]],1)</f>
        <v>18.2</v>
      </c>
      <c r="M112" s="192" t="str" cm="1">
        <f t="array" ref="M112">Common_InputFunctions.Utility_DisplayArrayInTable(Fertiliser_SourceData.Fertiliser_Products_Data1(), FertiliserProducts[[#Headers],[Company]],1)</f>
        <v/>
      </c>
      <c r="N112" s="192" cm="1">
        <f t="array" ref="N112">Common_InputFunctions.Utility_DisplayArrayInTable(Fertiliser_SourceData.Fertiliser_Products_Data1(), FertiliserProducts[[#Headers],[Company]],1)</f>
        <v>8</v>
      </c>
      <c r="O112" s="192" t="str" cm="1">
        <f t="array" ref="O112">Common_InputFunctions.Utility_DisplayArrayInTable(Fertiliser_SourceData.Fertiliser_Products_Data1(), FertiliserProducts[[#Headers],[Company]],1)</f>
        <v>Phosphorus - Generic</v>
      </c>
      <c r="P112" s="192" cm="1">
        <f t="array" ref="P112">Common_InputFunctions.Utility_DisplayArrayInTable(Fertiliser_SourceData.Fertiliser_Products_Data1(), FertiliserProducts[[#Headers],[Company]],1)</f>
        <v>0.182</v>
      </c>
      <c r="Q112" s="192" t="str" cm="1">
        <f t="array" ref="Q112">Common_InputFunctions.Utility_DisplayArrayInTable(Fertiliser_SourceData.Fertiliser_Products_Data1(), FertiliserProducts[[#Headers],[Company]],1)</f>
        <v>Nitrogen - Generic</v>
      </c>
      <c r="R112" s="192" cm="1">
        <f t="array" ref="R112">Common_InputFunctions.Utility_DisplayArrayInTable(Fertiliser_SourceData.Fertiliser_Products_Data1(), FertiliserProducts[[#Headers],[Company]],1)</f>
        <v>0.16900000000000001</v>
      </c>
      <c r="S112" s="192" t="str" cm="1">
        <f t="array" ref="S112">Common_InputFunctions.Utility_DisplayArrayInTable(Fertiliser_SourceData.Fertiliser_Products_Data1(), FertiliserProducts[[#Headers],[Company]],1)</f>
        <v>Sulfur - Generic</v>
      </c>
      <c r="T112" s="192" cm="1">
        <f t="array" ref="T112">Common_InputFunctions.Utility_DisplayArrayInTable(Fertiliser_SourceData.Fertiliser_Products_Data1(), FertiliserProducts[[#Headers],[Company]],1)</f>
        <v>0.08</v>
      </c>
      <c r="U112" s="192" t="str" cm="1">
        <f t="array" ref="U112">Common_InputFunctions.Utility_DisplayArrayInTable(Fertiliser_SourceData.Fertiliser_Products_Data1(), FertiliserProducts[[#Headers],[Company]],1)</f>
        <v>Zinc</v>
      </c>
      <c r="V112" s="192" cm="1">
        <f t="array" ref="V112">Common_InputFunctions.Utility_DisplayArrayInTable(Fertiliser_SourceData.Fertiliser_Products_Data1(), FertiliserProducts[[#Headers],[Company]],1)</f>
        <v>2E-3</v>
      </c>
      <c r="W112" s="192" t="str" cm="1">
        <f t="array" ref="W112">Common_InputFunctions.Utility_DisplayArrayInTable(Fertiliser_SourceData.Fertiliser_Products_Data1(), FertiliserProducts[[#Headers],[Company]],1)</f>
        <v>Copper</v>
      </c>
      <c r="X112" s="192" cm="1">
        <f t="array" ref="X112">Common_InputFunctions.Utility_DisplayArrayInTable(Fertiliser_SourceData.Fertiliser_Products_Data1(), FertiliserProducts[[#Headers],[Company]],1)</f>
        <v>1E-3</v>
      </c>
      <c r="Y112" s="192" t="str" cm="1">
        <f t="array" ref="Y112">Common_InputFunctions.Utility_DisplayArrayInTable(Fertiliser_SourceData.Fertiliser_Products_Data1(), FertiliserProducts[[#Headers],[Company]],1)</f>
        <v/>
      </c>
      <c r="Z112" s="192" t="str" cm="1">
        <f t="array" ref="Z112">Common_InputFunctions.Utility_DisplayArrayInTable(Fertiliser_SourceData.Fertiliser_Products_Data1(), FertiliserProducts[[#Headers],[Company]],1)</f>
        <v/>
      </c>
      <c r="AA112" s="192" t="str" cm="1">
        <f t="array" ref="AA112">Common_InputFunctions.Utility_DisplayArrayInTable(Fertiliser_SourceData.Fertiliser_Products_Data1(), FertiliserProducts[[#Headers],[Company]],1)</f>
        <v/>
      </c>
      <c r="AB112" s="192" t="str" cm="1">
        <f t="array" ref="AB112">Common_InputFunctions.Utility_DisplayArrayInTable(Fertiliser_SourceData.Fertiliser_Products_Data1(), FertiliserProducts[[#Headers],[Company]],1)</f>
        <v/>
      </c>
      <c r="AC112" s="192" t="str" cm="1">
        <f t="array" ref="AC112">Common_InputFunctions.Utility_DisplayArrayInTable(Fertiliser_SourceData.Fertiliser_Products_Data1(), FertiliserProducts[[#Headers],[Company]],1)</f>
        <v/>
      </c>
      <c r="AD112" s="192" t="str" cm="1">
        <f t="array" ref="AD112">Common_InputFunctions.Utility_DisplayArrayInTable(Fertiliser_SourceData.Fertiliser_Products_Data1(), FertiliserProducts[[#Headers],[Company]],1)</f>
        <v/>
      </c>
      <c r="AE112" s="192" t="str" cm="1">
        <f t="array" ref="AE112">Common_InputFunctions.Utility_DisplayArrayInTable(Fertiliser_SourceData.Fertiliser_Products_Data1(), FertiliserProducts[[#Headers],[Company]],1)</f>
        <v/>
      </c>
      <c r="AF112" s="192" t="str" cm="1">
        <f t="array" ref="AF112">Common_InputFunctions.Utility_DisplayArrayInTable(Fertiliser_SourceData.Fertiliser_Products_Data1(), FertiliserProducts[[#Headers],[Company]],1)</f>
        <v/>
      </c>
      <c r="AG112" s="192" t="str" cm="1">
        <f t="array" ref="AG112">Common_InputFunctions.Utility_DisplayArrayInTable(Fertiliser_SourceData.Fertiliser_Products_Data1(), FertiliserProducts[[#Headers],[Company]],1)</f>
        <v/>
      </c>
      <c r="AH112" s="192" t="str" cm="1">
        <f t="array" ref="AH112">Common_InputFunctions.Utility_DisplayArrayInTable(Fertiliser_SourceData.Fertiliser_Products_Data1(), FertiliserProducts[[#Headers],[Company]],1)</f>
        <v/>
      </c>
      <c r="AK112" s="1"/>
      <c r="AL112" s="1"/>
      <c r="AM112" s="1"/>
    </row>
    <row r="113" spans="4:39" ht="20.100000000000001" customHeight="1" x14ac:dyDescent="0.25">
      <c r="D113" s="192" t="str" cm="1">
        <f t="array" ref="D113">Common_InputFunctions.Utility_DisplayArrayInTable(Fertiliser_SourceData.Fertiliser_Products_Data1(), FertiliserProducts[[#Headers],[Company]],1)</f>
        <v>Incitec Pivot Fertilisers</v>
      </c>
      <c r="E113" s="192" t="str" cm="1">
        <f t="array" ref="E113">Common_InputFunctions.Utility_DisplayArrayInTable(Fertiliser_SourceData.Fertiliser_Products_Data1(), FertiliserProducts[[#Headers],[Company]],1)</f>
        <v>Easy N</v>
      </c>
      <c r="F113" s="192" t="str" cm="1">
        <f t="array" ref="F113">Common_InputFunctions.Utility_DisplayArrayInTable(Fertiliser_SourceData.Fertiliser_Products_Data1(), FertiliserProducts[[#Headers],[Company]],1)</f>
        <v>L</v>
      </c>
      <c r="G113" s="192" cm="1">
        <f t="array" ref="G113">Common_InputFunctions.Utility_DisplayArrayInTable(Fertiliser_SourceData.Fertiliser_Products_Data1(), FertiliserProducts[[#Headers],[Company]],1)</f>
        <v>1.32</v>
      </c>
      <c r="H113" s="192" t="str" cm="1">
        <f t="array" ref="H113">Common_InputFunctions.Utility_DisplayArrayInTable(Fertiliser_SourceData.Fertiliser_Products_Data1(), FertiliserProducts[[#Headers],[Company]],1)</f>
        <v/>
      </c>
      <c r="I113" s="192" t="str" cm="1">
        <f t="array" ref="I113">Common_InputFunctions.Utility_DisplayArrayInTable(Fertiliser_SourceData.Fertiliser_Products_Data1(), FertiliserProducts[[#Headers],[Company]],1)</f>
        <v/>
      </c>
      <c r="J113" s="192" t="str" cm="1">
        <f t="array" ref="J113">Common_InputFunctions.Utility_DisplayArrayInTable(Fertiliser_SourceData.Fertiliser_Products_Data1(), FertiliserProducts[[#Headers],[Company]],1)</f>
        <v/>
      </c>
      <c r="K113" s="192" cm="1">
        <f t="array" ref="K113">Common_InputFunctions.Utility_DisplayArrayInTable(Fertiliser_SourceData.Fertiliser_Products_Data1(), FertiliserProducts[[#Headers],[Company]],1)</f>
        <v>42.5</v>
      </c>
      <c r="L113" s="192" t="str" cm="1">
        <f t="array" ref="L113">Common_InputFunctions.Utility_DisplayArrayInTable(Fertiliser_SourceData.Fertiliser_Products_Data1(), FertiliserProducts[[#Headers],[Company]],1)</f>
        <v/>
      </c>
      <c r="M113" s="192" t="str" cm="1">
        <f t="array" ref="M113">Common_InputFunctions.Utility_DisplayArrayInTable(Fertiliser_SourceData.Fertiliser_Products_Data1(), FertiliserProducts[[#Headers],[Company]],1)</f>
        <v/>
      </c>
      <c r="N113" s="192" t="str" cm="1">
        <f t="array" ref="N113">Common_InputFunctions.Utility_DisplayArrayInTable(Fertiliser_SourceData.Fertiliser_Products_Data1(), FertiliserProducts[[#Headers],[Company]],1)</f>
        <v/>
      </c>
      <c r="O113" s="192" t="str" cm="1">
        <f t="array" ref="O113">Common_InputFunctions.Utility_DisplayArrayInTable(Fertiliser_SourceData.Fertiliser_Products_Data1(), FertiliserProducts[[#Headers],[Company]],1)</f>
        <v>Urea</v>
      </c>
      <c r="P113" s="192" cm="1">
        <f t="array" ref="P113">Common_InputFunctions.Utility_DisplayArrayInTable(Fertiliser_SourceData.Fertiliser_Products_Data1(), FertiliserProducts[[#Headers],[Company]],1)</f>
        <v>0.467391</v>
      </c>
      <c r="Q113" s="192" t="str" cm="1">
        <f t="array" ref="Q113">Common_InputFunctions.Utility_DisplayArrayInTable(Fertiliser_SourceData.Fertiliser_Products_Data1(), FertiliserProducts[[#Headers],[Company]],1)</f>
        <v>Nitrogen - Nitrate</v>
      </c>
      <c r="R113" s="192" cm="1">
        <f t="array" ref="R113">Common_InputFunctions.Utility_DisplayArrayInTable(Fertiliser_SourceData.Fertiliser_Products_Data1(), FertiliserProducts[[#Headers],[Company]],1)</f>
        <v>0.105</v>
      </c>
      <c r="S113" s="192" t="str" cm="1">
        <f t="array" ref="S113">Common_InputFunctions.Utility_DisplayArrayInTable(Fertiliser_SourceData.Fertiliser_Products_Data1(), FertiliserProducts[[#Headers],[Company]],1)</f>
        <v>Nitrogen - Ammoniacal</v>
      </c>
      <c r="T113" s="192" cm="1">
        <f t="array" ref="T113">Common_InputFunctions.Utility_DisplayArrayInTable(Fertiliser_SourceData.Fertiliser_Products_Data1(), FertiliserProducts[[#Headers],[Company]],1)</f>
        <v>0.105</v>
      </c>
      <c r="U113" s="192" t="str" cm="1">
        <f t="array" ref="U113">Common_InputFunctions.Utility_DisplayArrayInTable(Fertiliser_SourceData.Fertiliser_Products_Data1(), FertiliserProducts[[#Headers],[Company]],1)</f>
        <v>Biuret</v>
      </c>
      <c r="V113" s="192" cm="1">
        <f t="array" ref="V113">Common_InputFunctions.Utility_DisplayArrayInTable(Fertiliser_SourceData.Fertiliser_Products_Data1(), FertiliserProducts[[#Headers],[Company]],1)</f>
        <v>6.0000000000000001E-3</v>
      </c>
      <c r="W113" s="192" t="str" cm="1">
        <f t="array" ref="W113">Common_InputFunctions.Utility_DisplayArrayInTable(Fertiliser_SourceData.Fertiliser_Products_Data1(), FertiliserProducts[[#Headers],[Company]],1)</f>
        <v/>
      </c>
      <c r="X113" s="192" t="str" cm="1">
        <f t="array" ref="X113">Common_InputFunctions.Utility_DisplayArrayInTable(Fertiliser_SourceData.Fertiliser_Products_Data1(), FertiliserProducts[[#Headers],[Company]],1)</f>
        <v/>
      </c>
      <c r="Y113" s="192" t="str" cm="1">
        <f t="array" ref="Y113">Common_InputFunctions.Utility_DisplayArrayInTable(Fertiliser_SourceData.Fertiliser_Products_Data1(), FertiliserProducts[[#Headers],[Company]],1)</f>
        <v/>
      </c>
      <c r="Z113" s="192" t="str" cm="1">
        <f t="array" ref="Z113">Common_InputFunctions.Utility_DisplayArrayInTable(Fertiliser_SourceData.Fertiliser_Products_Data1(), FertiliserProducts[[#Headers],[Company]],1)</f>
        <v/>
      </c>
      <c r="AA113" s="192" t="str" cm="1">
        <f t="array" ref="AA113">Common_InputFunctions.Utility_DisplayArrayInTable(Fertiliser_SourceData.Fertiliser_Products_Data1(), FertiliserProducts[[#Headers],[Company]],1)</f>
        <v/>
      </c>
      <c r="AB113" s="192" t="str" cm="1">
        <f t="array" ref="AB113">Common_InputFunctions.Utility_DisplayArrayInTable(Fertiliser_SourceData.Fertiliser_Products_Data1(), FertiliserProducts[[#Headers],[Company]],1)</f>
        <v/>
      </c>
      <c r="AC113" s="192" t="str" cm="1">
        <f t="array" ref="AC113">Common_InputFunctions.Utility_DisplayArrayInTable(Fertiliser_SourceData.Fertiliser_Products_Data1(), FertiliserProducts[[#Headers],[Company]],1)</f>
        <v/>
      </c>
      <c r="AD113" s="192" t="str" cm="1">
        <f t="array" ref="AD113">Common_InputFunctions.Utility_DisplayArrayInTable(Fertiliser_SourceData.Fertiliser_Products_Data1(), FertiliserProducts[[#Headers],[Company]],1)</f>
        <v/>
      </c>
      <c r="AE113" s="192" t="str" cm="1">
        <f t="array" ref="AE113">Common_InputFunctions.Utility_DisplayArrayInTable(Fertiliser_SourceData.Fertiliser_Products_Data1(), FertiliserProducts[[#Headers],[Company]],1)</f>
        <v/>
      </c>
      <c r="AF113" s="192" t="str" cm="1">
        <f t="array" ref="AF113">Common_InputFunctions.Utility_DisplayArrayInTable(Fertiliser_SourceData.Fertiliser_Products_Data1(), FertiliserProducts[[#Headers],[Company]],1)</f>
        <v/>
      </c>
      <c r="AG113" s="192" t="str" cm="1">
        <f t="array" ref="AG113">Common_InputFunctions.Utility_DisplayArrayInTable(Fertiliser_SourceData.Fertiliser_Products_Data1(), FertiliserProducts[[#Headers],[Company]],1)</f>
        <v/>
      </c>
      <c r="AH113" s="192" t="str" cm="1">
        <f t="array" ref="AH113">Common_InputFunctions.Utility_DisplayArrayInTable(Fertiliser_SourceData.Fertiliser_Products_Data1(), FertiliserProducts[[#Headers],[Company]],1)</f>
        <v/>
      </c>
      <c r="AK113" s="1"/>
      <c r="AL113" s="1"/>
      <c r="AM113" s="1"/>
    </row>
    <row r="114" spans="4:39" ht="20.100000000000001" customHeight="1" x14ac:dyDescent="0.25">
      <c r="D114" s="192" t="str" cm="1">
        <f t="array" ref="D114">Common_InputFunctions.Utility_DisplayArrayInTable(Fertiliser_SourceData.Fertiliser_Products_Data1(), FertiliserProducts[[#Headers],[Company]],1)</f>
        <v>Risso-Chemical</v>
      </c>
      <c r="E114" s="192" t="str" cm="1">
        <f t="array" ref="E114">Common_InputFunctions.Utility_DisplayArrayInTable(Fertiliser_SourceData.Fertiliser_Products_Data1(), FertiliserProducts[[#Headers],[Company]],1)</f>
        <v>Calcium Ammonium nitrate</v>
      </c>
      <c r="F114" s="192" t="str" cm="1">
        <f t="array" ref="F114">Common_InputFunctions.Utility_DisplayArrayInTable(Fertiliser_SourceData.Fertiliser_Products_Data1(), FertiliserProducts[[#Headers],[Company]],1)</f>
        <v>kg</v>
      </c>
      <c r="G114" s="192" cm="1">
        <f t="array" ref="G114">Common_InputFunctions.Utility_DisplayArrayInTable(Fertiliser_SourceData.Fertiliser_Products_Data1(), FertiliserProducts[[#Headers],[Company]],1)</f>
        <v>1</v>
      </c>
      <c r="H114" s="192" t="str" cm="1">
        <f t="array" ref="H114">Common_InputFunctions.Utility_DisplayArrayInTable(Fertiliser_SourceData.Fertiliser_Products_Data1(), FertiliserProducts[[#Headers],[Company]],1)</f>
        <v/>
      </c>
      <c r="I114" s="192" t="str" cm="1">
        <f t="array" ref="I114">Common_InputFunctions.Utility_DisplayArrayInTable(Fertiliser_SourceData.Fertiliser_Products_Data1(), FertiliserProducts[[#Headers],[Company]],1)</f>
        <v/>
      </c>
      <c r="J114" s="192" t="str" cm="1">
        <f t="array" ref="J114">Common_InputFunctions.Utility_DisplayArrayInTable(Fertiliser_SourceData.Fertiliser_Products_Data1(), FertiliserProducts[[#Headers],[Company]],1)</f>
        <v>China</v>
      </c>
      <c r="K114" s="192" cm="1">
        <f t="array" ref="K114">Common_InputFunctions.Utility_DisplayArrayInTable(Fertiliser_SourceData.Fertiliser_Products_Data1(), FertiliserProducts[[#Headers],[Company]],1)</f>
        <v>40.5</v>
      </c>
      <c r="L114" s="192" t="str" cm="1">
        <f t="array" ref="L114">Common_InputFunctions.Utility_DisplayArrayInTable(Fertiliser_SourceData.Fertiliser_Products_Data1(), FertiliserProducts[[#Headers],[Company]],1)</f>
        <v/>
      </c>
      <c r="M114" s="192" t="str" cm="1">
        <f t="array" ref="M114">Common_InputFunctions.Utility_DisplayArrayInTable(Fertiliser_SourceData.Fertiliser_Products_Data1(), FertiliserProducts[[#Headers],[Company]],1)</f>
        <v/>
      </c>
      <c r="N114" s="192" t="str" cm="1">
        <f t="array" ref="N114">Common_InputFunctions.Utility_DisplayArrayInTable(Fertiliser_SourceData.Fertiliser_Products_Data1(), FertiliserProducts[[#Headers],[Company]],1)</f>
        <v/>
      </c>
      <c r="O114" s="192" t="str" cm="1">
        <f t="array" ref="O114">Common_InputFunctions.Utility_DisplayArrayInTable(Fertiliser_SourceData.Fertiliser_Products_Data1(), FertiliserProducts[[#Headers],[Company]],1)</f>
        <v>Nitrogen - Ammoniacal</v>
      </c>
      <c r="P114" s="192" cm="1">
        <f t="array" ref="P114">Common_InputFunctions.Utility_DisplayArrayInTable(Fertiliser_SourceData.Fertiliser_Products_Data1(), FertiliserProducts[[#Headers],[Company]],1)</f>
        <v>0.27</v>
      </c>
      <c r="Q114" s="192" t="str" cm="1">
        <f t="array" ref="Q114">Common_InputFunctions.Utility_DisplayArrayInTable(Fertiliser_SourceData.Fertiliser_Products_Data1(), FertiliserProducts[[#Headers],[Company]],1)</f>
        <v>Nitrogen - Nitrate</v>
      </c>
      <c r="R114" s="192" cm="1">
        <f t="array" ref="R114">Common_InputFunctions.Utility_DisplayArrayInTable(Fertiliser_SourceData.Fertiliser_Products_Data1(), FertiliserProducts[[#Headers],[Company]],1)</f>
        <v>0.13500000000000001</v>
      </c>
      <c r="S114" s="192" t="str" cm="1">
        <f t="array" ref="S114">Common_InputFunctions.Utility_DisplayArrayInTable(Fertiliser_SourceData.Fertiliser_Products_Data1(), FertiliserProducts[[#Headers],[Company]],1)</f>
        <v>Calcium</v>
      </c>
      <c r="T114" s="192" cm="1">
        <f t="array" ref="T114">Common_InputFunctions.Utility_DisplayArrayInTable(Fertiliser_SourceData.Fertiliser_Products_Data1(), FertiliserProducts[[#Headers],[Company]],1)</f>
        <v>0.12</v>
      </c>
      <c r="U114" s="192" t="str" cm="1">
        <f t="array" ref="U114">Common_InputFunctions.Utility_DisplayArrayInTable(Fertiliser_SourceData.Fertiliser_Products_Data1(), FertiliserProducts[[#Headers],[Company]],1)</f>
        <v/>
      </c>
      <c r="V114" s="192" t="str" cm="1">
        <f t="array" ref="V114">Common_InputFunctions.Utility_DisplayArrayInTable(Fertiliser_SourceData.Fertiliser_Products_Data1(), FertiliserProducts[[#Headers],[Company]],1)</f>
        <v/>
      </c>
      <c r="W114" s="192" t="str" cm="1">
        <f t="array" ref="W114">Common_InputFunctions.Utility_DisplayArrayInTable(Fertiliser_SourceData.Fertiliser_Products_Data1(), FertiliserProducts[[#Headers],[Company]],1)</f>
        <v/>
      </c>
      <c r="X114" s="192" t="str" cm="1">
        <f t="array" ref="X114">Common_InputFunctions.Utility_DisplayArrayInTable(Fertiliser_SourceData.Fertiliser_Products_Data1(), FertiliserProducts[[#Headers],[Company]],1)</f>
        <v/>
      </c>
      <c r="Y114" s="192" t="str" cm="1">
        <f t="array" ref="Y114">Common_InputFunctions.Utility_DisplayArrayInTable(Fertiliser_SourceData.Fertiliser_Products_Data1(), FertiliserProducts[[#Headers],[Company]],1)</f>
        <v/>
      </c>
      <c r="Z114" s="192" t="str" cm="1">
        <f t="array" ref="Z114">Common_InputFunctions.Utility_DisplayArrayInTable(Fertiliser_SourceData.Fertiliser_Products_Data1(), FertiliserProducts[[#Headers],[Company]],1)</f>
        <v/>
      </c>
      <c r="AA114" s="192" t="str" cm="1">
        <f t="array" ref="AA114">Common_InputFunctions.Utility_DisplayArrayInTable(Fertiliser_SourceData.Fertiliser_Products_Data1(), FertiliserProducts[[#Headers],[Company]],1)</f>
        <v/>
      </c>
      <c r="AB114" s="192" t="str" cm="1">
        <f t="array" ref="AB114">Common_InputFunctions.Utility_DisplayArrayInTable(Fertiliser_SourceData.Fertiliser_Products_Data1(), FertiliserProducts[[#Headers],[Company]],1)</f>
        <v/>
      </c>
      <c r="AC114" s="192" t="str" cm="1">
        <f t="array" ref="AC114">Common_InputFunctions.Utility_DisplayArrayInTable(Fertiliser_SourceData.Fertiliser_Products_Data1(), FertiliserProducts[[#Headers],[Company]],1)</f>
        <v/>
      </c>
      <c r="AD114" s="192" t="str" cm="1">
        <f t="array" ref="AD114">Common_InputFunctions.Utility_DisplayArrayInTable(Fertiliser_SourceData.Fertiliser_Products_Data1(), FertiliserProducts[[#Headers],[Company]],1)</f>
        <v/>
      </c>
      <c r="AE114" s="192" t="str" cm="1">
        <f t="array" ref="AE114">Common_InputFunctions.Utility_DisplayArrayInTable(Fertiliser_SourceData.Fertiliser_Products_Data1(), FertiliserProducts[[#Headers],[Company]],1)</f>
        <v/>
      </c>
      <c r="AF114" s="192" t="str" cm="1">
        <f t="array" ref="AF114">Common_InputFunctions.Utility_DisplayArrayInTable(Fertiliser_SourceData.Fertiliser_Products_Data1(), FertiliserProducts[[#Headers],[Company]],1)</f>
        <v/>
      </c>
      <c r="AG114" s="192" t="str" cm="1">
        <f t="array" ref="AG114">Common_InputFunctions.Utility_DisplayArrayInTable(Fertiliser_SourceData.Fertiliser_Products_Data1(), FertiliserProducts[[#Headers],[Company]],1)</f>
        <v/>
      </c>
      <c r="AH114" s="192" t="str" cm="1">
        <f t="array" ref="AH114">Common_InputFunctions.Utility_DisplayArrayInTable(Fertiliser_SourceData.Fertiliser_Products_Data1(), FertiliserProducts[[#Headers],[Company]],1)</f>
        <v/>
      </c>
      <c r="AK114" s="1"/>
      <c r="AL114" s="1"/>
      <c r="AM114" s="1"/>
    </row>
    <row r="115" spans="4:39" ht="20.100000000000001" customHeight="1" x14ac:dyDescent="0.25">
      <c r="D115" s="192" t="str" cm="1">
        <f t="array" ref="D115">Common_InputFunctions.Utility_DisplayArrayInTable(Fertiliser_SourceData.Fertiliser_Products_Data1(), FertiliserProducts[[#Headers],[Company]],1)</f>
        <v>SL Tec</v>
      </c>
      <c r="E115" s="192" t="str" cm="1">
        <f t="array" ref="E115">Common_InputFunctions.Utility_DisplayArrayInTable(Fertiliser_SourceData.Fertiliser_Products_Data1(), FertiliserProducts[[#Headers],[Company]],1)</f>
        <v>CellCAL Plus</v>
      </c>
      <c r="F115" s="192" t="str" cm="1">
        <f t="array" ref="F115">Common_InputFunctions.Utility_DisplayArrayInTable(Fertiliser_SourceData.Fertiliser_Products_Data1(), FertiliserProducts[[#Headers],[Company]],1)</f>
        <v>L</v>
      </c>
      <c r="G115" s="192" cm="1">
        <f t="array" ref="G115">Common_InputFunctions.Utility_DisplayArrayInTable(Fertiliser_SourceData.Fertiliser_Products_Data1(), FertiliserProducts[[#Headers],[Company]],1)</f>
        <v>1.1379999999999999</v>
      </c>
      <c r="H115" s="192" t="str" cm="1">
        <f t="array" ref="H115">Common_InputFunctions.Utility_DisplayArrayInTable(Fertiliser_SourceData.Fertiliser_Products_Data1(), FertiliserProducts[[#Headers],[Company]],1)</f>
        <v/>
      </c>
      <c r="I115" s="192" t="str" cm="1">
        <f t="array" ref="I115">Common_InputFunctions.Utility_DisplayArrayInTable(Fertiliser_SourceData.Fertiliser_Products_Data1(), FertiliserProducts[[#Headers],[Company]],1)</f>
        <v/>
      </c>
      <c r="J115" s="192" t="str" cm="1">
        <f t="array" ref="J115">Common_InputFunctions.Utility_DisplayArrayInTable(Fertiliser_SourceData.Fertiliser_Products_Data1(), FertiliserProducts[[#Headers],[Company]],1)</f>
        <v/>
      </c>
      <c r="K115" s="192" t="str" cm="1">
        <f t="array" ref="K115">Common_InputFunctions.Utility_DisplayArrayInTable(Fertiliser_SourceData.Fertiliser_Products_Data1(), FertiliserProducts[[#Headers],[Company]],1)</f>
        <v/>
      </c>
      <c r="L115" s="192" t="str" cm="1">
        <f t="array" ref="L115">Common_InputFunctions.Utility_DisplayArrayInTable(Fertiliser_SourceData.Fertiliser_Products_Data1(), FertiliserProducts[[#Headers],[Company]],1)</f>
        <v/>
      </c>
      <c r="M115" s="192" t="str" cm="1">
        <f t="array" ref="M115">Common_InputFunctions.Utility_DisplayArrayInTable(Fertiliser_SourceData.Fertiliser_Products_Data1(), FertiliserProducts[[#Headers],[Company]],1)</f>
        <v/>
      </c>
      <c r="N115" s="192" t="str" cm="1">
        <f t="array" ref="N115">Common_InputFunctions.Utility_DisplayArrayInTable(Fertiliser_SourceData.Fertiliser_Products_Data1(), FertiliserProducts[[#Headers],[Company]],1)</f>
        <v/>
      </c>
      <c r="O115" s="192" t="str" cm="1">
        <f t="array" ref="O115">Common_InputFunctions.Utility_DisplayArrayInTable(Fertiliser_SourceData.Fertiliser_Products_Data1(), FertiliserProducts[[#Headers],[Company]],1)</f>
        <v>Calcium</v>
      </c>
      <c r="P115" s="192" cm="1">
        <f t="array" ref="P115">Common_InputFunctions.Utility_DisplayArrayInTable(Fertiliser_SourceData.Fertiliser_Products_Data1(), FertiliserProducts[[#Headers],[Company]],1)</f>
        <v>5.8999999999999997E-2</v>
      </c>
      <c r="Q115" s="192" t="str" cm="1">
        <f t="array" ref="Q115">Common_InputFunctions.Utility_DisplayArrayInTable(Fertiliser_SourceData.Fertiliser_Products_Data1(), FertiliserProducts[[#Headers],[Company]],1)</f>
        <v>Copper</v>
      </c>
      <c r="R115" s="192" cm="1">
        <f t="array" ref="R115">Common_InputFunctions.Utility_DisplayArrayInTable(Fertiliser_SourceData.Fertiliser_Products_Data1(), FertiliserProducts[[#Headers],[Company]],1)</f>
        <v>3.0000000000000001E-3</v>
      </c>
      <c r="S115" s="192" t="str" cm="1">
        <f t="array" ref="S115">Common_InputFunctions.Utility_DisplayArrayInTable(Fertiliser_SourceData.Fertiliser_Products_Data1(), FertiliserProducts[[#Headers],[Company]],1)</f>
        <v>Boron</v>
      </c>
      <c r="T115" s="192" cm="1">
        <f t="array" ref="T115">Common_InputFunctions.Utility_DisplayArrayInTable(Fertiliser_SourceData.Fertiliser_Products_Data1(), FertiliserProducts[[#Headers],[Company]],1)</f>
        <v>1E-3</v>
      </c>
      <c r="U115" s="192" t="str" cm="1">
        <f t="array" ref="U115">Common_InputFunctions.Utility_DisplayArrayInTable(Fertiliser_SourceData.Fertiliser_Products_Data1(), FertiliserProducts[[#Headers],[Company]],1)</f>
        <v/>
      </c>
      <c r="V115" s="192" t="str" cm="1">
        <f t="array" ref="V115">Common_InputFunctions.Utility_DisplayArrayInTable(Fertiliser_SourceData.Fertiliser_Products_Data1(), FertiliserProducts[[#Headers],[Company]],1)</f>
        <v/>
      </c>
      <c r="W115" s="192" t="str" cm="1">
        <f t="array" ref="W115">Common_InputFunctions.Utility_DisplayArrayInTable(Fertiliser_SourceData.Fertiliser_Products_Data1(), FertiliserProducts[[#Headers],[Company]],1)</f>
        <v/>
      </c>
      <c r="X115" s="192" t="str" cm="1">
        <f t="array" ref="X115">Common_InputFunctions.Utility_DisplayArrayInTable(Fertiliser_SourceData.Fertiliser_Products_Data1(), FertiliserProducts[[#Headers],[Company]],1)</f>
        <v/>
      </c>
      <c r="Y115" s="192" t="str" cm="1">
        <f t="array" ref="Y115">Common_InputFunctions.Utility_DisplayArrayInTable(Fertiliser_SourceData.Fertiliser_Products_Data1(), FertiliserProducts[[#Headers],[Company]],1)</f>
        <v/>
      </c>
      <c r="Z115" s="192" t="str" cm="1">
        <f t="array" ref="Z115">Common_InputFunctions.Utility_DisplayArrayInTable(Fertiliser_SourceData.Fertiliser_Products_Data1(), FertiliserProducts[[#Headers],[Company]],1)</f>
        <v/>
      </c>
      <c r="AA115" s="192" t="str" cm="1">
        <f t="array" ref="AA115">Common_InputFunctions.Utility_DisplayArrayInTable(Fertiliser_SourceData.Fertiliser_Products_Data1(), FertiliserProducts[[#Headers],[Company]],1)</f>
        <v/>
      </c>
      <c r="AB115" s="192" t="str" cm="1">
        <f t="array" ref="AB115">Common_InputFunctions.Utility_DisplayArrayInTable(Fertiliser_SourceData.Fertiliser_Products_Data1(), FertiliserProducts[[#Headers],[Company]],1)</f>
        <v/>
      </c>
      <c r="AC115" s="192" t="str" cm="1">
        <f t="array" ref="AC115">Common_InputFunctions.Utility_DisplayArrayInTable(Fertiliser_SourceData.Fertiliser_Products_Data1(), FertiliserProducts[[#Headers],[Company]],1)</f>
        <v/>
      </c>
      <c r="AD115" s="192" t="str" cm="1">
        <f t="array" ref="AD115">Common_InputFunctions.Utility_DisplayArrayInTable(Fertiliser_SourceData.Fertiliser_Products_Data1(), FertiliserProducts[[#Headers],[Company]],1)</f>
        <v/>
      </c>
      <c r="AE115" s="192" t="str" cm="1">
        <f t="array" ref="AE115">Common_InputFunctions.Utility_DisplayArrayInTable(Fertiliser_SourceData.Fertiliser_Products_Data1(), FertiliserProducts[[#Headers],[Company]],1)</f>
        <v/>
      </c>
      <c r="AF115" s="192" t="str" cm="1">
        <f t="array" ref="AF115">Common_InputFunctions.Utility_DisplayArrayInTable(Fertiliser_SourceData.Fertiliser_Products_Data1(), FertiliserProducts[[#Headers],[Company]],1)</f>
        <v/>
      </c>
      <c r="AG115" s="192" t="str" cm="1">
        <f t="array" ref="AG115">Common_InputFunctions.Utility_DisplayArrayInTable(Fertiliser_SourceData.Fertiliser_Products_Data1(), FertiliserProducts[[#Headers],[Company]],1)</f>
        <v/>
      </c>
      <c r="AH115" s="192" t="str" cm="1">
        <f t="array" ref="AH115">Common_InputFunctions.Utility_DisplayArrayInTable(Fertiliser_SourceData.Fertiliser_Products_Data1(), FertiliserProducts[[#Headers],[Company]],1)</f>
        <v/>
      </c>
      <c r="AK115" s="1"/>
      <c r="AL115" s="1"/>
      <c r="AM115" s="1"/>
    </row>
    <row r="116" spans="4:39" ht="20.100000000000001" customHeight="1" x14ac:dyDescent="0.25">
      <c r="D116" s="192" t="str" cm="1">
        <f t="array" ref="D116">Common_InputFunctions.Utility_DisplayArrayInTable(Fertiliser_SourceData.Fertiliser_Products_Data1(), FertiliserProducts[[#Headers],[Company]],1)</f>
        <v>Incitec Pivot Fertilisers</v>
      </c>
      <c r="E116" s="192" t="str" cm="1">
        <f t="array" ref="E116">Common_InputFunctions.Utility_DisplayArrayInTable(Fertiliser_SourceData.Fertiliser_Products_Data1(), FertiliserProducts[[#Headers],[Company]],1)</f>
        <v>CK55</v>
      </c>
      <c r="F116" s="192" t="str" cm="1">
        <f t="array" ref="F116">Common_InputFunctions.Utility_DisplayArrayInTable(Fertiliser_SourceData.Fertiliser_Products_Data1(), FertiliserProducts[[#Headers],[Company]],1)</f>
        <v>kg</v>
      </c>
      <c r="G116" s="192" cm="1">
        <f t="array" ref="G116">Common_InputFunctions.Utility_DisplayArrayInTable(Fertiliser_SourceData.Fertiliser_Products_Data1(), FertiliserProducts[[#Headers],[Company]],1)</f>
        <v>1</v>
      </c>
      <c r="H116" s="192" t="str" cm="1">
        <f t="array" ref="H116">Common_InputFunctions.Utility_DisplayArrayInTable(Fertiliser_SourceData.Fertiliser_Products_Data1(), FertiliserProducts[[#Headers],[Company]],1)</f>
        <v/>
      </c>
      <c r="I116" s="192" t="str" cm="1">
        <f t="array" ref="I116">Common_InputFunctions.Utility_DisplayArrayInTable(Fertiliser_SourceData.Fertiliser_Products_Data1(), FertiliserProducts[[#Headers],[Company]],1)</f>
        <v/>
      </c>
      <c r="J116" s="192" t="str" cm="1">
        <f t="array" ref="J116">Common_InputFunctions.Utility_DisplayArrayInTable(Fertiliser_SourceData.Fertiliser_Products_Data1(), FertiliserProducts[[#Headers],[Company]],1)</f>
        <v/>
      </c>
      <c r="K116" s="192" cm="1">
        <f t="array" ref="K116">Common_InputFunctions.Utility_DisplayArrayInTable(Fertiliser_SourceData.Fertiliser_Products_Data1(), FertiliserProducts[[#Headers],[Company]],1)</f>
        <v>13.5</v>
      </c>
      <c r="L116" s="192" cm="1">
        <f t="array" ref="L116">Common_InputFunctions.Utility_DisplayArrayInTable(Fertiliser_SourceData.Fertiliser_Products_Data1(), FertiliserProducts[[#Headers],[Company]],1)</f>
        <v>15</v>
      </c>
      <c r="M116" s="192" cm="1">
        <f t="array" ref="M116">Common_InputFunctions.Utility_DisplayArrayInTable(Fertiliser_SourceData.Fertiliser_Products_Data1(), FertiliserProducts[[#Headers],[Company]],1)</f>
        <v>6.25</v>
      </c>
      <c r="N116" s="192" cm="1">
        <f t="array" ref="N116">Common_InputFunctions.Utility_DisplayArrayInTable(Fertiliser_SourceData.Fertiliser_Products_Data1(), FertiliserProducts[[#Headers],[Company]],1)</f>
        <v>1.2</v>
      </c>
      <c r="O116" s="192" t="str" cm="1">
        <f t="array" ref="O116">Common_InputFunctions.Utility_DisplayArrayInTable(Fertiliser_SourceData.Fertiliser_Products_Data1(), FertiliserProducts[[#Headers],[Company]],1)</f>
        <v>Phosphorus - Generic</v>
      </c>
      <c r="P116" s="192" cm="1">
        <f t="array" ref="P116">Common_InputFunctions.Utility_DisplayArrayInTable(Fertiliser_SourceData.Fertiliser_Products_Data1(), FertiliserProducts[[#Headers],[Company]],1)</f>
        <v>0.15</v>
      </c>
      <c r="Q116" s="192" t="str" cm="1">
        <f t="array" ref="Q116">Common_InputFunctions.Utility_DisplayArrayInTable(Fertiliser_SourceData.Fertiliser_Products_Data1(), FertiliserProducts[[#Headers],[Company]],1)</f>
        <v>Nitrogen - Ammoniacal</v>
      </c>
      <c r="R116" s="192" cm="1">
        <f t="array" ref="R116">Common_InputFunctions.Utility_DisplayArrayInTable(Fertiliser_SourceData.Fertiliser_Products_Data1(), FertiliserProducts[[#Headers],[Company]],1)</f>
        <v>0.13500000000000001</v>
      </c>
      <c r="S116" s="192" t="str" cm="1">
        <f t="array" ref="S116">Common_InputFunctions.Utility_DisplayArrayInTable(Fertiliser_SourceData.Fertiliser_Products_Data1(), FertiliserProducts[[#Headers],[Company]],1)</f>
        <v>Muriate of potash (MOP)</v>
      </c>
      <c r="T116" s="192" cm="1">
        <f t="array" ref="T116">Common_InputFunctions.Utility_DisplayArrayInTable(Fertiliser_SourceData.Fertiliser_Products_Data1(), FertiliserProducts[[#Headers],[Company]],1)</f>
        <v>0.125</v>
      </c>
      <c r="U116" s="192" t="str" cm="1">
        <f t="array" ref="U116">Common_InputFunctions.Utility_DisplayArrayInTable(Fertiliser_SourceData.Fertiliser_Products_Data1(), FertiliserProducts[[#Headers],[Company]],1)</f>
        <v>Fluoride</v>
      </c>
      <c r="V116" s="192" cm="1">
        <f t="array" ref="V116">Common_InputFunctions.Utility_DisplayArrayInTable(Fertiliser_SourceData.Fertiliser_Products_Data1(), FertiliserProducts[[#Headers],[Company]],1)</f>
        <v>2.3E-2</v>
      </c>
      <c r="W116" s="192" t="str" cm="1">
        <f t="array" ref="W116">Common_InputFunctions.Utility_DisplayArrayInTable(Fertiliser_SourceData.Fertiliser_Products_Data1(), FertiliserProducts[[#Headers],[Company]],1)</f>
        <v>Sulfur - Generic</v>
      </c>
      <c r="X116" s="192" cm="1">
        <f t="array" ref="X116">Common_InputFunctions.Utility_DisplayArrayInTable(Fertiliser_SourceData.Fertiliser_Products_Data1(), FertiliserProducts[[#Headers],[Company]],1)</f>
        <v>1.2E-2</v>
      </c>
      <c r="Y116" s="192" t="str" cm="1">
        <f t="array" ref="Y116">Common_InputFunctions.Utility_DisplayArrayInTable(Fertiliser_SourceData.Fertiliser_Products_Data1(), FertiliserProducts[[#Headers],[Company]],1)</f>
        <v/>
      </c>
      <c r="Z116" s="192" t="str" cm="1">
        <f t="array" ref="Z116">Common_InputFunctions.Utility_DisplayArrayInTable(Fertiliser_SourceData.Fertiliser_Products_Data1(), FertiliserProducts[[#Headers],[Company]],1)</f>
        <v/>
      </c>
      <c r="AA116" s="192" t="str" cm="1">
        <f t="array" ref="AA116">Common_InputFunctions.Utility_DisplayArrayInTable(Fertiliser_SourceData.Fertiliser_Products_Data1(), FertiliserProducts[[#Headers],[Company]],1)</f>
        <v/>
      </c>
      <c r="AB116" s="192" t="str" cm="1">
        <f t="array" ref="AB116">Common_InputFunctions.Utility_DisplayArrayInTable(Fertiliser_SourceData.Fertiliser_Products_Data1(), FertiliserProducts[[#Headers],[Company]],1)</f>
        <v/>
      </c>
      <c r="AC116" s="192" t="str" cm="1">
        <f t="array" ref="AC116">Common_InputFunctions.Utility_DisplayArrayInTable(Fertiliser_SourceData.Fertiliser_Products_Data1(), FertiliserProducts[[#Headers],[Company]],1)</f>
        <v/>
      </c>
      <c r="AD116" s="192" t="str" cm="1">
        <f t="array" ref="AD116">Common_InputFunctions.Utility_DisplayArrayInTable(Fertiliser_SourceData.Fertiliser_Products_Data1(), FertiliserProducts[[#Headers],[Company]],1)</f>
        <v/>
      </c>
      <c r="AE116" s="192" t="str" cm="1">
        <f t="array" ref="AE116">Common_InputFunctions.Utility_DisplayArrayInTable(Fertiliser_SourceData.Fertiliser_Products_Data1(), FertiliserProducts[[#Headers],[Company]],1)</f>
        <v/>
      </c>
      <c r="AF116" s="192" t="str" cm="1">
        <f t="array" ref="AF116">Common_InputFunctions.Utility_DisplayArrayInTable(Fertiliser_SourceData.Fertiliser_Products_Data1(), FertiliserProducts[[#Headers],[Company]],1)</f>
        <v/>
      </c>
      <c r="AG116" s="192" t="str" cm="1">
        <f t="array" ref="AG116">Common_InputFunctions.Utility_DisplayArrayInTable(Fertiliser_SourceData.Fertiliser_Products_Data1(), FertiliserProducts[[#Headers],[Company]],1)</f>
        <v/>
      </c>
      <c r="AH116" s="192" t="str" cm="1">
        <f t="array" ref="AH116">Common_InputFunctions.Utility_DisplayArrayInTable(Fertiliser_SourceData.Fertiliser_Products_Data1(), FertiliserProducts[[#Headers],[Company]],1)</f>
        <v/>
      </c>
      <c r="AK116" s="1"/>
      <c r="AL116" s="1"/>
      <c r="AM116" s="1"/>
    </row>
    <row r="117" spans="4:39" ht="20.100000000000001" customHeight="1" x14ac:dyDescent="0.25">
      <c r="D117" s="192" t="str" cm="1">
        <f t="array" ref="D117">Common_InputFunctions.Utility_DisplayArrayInTable(Fertiliser_SourceData.Fertiliser_Products_Data1(), FertiliserProducts[[#Headers],[Company]],1)</f>
        <v>Switch Ag</v>
      </c>
      <c r="E117" s="192" t="str" cm="1">
        <f t="array" ref="E117">Common_InputFunctions.Utility_DisplayArrayInTable(Fertiliser_SourceData.Fertiliser_Products_Data1(), FertiliserProducts[[#Headers],[Company]],1)</f>
        <v>Crop K</v>
      </c>
      <c r="F117" s="192" t="str" cm="1">
        <f t="array" ref="F117">Common_InputFunctions.Utility_DisplayArrayInTable(Fertiliser_SourceData.Fertiliser_Products_Data1(), FertiliserProducts[[#Headers],[Company]],1)</f>
        <v>L</v>
      </c>
      <c r="G117" s="192" cm="1">
        <f t="array" ref="G117">Common_InputFunctions.Utility_DisplayArrayInTable(Fertiliser_SourceData.Fertiliser_Products_Data1(), FertiliserProducts[[#Headers],[Company]],1)</f>
        <v>1.25</v>
      </c>
      <c r="H117" s="192" t="str" cm="1">
        <f t="array" ref="H117">Common_InputFunctions.Utility_DisplayArrayInTable(Fertiliser_SourceData.Fertiliser_Products_Data1(), FertiliserProducts[[#Headers],[Company]],1)</f>
        <v/>
      </c>
      <c r="I117" s="192" t="str" cm="1">
        <f t="array" ref="I117">Common_InputFunctions.Utility_DisplayArrayInTable(Fertiliser_SourceData.Fertiliser_Products_Data1(), FertiliserProducts[[#Headers],[Company]],1)</f>
        <v/>
      </c>
      <c r="J117" s="192" t="str" cm="1">
        <f t="array" ref="J117">Common_InputFunctions.Utility_DisplayArrayInTable(Fertiliser_SourceData.Fertiliser_Products_Data1(), FertiliserProducts[[#Headers],[Company]],1)</f>
        <v/>
      </c>
      <c r="K117" s="192" cm="1">
        <f t="array" ref="K117">Common_InputFunctions.Utility_DisplayArrayInTable(Fertiliser_SourceData.Fertiliser_Products_Data1(), FertiliserProducts[[#Headers],[Company]],1)</f>
        <v>3</v>
      </c>
      <c r="L117" s="192" t="str" cm="1">
        <f t="array" ref="L117">Common_InputFunctions.Utility_DisplayArrayInTable(Fertiliser_SourceData.Fertiliser_Products_Data1(), FertiliserProducts[[#Headers],[Company]],1)</f>
        <v/>
      </c>
      <c r="M117" s="192" cm="1">
        <f t="array" ref="M117">Common_InputFunctions.Utility_DisplayArrayInTable(Fertiliser_SourceData.Fertiliser_Products_Data1(), FertiliserProducts[[#Headers],[Company]],1)</f>
        <v>21</v>
      </c>
      <c r="N117" s="192" t="str" cm="1">
        <f t="array" ref="N117">Common_InputFunctions.Utility_DisplayArrayInTable(Fertiliser_SourceData.Fertiliser_Products_Data1(), FertiliserProducts[[#Headers],[Company]],1)</f>
        <v/>
      </c>
      <c r="O117" s="192" t="str" cm="1">
        <f t="array" ref="O117">Common_InputFunctions.Utility_DisplayArrayInTable(Fertiliser_SourceData.Fertiliser_Products_Data1(), FertiliserProducts[[#Headers],[Company]],1)</f>
        <v>Potassium - Generic</v>
      </c>
      <c r="P117" s="192" cm="1">
        <f t="array" ref="P117">Common_InputFunctions.Utility_DisplayArrayInTable(Fertiliser_SourceData.Fertiliser_Products_Data1(), FertiliserProducts[[#Headers],[Company]],1)</f>
        <v>0.21</v>
      </c>
      <c r="Q117" s="192" t="str" cm="1">
        <f t="array" ref="Q117">Common_InputFunctions.Utility_DisplayArrayInTable(Fertiliser_SourceData.Fertiliser_Products_Data1(), FertiliserProducts[[#Headers],[Company]],1)</f>
        <v>Nitrogen - Generic</v>
      </c>
      <c r="R117" s="192" cm="1">
        <f t="array" ref="R117">Common_InputFunctions.Utility_DisplayArrayInTable(Fertiliser_SourceData.Fertiliser_Products_Data1(), FertiliserProducts[[#Headers],[Company]],1)</f>
        <v>0.03</v>
      </c>
      <c r="S117" s="192" t="str" cm="1">
        <f t="array" ref="S117">Common_InputFunctions.Utility_DisplayArrayInTable(Fertiliser_SourceData.Fertiliser_Products_Data1(), FertiliserProducts[[#Headers],[Company]],1)</f>
        <v/>
      </c>
      <c r="T117" s="192" t="str" cm="1">
        <f t="array" ref="T117">Common_InputFunctions.Utility_DisplayArrayInTable(Fertiliser_SourceData.Fertiliser_Products_Data1(), FertiliserProducts[[#Headers],[Company]],1)</f>
        <v/>
      </c>
      <c r="U117" s="192" t="str" cm="1">
        <f t="array" ref="U117">Common_InputFunctions.Utility_DisplayArrayInTable(Fertiliser_SourceData.Fertiliser_Products_Data1(), FertiliserProducts[[#Headers],[Company]],1)</f>
        <v/>
      </c>
      <c r="V117" s="192" t="str" cm="1">
        <f t="array" ref="V117">Common_InputFunctions.Utility_DisplayArrayInTable(Fertiliser_SourceData.Fertiliser_Products_Data1(), FertiliserProducts[[#Headers],[Company]],1)</f>
        <v/>
      </c>
      <c r="W117" s="192" t="str" cm="1">
        <f t="array" ref="W117">Common_InputFunctions.Utility_DisplayArrayInTable(Fertiliser_SourceData.Fertiliser_Products_Data1(), FertiliserProducts[[#Headers],[Company]],1)</f>
        <v/>
      </c>
      <c r="X117" s="192" t="str" cm="1">
        <f t="array" ref="X117">Common_InputFunctions.Utility_DisplayArrayInTable(Fertiliser_SourceData.Fertiliser_Products_Data1(), FertiliserProducts[[#Headers],[Company]],1)</f>
        <v/>
      </c>
      <c r="Y117" s="192" t="str" cm="1">
        <f t="array" ref="Y117">Common_InputFunctions.Utility_DisplayArrayInTable(Fertiliser_SourceData.Fertiliser_Products_Data1(), FertiliserProducts[[#Headers],[Company]],1)</f>
        <v/>
      </c>
      <c r="Z117" s="192" t="str" cm="1">
        <f t="array" ref="Z117">Common_InputFunctions.Utility_DisplayArrayInTable(Fertiliser_SourceData.Fertiliser_Products_Data1(), FertiliserProducts[[#Headers],[Company]],1)</f>
        <v/>
      </c>
      <c r="AA117" s="192" t="str" cm="1">
        <f t="array" ref="AA117">Common_InputFunctions.Utility_DisplayArrayInTable(Fertiliser_SourceData.Fertiliser_Products_Data1(), FertiliserProducts[[#Headers],[Company]],1)</f>
        <v/>
      </c>
      <c r="AB117" s="192" t="str" cm="1">
        <f t="array" ref="AB117">Common_InputFunctions.Utility_DisplayArrayInTable(Fertiliser_SourceData.Fertiliser_Products_Data1(), FertiliserProducts[[#Headers],[Company]],1)</f>
        <v/>
      </c>
      <c r="AC117" s="192" t="str" cm="1">
        <f t="array" ref="AC117">Common_InputFunctions.Utility_DisplayArrayInTable(Fertiliser_SourceData.Fertiliser_Products_Data1(), FertiliserProducts[[#Headers],[Company]],1)</f>
        <v/>
      </c>
      <c r="AD117" s="192" t="str" cm="1">
        <f t="array" ref="AD117">Common_InputFunctions.Utility_DisplayArrayInTable(Fertiliser_SourceData.Fertiliser_Products_Data1(), FertiliserProducts[[#Headers],[Company]],1)</f>
        <v/>
      </c>
      <c r="AE117" s="192" t="str" cm="1">
        <f t="array" ref="AE117">Common_InputFunctions.Utility_DisplayArrayInTable(Fertiliser_SourceData.Fertiliser_Products_Data1(), FertiliserProducts[[#Headers],[Company]],1)</f>
        <v/>
      </c>
      <c r="AF117" s="192" t="str" cm="1">
        <f t="array" ref="AF117">Common_InputFunctions.Utility_DisplayArrayInTable(Fertiliser_SourceData.Fertiliser_Products_Data1(), FertiliserProducts[[#Headers],[Company]],1)</f>
        <v/>
      </c>
      <c r="AG117" s="192" t="str" cm="1">
        <f t="array" ref="AG117">Common_InputFunctions.Utility_DisplayArrayInTable(Fertiliser_SourceData.Fertiliser_Products_Data1(), FertiliserProducts[[#Headers],[Company]],1)</f>
        <v/>
      </c>
      <c r="AH117" s="192" t="str" cm="1">
        <f t="array" ref="AH117">Common_InputFunctions.Utility_DisplayArrayInTable(Fertiliser_SourceData.Fertiliser_Products_Data1(), FertiliserProducts[[#Headers],[Company]],1)</f>
        <v/>
      </c>
      <c r="AK117" s="1"/>
      <c r="AL117" s="1"/>
      <c r="AM117" s="1"/>
    </row>
    <row r="118" spans="4:39" ht="20.100000000000001" customHeight="1" x14ac:dyDescent="0.25">
      <c r="D118" s="192" t="str" cm="1">
        <f t="array" ref="D118">Common_InputFunctions.Utility_DisplayArrayInTable(Fertiliser_SourceData.Fertiliser_Products_Data1(), FertiliserProducts[[#Headers],[Company]],1)</f>
        <v>Switch Ag</v>
      </c>
      <c r="E118" s="192" t="str" cm="1">
        <f t="array" ref="E118">Common_InputFunctions.Utility_DisplayArrayInTable(Fertiliser_SourceData.Fertiliser_Products_Data1(), FertiliserProducts[[#Headers],[Company]],1)</f>
        <v>Crop Starter</v>
      </c>
      <c r="F118" s="192" t="str" cm="1">
        <f t="array" ref="F118">Common_InputFunctions.Utility_DisplayArrayInTable(Fertiliser_SourceData.Fertiliser_Products_Data1(), FertiliserProducts[[#Headers],[Company]],1)</f>
        <v>L</v>
      </c>
      <c r="G118" s="192" cm="1">
        <f t="array" ref="G118">Common_InputFunctions.Utility_DisplayArrayInTable(Fertiliser_SourceData.Fertiliser_Products_Data1(), FertiliserProducts[[#Headers],[Company]],1)</f>
        <v>1.2</v>
      </c>
      <c r="H118" s="192" t="str" cm="1">
        <f t="array" ref="H118">Common_InputFunctions.Utility_DisplayArrayInTable(Fertiliser_SourceData.Fertiliser_Products_Data1(), FertiliserProducts[[#Headers],[Company]],1)</f>
        <v/>
      </c>
      <c r="I118" s="192" t="str" cm="1">
        <f t="array" ref="I118">Common_InputFunctions.Utility_DisplayArrayInTable(Fertiliser_SourceData.Fertiliser_Products_Data1(), FertiliserProducts[[#Headers],[Company]],1)</f>
        <v/>
      </c>
      <c r="J118" s="192" t="str" cm="1">
        <f t="array" ref="J118">Common_InputFunctions.Utility_DisplayArrayInTable(Fertiliser_SourceData.Fertiliser_Products_Data1(), FertiliserProducts[[#Headers],[Company]],1)</f>
        <v/>
      </c>
      <c r="K118" s="192" cm="1">
        <f t="array" ref="K118">Common_InputFunctions.Utility_DisplayArrayInTable(Fertiliser_SourceData.Fertiliser_Products_Data1(), FertiliserProducts[[#Headers],[Company]],1)</f>
        <v>5</v>
      </c>
      <c r="L118" s="192" cm="1">
        <f t="array" ref="L118">Common_InputFunctions.Utility_DisplayArrayInTable(Fertiliser_SourceData.Fertiliser_Products_Data1(), FertiliserProducts[[#Headers],[Company]],1)</f>
        <v>3</v>
      </c>
      <c r="M118" s="192" cm="1">
        <f t="array" ref="M118">Common_InputFunctions.Utility_DisplayArrayInTable(Fertiliser_SourceData.Fertiliser_Products_Data1(), FertiliserProducts[[#Headers],[Company]],1)</f>
        <v>8</v>
      </c>
      <c r="N118" s="192" t="str" cm="1">
        <f t="array" ref="N118">Common_InputFunctions.Utility_DisplayArrayInTable(Fertiliser_SourceData.Fertiliser_Products_Data1(), FertiliserProducts[[#Headers],[Company]],1)</f>
        <v/>
      </c>
      <c r="O118" s="192" t="str" cm="1">
        <f t="array" ref="O118">Common_InputFunctions.Utility_DisplayArrayInTable(Fertiliser_SourceData.Fertiliser_Products_Data1(), FertiliserProducts[[#Headers],[Company]],1)</f>
        <v>Potassium - Generic</v>
      </c>
      <c r="P118" s="192" cm="1">
        <f t="array" ref="P118">Common_InputFunctions.Utility_DisplayArrayInTable(Fertiliser_SourceData.Fertiliser_Products_Data1(), FertiliserProducts[[#Headers],[Company]],1)</f>
        <v>0.08</v>
      </c>
      <c r="Q118" s="192" t="str" cm="1">
        <f t="array" ref="Q118">Common_InputFunctions.Utility_DisplayArrayInTable(Fertiliser_SourceData.Fertiliser_Products_Data1(), FertiliserProducts[[#Headers],[Company]],1)</f>
        <v>Nitrogen - Generic</v>
      </c>
      <c r="R118" s="192" cm="1">
        <f t="array" ref="R118">Common_InputFunctions.Utility_DisplayArrayInTable(Fertiliser_SourceData.Fertiliser_Products_Data1(), FertiliserProducts[[#Headers],[Company]],1)</f>
        <v>0.05</v>
      </c>
      <c r="S118" s="192" t="str" cm="1">
        <f t="array" ref="S118">Common_InputFunctions.Utility_DisplayArrayInTable(Fertiliser_SourceData.Fertiliser_Products_Data1(), FertiliserProducts[[#Headers],[Company]],1)</f>
        <v>Phosphorus - Generic</v>
      </c>
      <c r="T118" s="192" cm="1">
        <f t="array" ref="T118">Common_InputFunctions.Utility_DisplayArrayInTable(Fertiliser_SourceData.Fertiliser_Products_Data1(), FertiliserProducts[[#Headers],[Company]],1)</f>
        <v>0.03</v>
      </c>
      <c r="U118" s="192" t="str" cm="1">
        <f t="array" ref="U118">Common_InputFunctions.Utility_DisplayArrayInTable(Fertiliser_SourceData.Fertiliser_Products_Data1(), FertiliserProducts[[#Headers],[Company]],1)</f>
        <v/>
      </c>
      <c r="V118" s="192" t="str" cm="1">
        <f t="array" ref="V118">Common_InputFunctions.Utility_DisplayArrayInTable(Fertiliser_SourceData.Fertiliser_Products_Data1(), FertiliserProducts[[#Headers],[Company]],1)</f>
        <v/>
      </c>
      <c r="W118" s="192" t="str" cm="1">
        <f t="array" ref="W118">Common_InputFunctions.Utility_DisplayArrayInTable(Fertiliser_SourceData.Fertiliser_Products_Data1(), FertiliserProducts[[#Headers],[Company]],1)</f>
        <v/>
      </c>
      <c r="X118" s="192" t="str" cm="1">
        <f t="array" ref="X118">Common_InputFunctions.Utility_DisplayArrayInTable(Fertiliser_SourceData.Fertiliser_Products_Data1(), FertiliserProducts[[#Headers],[Company]],1)</f>
        <v/>
      </c>
      <c r="Y118" s="192" t="str" cm="1">
        <f t="array" ref="Y118">Common_InputFunctions.Utility_DisplayArrayInTable(Fertiliser_SourceData.Fertiliser_Products_Data1(), FertiliserProducts[[#Headers],[Company]],1)</f>
        <v/>
      </c>
      <c r="Z118" s="192" t="str" cm="1">
        <f t="array" ref="Z118">Common_InputFunctions.Utility_DisplayArrayInTable(Fertiliser_SourceData.Fertiliser_Products_Data1(), FertiliserProducts[[#Headers],[Company]],1)</f>
        <v/>
      </c>
      <c r="AA118" s="192" t="str" cm="1">
        <f t="array" ref="AA118">Common_InputFunctions.Utility_DisplayArrayInTable(Fertiliser_SourceData.Fertiliser_Products_Data1(), FertiliserProducts[[#Headers],[Company]],1)</f>
        <v/>
      </c>
      <c r="AB118" s="192" t="str" cm="1">
        <f t="array" ref="AB118">Common_InputFunctions.Utility_DisplayArrayInTable(Fertiliser_SourceData.Fertiliser_Products_Data1(), FertiliserProducts[[#Headers],[Company]],1)</f>
        <v/>
      </c>
      <c r="AC118" s="192" t="str" cm="1">
        <f t="array" ref="AC118">Common_InputFunctions.Utility_DisplayArrayInTable(Fertiliser_SourceData.Fertiliser_Products_Data1(), FertiliserProducts[[#Headers],[Company]],1)</f>
        <v/>
      </c>
      <c r="AD118" s="192" t="str" cm="1">
        <f t="array" ref="AD118">Common_InputFunctions.Utility_DisplayArrayInTable(Fertiliser_SourceData.Fertiliser_Products_Data1(), FertiliserProducts[[#Headers],[Company]],1)</f>
        <v/>
      </c>
      <c r="AE118" s="192" t="str" cm="1">
        <f t="array" ref="AE118">Common_InputFunctions.Utility_DisplayArrayInTable(Fertiliser_SourceData.Fertiliser_Products_Data1(), FertiliserProducts[[#Headers],[Company]],1)</f>
        <v/>
      </c>
      <c r="AF118" s="192" t="str" cm="1">
        <f t="array" ref="AF118">Common_InputFunctions.Utility_DisplayArrayInTable(Fertiliser_SourceData.Fertiliser_Products_Data1(), FertiliserProducts[[#Headers],[Company]],1)</f>
        <v/>
      </c>
      <c r="AG118" s="192" t="str" cm="1">
        <f t="array" ref="AG118">Common_InputFunctions.Utility_DisplayArrayInTable(Fertiliser_SourceData.Fertiliser_Products_Data1(), FertiliserProducts[[#Headers],[Company]],1)</f>
        <v/>
      </c>
      <c r="AH118" s="192" t="str" cm="1">
        <f t="array" ref="AH118">Common_InputFunctions.Utility_DisplayArrayInTable(Fertiliser_SourceData.Fertiliser_Products_Data1(), FertiliserProducts[[#Headers],[Company]],1)</f>
        <v/>
      </c>
      <c r="AK118" s="1"/>
      <c r="AL118" s="1"/>
      <c r="AM118" s="1"/>
    </row>
    <row r="119" spans="4:39" ht="20.100000000000001" customHeight="1" x14ac:dyDescent="0.25">
      <c r="D119" s="192" t="str" cm="1">
        <f t="array" ref="D119">Common_InputFunctions.Utility_DisplayArrayInTable(Fertiliser_SourceData.Fertiliser_Products_Data1(), FertiliserProducts[[#Headers],[Company]],1)</f>
        <v>Incitec Pivot Fertilisers</v>
      </c>
      <c r="E119" s="192" t="str" cm="1">
        <f t="array" ref="E119">Common_InputFunctions.Utility_DisplayArrayInTable(Fertiliser_SourceData.Fertiliser_Products_Data1(), FertiliserProducts[[#Headers],[Company]],1)</f>
        <v>Gran-Am</v>
      </c>
      <c r="F119" s="192" t="str" cm="1">
        <f t="array" ref="F119">Common_InputFunctions.Utility_DisplayArrayInTable(Fertiliser_SourceData.Fertiliser_Products_Data1(), FertiliserProducts[[#Headers],[Company]],1)</f>
        <v>kg</v>
      </c>
      <c r="G119" s="192" cm="1">
        <f t="array" ref="G119">Common_InputFunctions.Utility_DisplayArrayInTable(Fertiliser_SourceData.Fertiliser_Products_Data1(), FertiliserProducts[[#Headers],[Company]],1)</f>
        <v>1</v>
      </c>
      <c r="H119" s="192" t="str" cm="1">
        <f t="array" ref="H119">Common_InputFunctions.Utility_DisplayArrayInTable(Fertiliser_SourceData.Fertiliser_Products_Data1(), FertiliserProducts[[#Headers],[Company]],1)</f>
        <v/>
      </c>
      <c r="I119" s="192" t="str" cm="1">
        <f t="array" ref="I119">Common_InputFunctions.Utility_DisplayArrayInTable(Fertiliser_SourceData.Fertiliser_Products_Data1(), FertiliserProducts[[#Headers],[Company]],1)</f>
        <v/>
      </c>
      <c r="J119" s="192" t="str" cm="1">
        <f t="array" ref="J119">Common_InputFunctions.Utility_DisplayArrayInTable(Fertiliser_SourceData.Fertiliser_Products_Data1(), FertiliserProducts[[#Headers],[Company]],1)</f>
        <v/>
      </c>
      <c r="K119" s="192" cm="1">
        <f t="array" ref="K119">Common_InputFunctions.Utility_DisplayArrayInTable(Fertiliser_SourceData.Fertiliser_Products_Data1(), FertiliserProducts[[#Headers],[Company]],1)</f>
        <v>21</v>
      </c>
      <c r="L119" s="192" t="str" cm="1">
        <f t="array" ref="L119">Common_InputFunctions.Utility_DisplayArrayInTable(Fertiliser_SourceData.Fertiliser_Products_Data1(), FertiliserProducts[[#Headers],[Company]],1)</f>
        <v/>
      </c>
      <c r="M119" s="192" t="str" cm="1">
        <f t="array" ref="M119">Common_InputFunctions.Utility_DisplayArrayInTable(Fertiliser_SourceData.Fertiliser_Products_Data1(), FertiliserProducts[[#Headers],[Company]],1)</f>
        <v/>
      </c>
      <c r="N119" s="192" cm="1">
        <f t="array" ref="N119">Common_InputFunctions.Utility_DisplayArrayInTable(Fertiliser_SourceData.Fertiliser_Products_Data1(), FertiliserProducts[[#Headers],[Company]],1)</f>
        <v>24</v>
      </c>
      <c r="O119" s="192" t="str" cm="1">
        <f t="array" ref="O119">Common_InputFunctions.Utility_DisplayArrayInTable(Fertiliser_SourceData.Fertiliser_Products_Data1(), FertiliserProducts[[#Headers],[Company]],1)</f>
        <v>Sulphate of ammonia (SOA)</v>
      </c>
      <c r="P119" s="192" cm="1">
        <f t="array" ref="P119">Common_InputFunctions.Utility_DisplayArrayInTable(Fertiliser_SourceData.Fertiliser_Products_Data1(), FertiliserProducts[[#Headers],[Company]],1)</f>
        <v>1</v>
      </c>
      <c r="Q119" s="192" t="str" cm="1">
        <f t="array" ref="Q119">Common_InputFunctions.Utility_DisplayArrayInTable(Fertiliser_SourceData.Fertiliser_Products_Data1(), FertiliserProducts[[#Headers],[Company]],1)</f>
        <v/>
      </c>
      <c r="R119" s="192" t="str" cm="1">
        <f t="array" ref="R119">Common_InputFunctions.Utility_DisplayArrayInTable(Fertiliser_SourceData.Fertiliser_Products_Data1(), FertiliserProducts[[#Headers],[Company]],1)</f>
        <v/>
      </c>
      <c r="S119" s="192" t="str" cm="1">
        <f t="array" ref="S119">Common_InputFunctions.Utility_DisplayArrayInTable(Fertiliser_SourceData.Fertiliser_Products_Data1(), FertiliserProducts[[#Headers],[Company]],1)</f>
        <v/>
      </c>
      <c r="T119" s="192" t="str" cm="1">
        <f t="array" ref="T119">Common_InputFunctions.Utility_DisplayArrayInTable(Fertiliser_SourceData.Fertiliser_Products_Data1(), FertiliserProducts[[#Headers],[Company]],1)</f>
        <v/>
      </c>
      <c r="U119" s="192" t="str" cm="1">
        <f t="array" ref="U119">Common_InputFunctions.Utility_DisplayArrayInTable(Fertiliser_SourceData.Fertiliser_Products_Data1(), FertiliserProducts[[#Headers],[Company]],1)</f>
        <v/>
      </c>
      <c r="V119" s="192" t="str" cm="1">
        <f t="array" ref="V119">Common_InputFunctions.Utility_DisplayArrayInTable(Fertiliser_SourceData.Fertiliser_Products_Data1(), FertiliserProducts[[#Headers],[Company]],1)</f>
        <v/>
      </c>
      <c r="W119" s="192" t="str" cm="1">
        <f t="array" ref="W119">Common_InputFunctions.Utility_DisplayArrayInTable(Fertiliser_SourceData.Fertiliser_Products_Data1(), FertiliserProducts[[#Headers],[Company]],1)</f>
        <v/>
      </c>
      <c r="X119" s="192" t="str" cm="1">
        <f t="array" ref="X119">Common_InputFunctions.Utility_DisplayArrayInTable(Fertiliser_SourceData.Fertiliser_Products_Data1(), FertiliserProducts[[#Headers],[Company]],1)</f>
        <v/>
      </c>
      <c r="Y119" s="192" t="str" cm="1">
        <f t="array" ref="Y119">Common_InputFunctions.Utility_DisplayArrayInTable(Fertiliser_SourceData.Fertiliser_Products_Data1(), FertiliserProducts[[#Headers],[Company]],1)</f>
        <v/>
      </c>
      <c r="Z119" s="192" t="str" cm="1">
        <f t="array" ref="Z119">Common_InputFunctions.Utility_DisplayArrayInTable(Fertiliser_SourceData.Fertiliser_Products_Data1(), FertiliserProducts[[#Headers],[Company]],1)</f>
        <v/>
      </c>
      <c r="AA119" s="192" t="str" cm="1">
        <f t="array" ref="AA119">Common_InputFunctions.Utility_DisplayArrayInTable(Fertiliser_SourceData.Fertiliser_Products_Data1(), FertiliserProducts[[#Headers],[Company]],1)</f>
        <v/>
      </c>
      <c r="AB119" s="192" t="str" cm="1">
        <f t="array" ref="AB119">Common_InputFunctions.Utility_DisplayArrayInTable(Fertiliser_SourceData.Fertiliser_Products_Data1(), FertiliserProducts[[#Headers],[Company]],1)</f>
        <v/>
      </c>
      <c r="AC119" s="192" t="str" cm="1">
        <f t="array" ref="AC119">Common_InputFunctions.Utility_DisplayArrayInTable(Fertiliser_SourceData.Fertiliser_Products_Data1(), FertiliserProducts[[#Headers],[Company]],1)</f>
        <v/>
      </c>
      <c r="AD119" s="192" t="str" cm="1">
        <f t="array" ref="AD119">Common_InputFunctions.Utility_DisplayArrayInTable(Fertiliser_SourceData.Fertiliser_Products_Data1(), FertiliserProducts[[#Headers],[Company]],1)</f>
        <v/>
      </c>
      <c r="AE119" s="192" t="str" cm="1">
        <f t="array" ref="AE119">Common_InputFunctions.Utility_DisplayArrayInTable(Fertiliser_SourceData.Fertiliser_Products_Data1(), FertiliserProducts[[#Headers],[Company]],1)</f>
        <v/>
      </c>
      <c r="AF119" s="192" t="str" cm="1">
        <f t="array" ref="AF119">Common_InputFunctions.Utility_DisplayArrayInTable(Fertiliser_SourceData.Fertiliser_Products_Data1(), FertiliserProducts[[#Headers],[Company]],1)</f>
        <v/>
      </c>
      <c r="AG119" s="192" t="str" cm="1">
        <f t="array" ref="AG119">Common_InputFunctions.Utility_DisplayArrayInTable(Fertiliser_SourceData.Fertiliser_Products_Data1(), FertiliserProducts[[#Headers],[Company]],1)</f>
        <v/>
      </c>
      <c r="AH119" s="192" t="str" cm="1">
        <f t="array" ref="AH119">Common_InputFunctions.Utility_DisplayArrayInTable(Fertiliser_SourceData.Fertiliser_Products_Data1(), FertiliserProducts[[#Headers],[Company]],1)</f>
        <v/>
      </c>
      <c r="AK119" s="1"/>
      <c r="AL119" s="1"/>
      <c r="AM119" s="1"/>
    </row>
    <row r="120" spans="4:39" ht="20.100000000000001" customHeight="1" x14ac:dyDescent="0.25">
      <c r="D120" s="192" t="str" cm="1">
        <f t="array" ref="D120">Common_InputFunctions.Utility_DisplayArrayInTable(Fertiliser_SourceData.Fertiliser_Products_Data2(), FertiliserProducts[[#Headers],[Company]],31)</f>
        <v>Campbells fertilisers Australia</v>
      </c>
      <c r="E120" s="192" t="str" cm="1">
        <f t="array" ref="E120">Common_InputFunctions.Utility_DisplayArrayInTable(Fertiliser_SourceData.Fertiliser_Products_Data2(), FertiliserProducts[[#Headers],[Company]],31)</f>
        <v>Encal</v>
      </c>
      <c r="F120" s="192" t="str" cm="1">
        <f t="array" ref="F120">Common_InputFunctions.Utility_DisplayArrayInTable(Fertiliser_SourceData.Fertiliser_Products_Data2(), FertiliserProducts[[#Headers],[Company]],31)</f>
        <v>L</v>
      </c>
      <c r="G120" s="192" cm="1">
        <f t="array" ref="G120">Common_InputFunctions.Utility_DisplayArrayInTable(Fertiliser_SourceData.Fertiliser_Products_Data2(), FertiliserProducts[[#Headers],[Company]],31)</f>
        <v>1.5</v>
      </c>
      <c r="H120" s="192" t="str" cm="1">
        <f t="array" ref="H120">Common_InputFunctions.Utility_DisplayArrayInTable(Fertiliser_SourceData.Fertiliser_Products_Data2(), FertiliserProducts[[#Headers],[Company]],31)</f>
        <v/>
      </c>
      <c r="I120" s="192" t="str" cm="1">
        <f t="array" ref="I120">Common_InputFunctions.Utility_DisplayArrayInTable(Fertiliser_SourceData.Fertiliser_Products_Data2(), FertiliserProducts[[#Headers],[Company]],31)</f>
        <v/>
      </c>
      <c r="J120" s="192" t="str" cm="1">
        <f t="array" ref="J120">Common_InputFunctions.Utility_DisplayArrayInTable(Fertiliser_SourceData.Fertiliser_Products_Data2(), FertiliserProducts[[#Headers],[Company]],31)</f>
        <v/>
      </c>
      <c r="K120" s="192" cm="1">
        <f t="array" ref="K120">Common_InputFunctions.Utility_DisplayArrayInTable(Fertiliser_SourceData.Fertiliser_Products_Data2(), FertiliserProducts[[#Headers],[Company]],31)</f>
        <v>9</v>
      </c>
      <c r="L120" s="192" t="str" cm="1">
        <f t="array" ref="L120">Common_InputFunctions.Utility_DisplayArrayInTable(Fertiliser_SourceData.Fertiliser_Products_Data2(), FertiliserProducts[[#Headers],[Company]],31)</f>
        <v/>
      </c>
      <c r="M120" s="192" t="str" cm="1">
        <f t="array" ref="M120">Common_InputFunctions.Utility_DisplayArrayInTable(Fertiliser_SourceData.Fertiliser_Products_Data2(), FertiliserProducts[[#Headers],[Company]],31)</f>
        <v/>
      </c>
      <c r="N120" s="192" cm="1">
        <f t="array" ref="N120">Common_InputFunctions.Utility_DisplayArrayInTable(Fertiliser_SourceData.Fertiliser_Products_Data2(), FertiliserProducts[[#Headers],[Company]],31)</f>
        <v>13.94</v>
      </c>
      <c r="O120" s="192" t="str" cm="1">
        <f t="array" ref="O120">Common_InputFunctions.Utility_DisplayArrayInTable(Fertiliser_SourceData.Fertiliser_Products_Data2(), FertiliserProducts[[#Headers],[Company]],31)</f>
        <v>Sulphate of ammonia (SOA)</v>
      </c>
      <c r="P120" s="192" cm="1">
        <f t="array" ref="P120">Common_InputFunctions.Utility_DisplayArrayInTable(Fertiliser_SourceData.Fertiliser_Products_Data2(), FertiliserProducts[[#Headers],[Company]],31)</f>
        <v>0.58064499999999997</v>
      </c>
      <c r="Q120" s="192" t="str" cm="1">
        <f t="array" ref="Q120">Common_InputFunctions.Utility_DisplayArrayInTable(Fertiliser_SourceData.Fertiliser_Products_Data2(), FertiliserProducts[[#Headers],[Company]],31)</f>
        <v>Magnesium</v>
      </c>
      <c r="R120" s="192" cm="1">
        <f t="array" ref="R120">Common_InputFunctions.Utility_DisplayArrayInTable(Fertiliser_SourceData.Fertiliser_Products_Data2(), FertiliserProducts[[#Headers],[Company]],31)</f>
        <v>1.2E-2</v>
      </c>
      <c r="S120" s="192" t="str" cm="1">
        <f t="array" ref="S120">Common_InputFunctions.Utility_DisplayArrayInTable(Fertiliser_SourceData.Fertiliser_Products_Data2(), FertiliserProducts[[#Headers],[Company]],31)</f>
        <v/>
      </c>
      <c r="T120" s="192" t="str" cm="1">
        <f t="array" ref="T120">Common_InputFunctions.Utility_DisplayArrayInTable(Fertiliser_SourceData.Fertiliser_Products_Data2(), FertiliserProducts[[#Headers],[Company]],31)</f>
        <v/>
      </c>
      <c r="U120" s="192" t="str" cm="1">
        <f t="array" ref="U120">Common_InputFunctions.Utility_DisplayArrayInTable(Fertiliser_SourceData.Fertiliser_Products_Data2(), FertiliserProducts[[#Headers],[Company]],31)</f>
        <v/>
      </c>
      <c r="V120" s="192" t="str" cm="1">
        <f t="array" ref="V120">Common_InputFunctions.Utility_DisplayArrayInTable(Fertiliser_SourceData.Fertiliser_Products_Data2(), FertiliserProducts[[#Headers],[Company]],31)</f>
        <v/>
      </c>
      <c r="W120" s="192" t="str" cm="1">
        <f t="array" ref="W120">Common_InputFunctions.Utility_DisplayArrayInTable(Fertiliser_SourceData.Fertiliser_Products_Data2(), FertiliserProducts[[#Headers],[Company]],31)</f>
        <v/>
      </c>
      <c r="X120" s="192" t="str" cm="1">
        <f t="array" ref="X120">Common_InputFunctions.Utility_DisplayArrayInTable(Fertiliser_SourceData.Fertiliser_Products_Data2(), FertiliserProducts[[#Headers],[Company]],31)</f>
        <v/>
      </c>
      <c r="Y120" s="192" t="str" cm="1">
        <f t="array" ref="Y120">Common_InputFunctions.Utility_DisplayArrayInTable(Fertiliser_SourceData.Fertiliser_Products_Data2(), FertiliserProducts[[#Headers],[Company]],31)</f>
        <v/>
      </c>
      <c r="Z120" s="192" t="str" cm="1">
        <f t="array" ref="Z120">Common_InputFunctions.Utility_DisplayArrayInTable(Fertiliser_SourceData.Fertiliser_Products_Data2(), FertiliserProducts[[#Headers],[Company]],31)</f>
        <v/>
      </c>
      <c r="AA120" s="192" t="str" cm="1">
        <f t="array" ref="AA120">Common_InputFunctions.Utility_DisplayArrayInTable(Fertiliser_SourceData.Fertiliser_Products_Data2(), FertiliserProducts[[#Headers],[Company]],31)</f>
        <v/>
      </c>
      <c r="AB120" s="192" t="str" cm="1">
        <f t="array" ref="AB120">Common_InputFunctions.Utility_DisplayArrayInTable(Fertiliser_SourceData.Fertiliser_Products_Data2(), FertiliserProducts[[#Headers],[Company]],31)</f>
        <v/>
      </c>
      <c r="AC120" s="192" t="str" cm="1">
        <f t="array" ref="AC120">Common_InputFunctions.Utility_DisplayArrayInTable(Fertiliser_SourceData.Fertiliser_Products_Data2(), FertiliserProducts[[#Headers],[Company]],31)</f>
        <v/>
      </c>
      <c r="AD120" s="192" t="str" cm="1">
        <f t="array" ref="AD120">Common_InputFunctions.Utility_DisplayArrayInTable(Fertiliser_SourceData.Fertiliser_Products_Data2(), FertiliserProducts[[#Headers],[Company]],31)</f>
        <v/>
      </c>
      <c r="AE120" s="192" t="str" cm="1">
        <f t="array" ref="AE120">Common_InputFunctions.Utility_DisplayArrayInTable(Fertiliser_SourceData.Fertiliser_Products_Data2(), FertiliserProducts[[#Headers],[Company]],31)</f>
        <v/>
      </c>
      <c r="AF120" s="192" t="str" cm="1">
        <f t="array" ref="AF120">Common_InputFunctions.Utility_DisplayArrayInTable(Fertiliser_SourceData.Fertiliser_Products_Data2(), FertiliserProducts[[#Headers],[Company]],31)</f>
        <v/>
      </c>
      <c r="AG120" s="192" t="str" cm="1">
        <f t="array" ref="AG120">Common_InputFunctions.Utility_DisplayArrayInTable(Fertiliser_SourceData.Fertiliser_Products_Data2(), FertiliserProducts[[#Headers],[Company]],31)</f>
        <v/>
      </c>
      <c r="AH120" s="192" t="str" cm="1">
        <f t="array" ref="AH120">Common_InputFunctions.Utility_DisplayArrayInTable(Fertiliser_SourceData.Fertiliser_Products_Data2(), FertiliserProducts[[#Headers],[Company]],31)</f>
        <v/>
      </c>
      <c r="AK120" s="1"/>
      <c r="AL120" s="1"/>
      <c r="AM120" s="1"/>
    </row>
    <row r="121" spans="4:39" ht="20.100000000000001" customHeight="1" x14ac:dyDescent="0.25">
      <c r="D121" s="192" t="str" cm="1">
        <f t="array" ref="D121">Common_InputFunctions.Utility_DisplayArrayInTable(Fertiliser_SourceData.Fertiliser_Products_Data2(), FertiliserProducts[[#Headers],[Company]],31)</f>
        <v>Incitec Pivot Fertilisers</v>
      </c>
      <c r="E121" s="192" t="str" cm="1">
        <f t="array" ref="E121">Common_InputFunctions.Utility_DisplayArrayInTable(Fertiliser_SourceData.Fertiliser_Products_Data2(), FertiliserProducts[[#Headers],[Company]],31)</f>
        <v>Granulock SS</v>
      </c>
      <c r="F121" s="192" t="str" cm="1">
        <f t="array" ref="F121">Common_InputFunctions.Utility_DisplayArrayInTable(Fertiliser_SourceData.Fertiliser_Products_Data2(), FertiliserProducts[[#Headers],[Company]],31)</f>
        <v>kg</v>
      </c>
      <c r="G121" s="192" cm="1">
        <f t="array" ref="G121">Common_InputFunctions.Utility_DisplayArrayInTable(Fertiliser_SourceData.Fertiliser_Products_Data2(), FertiliserProducts[[#Headers],[Company]],31)</f>
        <v>1</v>
      </c>
      <c r="H121" s="192" t="str" cm="1">
        <f t="array" ref="H121">Common_InputFunctions.Utility_DisplayArrayInTable(Fertiliser_SourceData.Fertiliser_Products_Data2(), FertiliserProducts[[#Headers],[Company]],31)</f>
        <v/>
      </c>
      <c r="I121" s="192" t="str" cm="1">
        <f t="array" ref="I121">Common_InputFunctions.Utility_DisplayArrayInTable(Fertiliser_SourceData.Fertiliser_Products_Data2(), FertiliserProducts[[#Headers],[Company]],31)</f>
        <v/>
      </c>
      <c r="J121" s="192" t="str" cm="1">
        <f t="array" ref="J121">Common_InputFunctions.Utility_DisplayArrayInTable(Fertiliser_SourceData.Fertiliser_Products_Data2(), FertiliserProducts[[#Headers],[Company]],31)</f>
        <v/>
      </c>
      <c r="K121" s="192" cm="1">
        <f t="array" ref="K121">Common_InputFunctions.Utility_DisplayArrayInTable(Fertiliser_SourceData.Fertiliser_Products_Data2(), FertiliserProducts[[#Headers],[Company]],31)</f>
        <v>10</v>
      </c>
      <c r="L121" s="192" cm="1">
        <f t="array" ref="L121">Common_InputFunctions.Utility_DisplayArrayInTable(Fertiliser_SourceData.Fertiliser_Products_Data2(), FertiliserProducts[[#Headers],[Company]],31)</f>
        <v>17.5</v>
      </c>
      <c r="M121" s="192" t="str" cm="1">
        <f t="array" ref="M121">Common_InputFunctions.Utility_DisplayArrayInTable(Fertiliser_SourceData.Fertiliser_Products_Data2(), FertiliserProducts[[#Headers],[Company]],31)</f>
        <v/>
      </c>
      <c r="N121" s="192" cm="1">
        <f t="array" ref="N121">Common_InputFunctions.Utility_DisplayArrayInTable(Fertiliser_SourceData.Fertiliser_Products_Data2(), FertiliserProducts[[#Headers],[Company]],31)</f>
        <v>12</v>
      </c>
      <c r="O121" s="192" t="str" cm="1">
        <f t="array" ref="O121">Common_InputFunctions.Utility_DisplayArrayInTable(Fertiliser_SourceData.Fertiliser_Products_Data2(), FertiliserProducts[[#Headers],[Company]],31)</f>
        <v>Phosphorus - Generic</v>
      </c>
      <c r="P121" s="192" cm="1">
        <f t="array" ref="P121">Common_InputFunctions.Utility_DisplayArrayInTable(Fertiliser_SourceData.Fertiliser_Products_Data2(), FertiliserProducts[[#Headers],[Company]],31)</f>
        <v>0.17499999999999999</v>
      </c>
      <c r="Q121" s="192" t="str" cm="1">
        <f t="array" ref="Q121">Common_InputFunctions.Utility_DisplayArrayInTable(Fertiliser_SourceData.Fertiliser_Products_Data2(), FertiliserProducts[[#Headers],[Company]],31)</f>
        <v>Sulfur - Generic</v>
      </c>
      <c r="R121" s="192" cm="1">
        <f t="array" ref="R121">Common_InputFunctions.Utility_DisplayArrayInTable(Fertiliser_SourceData.Fertiliser_Products_Data2(), FertiliserProducts[[#Headers],[Company]],31)</f>
        <v>0.12</v>
      </c>
      <c r="S121" s="192" t="str" cm="1">
        <f t="array" ref="S121">Common_InputFunctions.Utility_DisplayArrayInTable(Fertiliser_SourceData.Fertiliser_Products_Data2(), FertiliserProducts[[#Headers],[Company]],31)</f>
        <v>Nitrogen - Ammoniacal</v>
      </c>
      <c r="T121" s="192" cm="1">
        <f t="array" ref="T121">Common_InputFunctions.Utility_DisplayArrayInTable(Fertiliser_SourceData.Fertiliser_Products_Data2(), FertiliserProducts[[#Headers],[Company]],31)</f>
        <v>0.1</v>
      </c>
      <c r="U121" s="192" t="str" cm="1">
        <f t="array" ref="U121">Common_InputFunctions.Utility_DisplayArrayInTable(Fertiliser_SourceData.Fertiliser_Products_Data2(), FertiliserProducts[[#Headers],[Company]],31)</f>
        <v>Fluoride</v>
      </c>
      <c r="V121" s="192" cm="1">
        <f t="array" ref="V121">Common_InputFunctions.Utility_DisplayArrayInTable(Fertiliser_SourceData.Fertiliser_Products_Data2(), FertiliserProducts[[#Headers],[Company]],31)</f>
        <v>0.03</v>
      </c>
      <c r="W121" s="192" t="str" cm="1">
        <f t="array" ref="W121">Common_InputFunctions.Utility_DisplayArrayInTable(Fertiliser_SourceData.Fertiliser_Products_Data2(), FertiliserProducts[[#Headers],[Company]],31)</f>
        <v/>
      </c>
      <c r="X121" s="192" t="str" cm="1">
        <f t="array" ref="X121">Common_InputFunctions.Utility_DisplayArrayInTable(Fertiliser_SourceData.Fertiliser_Products_Data2(), FertiliserProducts[[#Headers],[Company]],31)</f>
        <v/>
      </c>
      <c r="Y121" s="192" t="str" cm="1">
        <f t="array" ref="Y121">Common_InputFunctions.Utility_DisplayArrayInTable(Fertiliser_SourceData.Fertiliser_Products_Data2(), FertiliserProducts[[#Headers],[Company]],31)</f>
        <v/>
      </c>
      <c r="Z121" s="192" t="str" cm="1">
        <f t="array" ref="Z121">Common_InputFunctions.Utility_DisplayArrayInTable(Fertiliser_SourceData.Fertiliser_Products_Data2(), FertiliserProducts[[#Headers],[Company]],31)</f>
        <v/>
      </c>
      <c r="AA121" s="192" t="str" cm="1">
        <f t="array" ref="AA121">Common_InputFunctions.Utility_DisplayArrayInTable(Fertiliser_SourceData.Fertiliser_Products_Data2(), FertiliserProducts[[#Headers],[Company]],31)</f>
        <v/>
      </c>
      <c r="AB121" s="192" t="str" cm="1">
        <f t="array" ref="AB121">Common_InputFunctions.Utility_DisplayArrayInTable(Fertiliser_SourceData.Fertiliser_Products_Data2(), FertiliserProducts[[#Headers],[Company]],31)</f>
        <v/>
      </c>
      <c r="AC121" s="192" t="str" cm="1">
        <f t="array" ref="AC121">Common_InputFunctions.Utility_DisplayArrayInTable(Fertiliser_SourceData.Fertiliser_Products_Data2(), FertiliserProducts[[#Headers],[Company]],31)</f>
        <v/>
      </c>
      <c r="AD121" s="192" t="str" cm="1">
        <f t="array" ref="AD121">Common_InputFunctions.Utility_DisplayArrayInTable(Fertiliser_SourceData.Fertiliser_Products_Data2(), FertiliserProducts[[#Headers],[Company]],31)</f>
        <v/>
      </c>
      <c r="AE121" s="192" t="str" cm="1">
        <f t="array" ref="AE121">Common_InputFunctions.Utility_DisplayArrayInTable(Fertiliser_SourceData.Fertiliser_Products_Data2(), FertiliserProducts[[#Headers],[Company]],31)</f>
        <v/>
      </c>
      <c r="AF121" s="192" t="str" cm="1">
        <f t="array" ref="AF121">Common_InputFunctions.Utility_DisplayArrayInTable(Fertiliser_SourceData.Fertiliser_Products_Data2(), FertiliserProducts[[#Headers],[Company]],31)</f>
        <v/>
      </c>
      <c r="AG121" s="192" t="str" cm="1">
        <f t="array" ref="AG121">Common_InputFunctions.Utility_DisplayArrayInTable(Fertiliser_SourceData.Fertiliser_Products_Data2(), FertiliserProducts[[#Headers],[Company]],31)</f>
        <v/>
      </c>
      <c r="AH121" s="192" t="str" cm="1">
        <f t="array" ref="AH121">Common_InputFunctions.Utility_DisplayArrayInTable(Fertiliser_SourceData.Fertiliser_Products_Data2(), FertiliserProducts[[#Headers],[Company]],31)</f>
        <v/>
      </c>
      <c r="AK121" s="1"/>
      <c r="AL121" s="1"/>
      <c r="AM121" s="1"/>
    </row>
    <row r="122" spans="4:39" ht="20.100000000000001" customHeight="1" x14ac:dyDescent="0.25">
      <c r="D122" s="192" t="str" cm="1">
        <f t="array" ref="D122">Common_InputFunctions.Utility_DisplayArrayInTable(Fertiliser_SourceData.Fertiliser_Products_Data2(), FertiliserProducts[[#Headers],[Company]],31)</f>
        <v>Incitec Pivot Fertilisers</v>
      </c>
      <c r="E122" s="192" t="str" cm="1">
        <f t="array" ref="E122">Common_InputFunctions.Utility_DisplayArrayInTable(Fertiliser_SourceData.Fertiliser_Products_Data2(), FertiliserProducts[[#Headers],[Company]],31)</f>
        <v>Granulock Z</v>
      </c>
      <c r="F122" s="192" t="str" cm="1">
        <f t="array" ref="F122">Common_InputFunctions.Utility_DisplayArrayInTable(Fertiliser_SourceData.Fertiliser_Products_Data2(), FertiliserProducts[[#Headers],[Company]],31)</f>
        <v>kg</v>
      </c>
      <c r="G122" s="192" cm="1">
        <f t="array" ref="G122">Common_InputFunctions.Utility_DisplayArrayInTable(Fertiliser_SourceData.Fertiliser_Products_Data2(), FertiliserProducts[[#Headers],[Company]],31)</f>
        <v>1</v>
      </c>
      <c r="H122" s="192" t="str" cm="1">
        <f t="array" ref="H122">Common_InputFunctions.Utility_DisplayArrayInTable(Fertiliser_SourceData.Fertiliser_Products_Data2(), FertiliserProducts[[#Headers],[Company]],31)</f>
        <v/>
      </c>
      <c r="I122" s="192" t="str" cm="1">
        <f t="array" ref="I122">Common_InputFunctions.Utility_DisplayArrayInTable(Fertiliser_SourceData.Fertiliser_Products_Data2(), FertiliserProducts[[#Headers],[Company]],31)</f>
        <v/>
      </c>
      <c r="J122" s="192" t="str" cm="1">
        <f t="array" ref="J122">Common_InputFunctions.Utility_DisplayArrayInTable(Fertiliser_SourceData.Fertiliser_Products_Data2(), FertiliserProducts[[#Headers],[Company]],31)</f>
        <v/>
      </c>
      <c r="K122" s="192" cm="1">
        <f t="array" ref="K122">Common_InputFunctions.Utility_DisplayArrayInTable(Fertiliser_SourceData.Fertiliser_Products_Data2(), FertiliserProducts[[#Headers],[Company]],31)</f>
        <v>11</v>
      </c>
      <c r="L122" s="192" cm="1">
        <f t="array" ref="L122">Common_InputFunctions.Utility_DisplayArrayInTable(Fertiliser_SourceData.Fertiliser_Products_Data2(), FertiliserProducts[[#Headers],[Company]],31)</f>
        <v>21.8</v>
      </c>
      <c r="M122" s="192" t="str" cm="1">
        <f t="array" ref="M122">Common_InputFunctions.Utility_DisplayArrayInTable(Fertiliser_SourceData.Fertiliser_Products_Data2(), FertiliserProducts[[#Headers],[Company]],31)</f>
        <v/>
      </c>
      <c r="N122" s="192" cm="1">
        <f t="array" ref="N122">Common_InputFunctions.Utility_DisplayArrayInTable(Fertiliser_SourceData.Fertiliser_Products_Data2(), FertiliserProducts[[#Headers],[Company]],31)</f>
        <v>4</v>
      </c>
      <c r="O122" s="192" t="str" cm="1">
        <f t="array" ref="O122">Common_InputFunctions.Utility_DisplayArrayInTable(Fertiliser_SourceData.Fertiliser_Products_Data2(), FertiliserProducts[[#Headers],[Company]],31)</f>
        <v>Phosphorus - Generic</v>
      </c>
      <c r="P122" s="192" cm="1">
        <f t="array" ref="P122">Common_InputFunctions.Utility_DisplayArrayInTable(Fertiliser_SourceData.Fertiliser_Products_Data2(), FertiliserProducts[[#Headers],[Company]],31)</f>
        <v>0.218</v>
      </c>
      <c r="Q122" s="192" t="str" cm="1">
        <f t="array" ref="Q122">Common_InputFunctions.Utility_DisplayArrayInTable(Fertiliser_SourceData.Fertiliser_Products_Data2(), FertiliserProducts[[#Headers],[Company]],31)</f>
        <v>Nitrogen - Generic</v>
      </c>
      <c r="R122" s="192" cm="1">
        <f t="array" ref="R122">Common_InputFunctions.Utility_DisplayArrayInTable(Fertiliser_SourceData.Fertiliser_Products_Data2(), FertiliserProducts[[#Headers],[Company]],31)</f>
        <v>0.11</v>
      </c>
      <c r="S122" s="192" t="str" cm="1">
        <f t="array" ref="S122">Common_InputFunctions.Utility_DisplayArrayInTable(Fertiliser_SourceData.Fertiliser_Products_Data2(), FertiliserProducts[[#Headers],[Company]],31)</f>
        <v>Sulfur - Generic</v>
      </c>
      <c r="T122" s="192" cm="1">
        <f t="array" ref="T122">Common_InputFunctions.Utility_DisplayArrayInTable(Fertiliser_SourceData.Fertiliser_Products_Data2(), FertiliserProducts[[#Headers],[Company]],31)</f>
        <v>0.04</v>
      </c>
      <c r="U122" s="192" t="str" cm="1">
        <f t="array" ref="U122">Common_InputFunctions.Utility_DisplayArrayInTable(Fertiliser_SourceData.Fertiliser_Products_Data2(), FertiliserProducts[[#Headers],[Company]],31)</f>
        <v>Fluoride</v>
      </c>
      <c r="V122" s="192" cm="1">
        <f t="array" ref="V122">Common_InputFunctions.Utility_DisplayArrayInTable(Fertiliser_SourceData.Fertiliser_Products_Data2(), FertiliserProducts[[#Headers],[Company]],31)</f>
        <v>0.03</v>
      </c>
      <c r="W122" s="192" t="str" cm="1">
        <f t="array" ref="W122">Common_InputFunctions.Utility_DisplayArrayInTable(Fertiliser_SourceData.Fertiliser_Products_Data2(), FertiliserProducts[[#Headers],[Company]],31)</f>
        <v>Zinc</v>
      </c>
      <c r="X122" s="192" cm="1">
        <f t="array" ref="X122">Common_InputFunctions.Utility_DisplayArrayInTable(Fertiliser_SourceData.Fertiliser_Products_Data2(), FertiliserProducts[[#Headers],[Company]],31)</f>
        <v>0.01</v>
      </c>
      <c r="Y122" s="192" t="str" cm="1">
        <f t="array" ref="Y122">Common_InputFunctions.Utility_DisplayArrayInTable(Fertiliser_SourceData.Fertiliser_Products_Data2(), FertiliserProducts[[#Headers],[Company]],31)</f>
        <v/>
      </c>
      <c r="Z122" s="192" t="str" cm="1">
        <f t="array" ref="Z122">Common_InputFunctions.Utility_DisplayArrayInTable(Fertiliser_SourceData.Fertiliser_Products_Data2(), FertiliserProducts[[#Headers],[Company]],31)</f>
        <v/>
      </c>
      <c r="AA122" s="192" t="str" cm="1">
        <f t="array" ref="AA122">Common_InputFunctions.Utility_DisplayArrayInTable(Fertiliser_SourceData.Fertiliser_Products_Data2(), FertiliserProducts[[#Headers],[Company]],31)</f>
        <v/>
      </c>
      <c r="AB122" s="192" t="str" cm="1">
        <f t="array" ref="AB122">Common_InputFunctions.Utility_DisplayArrayInTable(Fertiliser_SourceData.Fertiliser_Products_Data2(), FertiliserProducts[[#Headers],[Company]],31)</f>
        <v/>
      </c>
      <c r="AC122" s="192" t="str" cm="1">
        <f t="array" ref="AC122">Common_InputFunctions.Utility_DisplayArrayInTable(Fertiliser_SourceData.Fertiliser_Products_Data2(), FertiliserProducts[[#Headers],[Company]],31)</f>
        <v/>
      </c>
      <c r="AD122" s="192" t="str" cm="1">
        <f t="array" ref="AD122">Common_InputFunctions.Utility_DisplayArrayInTable(Fertiliser_SourceData.Fertiliser_Products_Data2(), FertiliserProducts[[#Headers],[Company]],31)</f>
        <v/>
      </c>
      <c r="AE122" s="192" t="str" cm="1">
        <f t="array" ref="AE122">Common_InputFunctions.Utility_DisplayArrayInTable(Fertiliser_SourceData.Fertiliser_Products_Data2(), FertiliserProducts[[#Headers],[Company]],31)</f>
        <v/>
      </c>
      <c r="AF122" s="192" t="str" cm="1">
        <f t="array" ref="AF122">Common_InputFunctions.Utility_DisplayArrayInTable(Fertiliser_SourceData.Fertiliser_Products_Data2(), FertiliserProducts[[#Headers],[Company]],31)</f>
        <v/>
      </c>
      <c r="AG122" s="192" t="str" cm="1">
        <f t="array" ref="AG122">Common_InputFunctions.Utility_DisplayArrayInTable(Fertiliser_SourceData.Fertiliser_Products_Data2(), FertiliserProducts[[#Headers],[Company]],31)</f>
        <v/>
      </c>
      <c r="AH122" s="192" t="str" cm="1">
        <f t="array" ref="AH122">Common_InputFunctions.Utility_DisplayArrayInTable(Fertiliser_SourceData.Fertiliser_Products_Data2(), FertiliserProducts[[#Headers],[Company]],31)</f>
        <v/>
      </c>
      <c r="AK122" s="1"/>
      <c r="AL122" s="1"/>
      <c r="AM122" s="1"/>
    </row>
    <row r="123" spans="4:39" ht="20.100000000000001" customHeight="1" x14ac:dyDescent="0.25">
      <c r="D123" s="192" t="str" cm="1">
        <f t="array" ref="D123">Common_InputFunctions.Utility_DisplayArrayInTable(Fertiliser_SourceData.Fertiliser_Products_Data2(), FertiliserProducts[[#Headers],[Company]],31)</f>
        <v>Incitec Pivot Fertilisers</v>
      </c>
      <c r="E123" s="192" t="str" cm="1">
        <f t="array" ref="E123">Common_InputFunctions.Utility_DisplayArrayInTable(Fertiliser_SourceData.Fertiliser_Products_Data2(), FertiliserProducts[[#Headers],[Company]],31)</f>
        <v>Farm Ag Leichhardt</v>
      </c>
      <c r="F123" s="192" t="str" cm="1">
        <f t="array" ref="F123">Common_InputFunctions.Utility_DisplayArrayInTable(Fertiliser_SourceData.Fertiliser_Products_Data2(), FertiliserProducts[[#Headers],[Company]],31)</f>
        <v>kg</v>
      </c>
      <c r="G123" s="192" cm="1">
        <f t="array" ref="G123">Common_InputFunctions.Utility_DisplayArrayInTable(Fertiliser_SourceData.Fertiliser_Products_Data2(), FertiliserProducts[[#Headers],[Company]],31)</f>
        <v>1</v>
      </c>
      <c r="H123" s="192" t="str" cm="1">
        <f t="array" ref="H123">Common_InputFunctions.Utility_DisplayArrayInTable(Fertiliser_SourceData.Fertiliser_Products_Data2(), FertiliserProducts[[#Headers],[Company]],31)</f>
        <v/>
      </c>
      <c r="I123" s="192" t="str" cm="1">
        <f t="array" ref="I123">Common_InputFunctions.Utility_DisplayArrayInTable(Fertiliser_SourceData.Fertiliser_Products_Data2(), FertiliserProducts[[#Headers],[Company]],31)</f>
        <v/>
      </c>
      <c r="J123" s="192" t="str" cm="1">
        <f t="array" ref="J123">Common_InputFunctions.Utility_DisplayArrayInTable(Fertiliser_SourceData.Fertiliser_Products_Data2(), FertiliserProducts[[#Headers],[Company]],31)</f>
        <v/>
      </c>
      <c r="K123" s="192" cm="1">
        <f t="array" ref="K123">Common_InputFunctions.Utility_DisplayArrayInTable(Fertiliser_SourceData.Fertiliser_Products_Data2(), FertiliserProducts[[#Headers],[Company]],31)</f>
        <v>32.5</v>
      </c>
      <c r="L123" s="192" cm="1">
        <f t="array" ref="L123">Common_InputFunctions.Utility_DisplayArrayInTable(Fertiliser_SourceData.Fertiliser_Products_Data2(), FertiliserProducts[[#Headers],[Company]],31)</f>
        <v>5.4</v>
      </c>
      <c r="M123" s="192" cm="1">
        <f t="array" ref="M123">Common_InputFunctions.Utility_DisplayArrayInTable(Fertiliser_SourceData.Fertiliser_Products_Data2(), FertiliserProducts[[#Headers],[Company]],31)</f>
        <v>6.25</v>
      </c>
      <c r="N123" s="192" t="str" cm="1">
        <f t="array" ref="N123">Common_InputFunctions.Utility_DisplayArrayInTable(Fertiliser_SourceData.Fertiliser_Products_Data2(), FertiliserProducts[[#Headers],[Company]],31)</f>
        <v/>
      </c>
      <c r="O123" s="192" t="str" cm="1">
        <f t="array" ref="O123">Common_InputFunctions.Utility_DisplayArrayInTable(Fertiliser_SourceData.Fertiliser_Products_Data2(), FertiliserProducts[[#Headers],[Company]],31)</f>
        <v>Urea</v>
      </c>
      <c r="P123" s="192" cm="1">
        <f t="array" ref="P123">Common_InputFunctions.Utility_DisplayArrayInTable(Fertiliser_SourceData.Fertiliser_Products_Data2(), FertiliserProducts[[#Headers],[Company]],31)</f>
        <v>0.6</v>
      </c>
      <c r="Q123" s="192" t="str" cm="1">
        <f t="array" ref="Q123">Common_InputFunctions.Utility_DisplayArrayInTable(Fertiliser_SourceData.Fertiliser_Products_Data2(), FertiliserProducts[[#Headers],[Company]],31)</f>
        <v>Nitrogen - Ammoniacal</v>
      </c>
      <c r="R123" s="192" cm="1">
        <f t="array" ref="R123">Common_InputFunctions.Utility_DisplayArrayInTable(Fertiliser_SourceData.Fertiliser_Products_Data2(), FertiliserProducts[[#Headers],[Company]],31)</f>
        <v>4.9000000000000002E-2</v>
      </c>
      <c r="S123" s="192" t="str" cm="1">
        <f t="array" ref="S123">Common_InputFunctions.Utility_DisplayArrayInTable(Fertiliser_SourceData.Fertiliser_Products_Data2(), FertiliserProducts[[#Headers],[Company]],31)</f>
        <v>Phosphorus - Generic</v>
      </c>
      <c r="T123" s="192" cm="1">
        <f t="array" ref="T123">Common_InputFunctions.Utility_DisplayArrayInTable(Fertiliser_SourceData.Fertiliser_Products_Data2(), FertiliserProducts[[#Headers],[Company]],31)</f>
        <v>5.3999999999999999E-2</v>
      </c>
      <c r="U123" s="192" t="str" cm="1">
        <f t="array" ref="U123">Common_InputFunctions.Utility_DisplayArrayInTable(Fertiliser_SourceData.Fertiliser_Products_Data2(), FertiliserProducts[[#Headers],[Company]],31)</f>
        <v>Muriate of potash (MOP)</v>
      </c>
      <c r="V123" s="192" cm="1">
        <f t="array" ref="V123">Common_InputFunctions.Utility_DisplayArrayInTable(Fertiliser_SourceData.Fertiliser_Products_Data2(), FertiliserProducts[[#Headers],[Company]],31)</f>
        <v>0.125</v>
      </c>
      <c r="W123" s="192" t="str" cm="1">
        <f t="array" ref="W123">Common_InputFunctions.Utility_DisplayArrayInTable(Fertiliser_SourceData.Fertiliser_Products_Data2(), FertiliserProducts[[#Headers],[Company]],31)</f>
        <v/>
      </c>
      <c r="X123" s="192" t="str" cm="1">
        <f t="array" ref="X123">Common_InputFunctions.Utility_DisplayArrayInTable(Fertiliser_SourceData.Fertiliser_Products_Data2(), FertiliserProducts[[#Headers],[Company]],31)</f>
        <v/>
      </c>
      <c r="Y123" s="192" t="str" cm="1">
        <f t="array" ref="Y123">Common_InputFunctions.Utility_DisplayArrayInTable(Fertiliser_SourceData.Fertiliser_Products_Data2(), FertiliserProducts[[#Headers],[Company]],31)</f>
        <v/>
      </c>
      <c r="Z123" s="192" t="str" cm="1">
        <f t="array" ref="Z123">Common_InputFunctions.Utility_DisplayArrayInTable(Fertiliser_SourceData.Fertiliser_Products_Data2(), FertiliserProducts[[#Headers],[Company]],31)</f>
        <v/>
      </c>
      <c r="AA123" s="192" t="str" cm="1">
        <f t="array" ref="AA123">Common_InputFunctions.Utility_DisplayArrayInTable(Fertiliser_SourceData.Fertiliser_Products_Data2(), FertiliserProducts[[#Headers],[Company]],31)</f>
        <v/>
      </c>
      <c r="AB123" s="192" t="str" cm="1">
        <f t="array" ref="AB123">Common_InputFunctions.Utility_DisplayArrayInTable(Fertiliser_SourceData.Fertiliser_Products_Data2(), FertiliserProducts[[#Headers],[Company]],31)</f>
        <v/>
      </c>
      <c r="AC123" s="192" t="str" cm="1">
        <f t="array" ref="AC123">Common_InputFunctions.Utility_DisplayArrayInTable(Fertiliser_SourceData.Fertiliser_Products_Data2(), FertiliserProducts[[#Headers],[Company]],31)</f>
        <v/>
      </c>
      <c r="AD123" s="192" t="str" cm="1">
        <f t="array" ref="AD123">Common_InputFunctions.Utility_DisplayArrayInTable(Fertiliser_SourceData.Fertiliser_Products_Data2(), FertiliserProducts[[#Headers],[Company]],31)</f>
        <v/>
      </c>
      <c r="AE123" s="192" t="str" cm="1">
        <f t="array" ref="AE123">Common_InputFunctions.Utility_DisplayArrayInTable(Fertiliser_SourceData.Fertiliser_Products_Data2(), FertiliserProducts[[#Headers],[Company]],31)</f>
        <v/>
      </c>
      <c r="AF123" s="192" t="str" cm="1">
        <f t="array" ref="AF123">Common_InputFunctions.Utility_DisplayArrayInTable(Fertiliser_SourceData.Fertiliser_Products_Data2(), FertiliserProducts[[#Headers],[Company]],31)</f>
        <v/>
      </c>
      <c r="AG123" s="192" t="str" cm="1">
        <f t="array" ref="AG123">Common_InputFunctions.Utility_DisplayArrayInTable(Fertiliser_SourceData.Fertiliser_Products_Data2(), FertiliserProducts[[#Headers],[Company]],31)</f>
        <v/>
      </c>
      <c r="AH123" s="192" t="str" cm="1">
        <f t="array" ref="AH123">Common_InputFunctions.Utility_DisplayArrayInTable(Fertiliser_SourceData.Fertiliser_Products_Data2(), FertiliserProducts[[#Headers],[Company]],31)</f>
        <v/>
      </c>
      <c r="AK123" s="1"/>
      <c r="AL123" s="1"/>
      <c r="AM123" s="1"/>
    </row>
    <row r="124" spans="4:39" ht="20.100000000000001" customHeight="1" x14ac:dyDescent="0.25">
      <c r="D124" s="192" t="str" cm="1">
        <f t="array" ref="D124">Common_InputFunctions.Utility_DisplayArrayInTable(Fertiliser_SourceData.Fertiliser_Products_Data2(), FertiliserProducts[[#Headers],[Company]],31)</f>
        <v>Ravensdown</v>
      </c>
      <c r="E124" s="192" t="str" cm="1">
        <f t="array" ref="E124">Common_InputFunctions.Utility_DisplayArrayInTable(Fertiliser_SourceData.Fertiliser_Products_Data2(), FertiliserProducts[[#Headers],[Company]],31)</f>
        <v>Flexi-N NBPT</v>
      </c>
      <c r="F124" s="192" t="str" cm="1">
        <f t="array" ref="F124">Common_InputFunctions.Utility_DisplayArrayInTable(Fertiliser_SourceData.Fertiliser_Products_Data2(), FertiliserProducts[[#Headers],[Company]],31)</f>
        <v>kg</v>
      </c>
      <c r="G124" s="192" cm="1">
        <f t="array" ref="G124">Common_InputFunctions.Utility_DisplayArrayInTable(Fertiliser_SourceData.Fertiliser_Products_Data2(), FertiliserProducts[[#Headers],[Company]],31)</f>
        <v>1</v>
      </c>
      <c r="H124" s="192" t="str" cm="1">
        <f t="array" ref="H124">Common_InputFunctions.Utility_DisplayArrayInTable(Fertiliser_SourceData.Fertiliser_Products_Data2(), FertiliserProducts[[#Headers],[Company]],31)</f>
        <v>Yes</v>
      </c>
      <c r="I124" s="192" t="str" cm="1">
        <f t="array" ref="I124">Common_InputFunctions.Utility_DisplayArrayInTable(Fertiliser_SourceData.Fertiliser_Products_Data2(), FertiliserProducts[[#Headers],[Company]],31)</f>
        <v/>
      </c>
      <c r="J124" s="192" t="str" cm="1">
        <f t="array" ref="J124">Common_InputFunctions.Utility_DisplayArrayInTable(Fertiliser_SourceData.Fertiliser_Products_Data2(), FertiliserProducts[[#Headers],[Company]],31)</f>
        <v/>
      </c>
      <c r="K124" s="192" cm="1">
        <f t="array" ref="K124">Common_InputFunctions.Utility_DisplayArrayInTable(Fertiliser_SourceData.Fertiliser_Products_Data2(), FertiliserProducts[[#Headers],[Company]],31)</f>
        <v>45.54</v>
      </c>
      <c r="L124" s="192" t="str" cm="1">
        <f t="array" ref="L124">Common_InputFunctions.Utility_DisplayArrayInTable(Fertiliser_SourceData.Fertiliser_Products_Data2(), FertiliserProducts[[#Headers],[Company]],31)</f>
        <v/>
      </c>
      <c r="M124" s="192" t="str" cm="1">
        <f t="array" ref="M124">Common_InputFunctions.Utility_DisplayArrayInTable(Fertiliser_SourceData.Fertiliser_Products_Data2(), FertiliserProducts[[#Headers],[Company]],31)</f>
        <v/>
      </c>
      <c r="N124" s="192" t="str" cm="1">
        <f t="array" ref="N124">Common_InputFunctions.Utility_DisplayArrayInTable(Fertiliser_SourceData.Fertiliser_Products_Data2(), FertiliserProducts[[#Headers],[Company]],31)</f>
        <v/>
      </c>
      <c r="O124" s="192" t="str" cm="1">
        <f t="array" ref="O124">Common_InputFunctions.Utility_DisplayArrayInTable(Fertiliser_SourceData.Fertiliser_Products_Data2(), FertiliserProducts[[#Headers],[Company]],31)</f>
        <v>Urea</v>
      </c>
      <c r="P124" s="192" cm="1">
        <f t="array" ref="P124">Common_InputFunctions.Utility_DisplayArrayInTable(Fertiliser_SourceData.Fertiliser_Products_Data2(), FertiliserProducts[[#Headers],[Company]],31)</f>
        <v>0.99</v>
      </c>
      <c r="Q124" s="192" t="str" cm="1">
        <f t="array" ref="Q124">Common_InputFunctions.Utility_DisplayArrayInTable(Fertiliser_SourceData.Fertiliser_Products_Data2(), FertiliserProducts[[#Headers],[Company]],31)</f>
        <v/>
      </c>
      <c r="R124" s="192" t="str" cm="1">
        <f t="array" ref="R124">Common_InputFunctions.Utility_DisplayArrayInTable(Fertiliser_SourceData.Fertiliser_Products_Data2(), FertiliserProducts[[#Headers],[Company]],31)</f>
        <v/>
      </c>
      <c r="S124" s="192" t="str" cm="1">
        <f t="array" ref="S124">Common_InputFunctions.Utility_DisplayArrayInTable(Fertiliser_SourceData.Fertiliser_Products_Data2(), FertiliserProducts[[#Headers],[Company]],31)</f>
        <v/>
      </c>
      <c r="T124" s="192" t="str" cm="1">
        <f t="array" ref="T124">Common_InputFunctions.Utility_DisplayArrayInTable(Fertiliser_SourceData.Fertiliser_Products_Data2(), FertiliserProducts[[#Headers],[Company]],31)</f>
        <v/>
      </c>
      <c r="U124" s="192" t="str" cm="1">
        <f t="array" ref="U124">Common_InputFunctions.Utility_DisplayArrayInTable(Fertiliser_SourceData.Fertiliser_Products_Data2(), FertiliserProducts[[#Headers],[Company]],31)</f>
        <v/>
      </c>
      <c r="V124" s="192" t="str" cm="1">
        <f t="array" ref="V124">Common_InputFunctions.Utility_DisplayArrayInTable(Fertiliser_SourceData.Fertiliser_Products_Data2(), FertiliserProducts[[#Headers],[Company]],31)</f>
        <v/>
      </c>
      <c r="W124" s="192" t="str" cm="1">
        <f t="array" ref="W124">Common_InputFunctions.Utility_DisplayArrayInTable(Fertiliser_SourceData.Fertiliser_Products_Data2(), FertiliserProducts[[#Headers],[Company]],31)</f>
        <v/>
      </c>
      <c r="X124" s="192" t="str" cm="1">
        <f t="array" ref="X124">Common_InputFunctions.Utility_DisplayArrayInTable(Fertiliser_SourceData.Fertiliser_Products_Data2(), FertiliserProducts[[#Headers],[Company]],31)</f>
        <v/>
      </c>
      <c r="Y124" s="192" t="str" cm="1">
        <f t="array" ref="Y124">Common_InputFunctions.Utility_DisplayArrayInTable(Fertiliser_SourceData.Fertiliser_Products_Data2(), FertiliserProducts[[#Headers],[Company]],31)</f>
        <v/>
      </c>
      <c r="Z124" s="192" t="str" cm="1">
        <f t="array" ref="Z124">Common_InputFunctions.Utility_DisplayArrayInTable(Fertiliser_SourceData.Fertiliser_Products_Data2(), FertiliserProducts[[#Headers],[Company]],31)</f>
        <v/>
      </c>
      <c r="AA124" s="192" t="str" cm="1">
        <f t="array" ref="AA124">Common_InputFunctions.Utility_DisplayArrayInTable(Fertiliser_SourceData.Fertiliser_Products_Data2(), FertiliserProducts[[#Headers],[Company]],31)</f>
        <v/>
      </c>
      <c r="AB124" s="192" t="str" cm="1">
        <f t="array" ref="AB124">Common_InputFunctions.Utility_DisplayArrayInTable(Fertiliser_SourceData.Fertiliser_Products_Data2(), FertiliserProducts[[#Headers],[Company]],31)</f>
        <v/>
      </c>
      <c r="AC124" s="192" t="str" cm="1">
        <f t="array" ref="AC124">Common_InputFunctions.Utility_DisplayArrayInTable(Fertiliser_SourceData.Fertiliser_Products_Data2(), FertiliserProducts[[#Headers],[Company]],31)</f>
        <v/>
      </c>
      <c r="AD124" s="192" t="str" cm="1">
        <f t="array" ref="AD124">Common_InputFunctions.Utility_DisplayArrayInTable(Fertiliser_SourceData.Fertiliser_Products_Data2(), FertiliserProducts[[#Headers],[Company]],31)</f>
        <v/>
      </c>
      <c r="AE124" s="192" t="str" cm="1">
        <f t="array" ref="AE124">Common_InputFunctions.Utility_DisplayArrayInTable(Fertiliser_SourceData.Fertiliser_Products_Data2(), FertiliserProducts[[#Headers],[Company]],31)</f>
        <v/>
      </c>
      <c r="AF124" s="192" t="str" cm="1">
        <f t="array" ref="AF124">Common_InputFunctions.Utility_DisplayArrayInTable(Fertiliser_SourceData.Fertiliser_Products_Data2(), FertiliserProducts[[#Headers],[Company]],31)</f>
        <v/>
      </c>
      <c r="AG124" s="192" t="str" cm="1">
        <f t="array" ref="AG124">Common_InputFunctions.Utility_DisplayArrayInTable(Fertiliser_SourceData.Fertiliser_Products_Data2(), FertiliserProducts[[#Headers],[Company]],31)</f>
        <v/>
      </c>
      <c r="AH124" s="192" t="str" cm="1">
        <f t="array" ref="AH124">Common_InputFunctions.Utility_DisplayArrayInTable(Fertiliser_SourceData.Fertiliser_Products_Data2(), FertiliserProducts[[#Headers],[Company]],31)</f>
        <v/>
      </c>
      <c r="AK124" s="1"/>
      <c r="AL124" s="1"/>
      <c r="AM124" s="1"/>
    </row>
    <row r="125" spans="4:39" ht="20.100000000000001" customHeight="1" x14ac:dyDescent="0.25">
      <c r="D125" s="192" t="str" cm="1">
        <f t="array" ref="D125">Common_InputFunctions.Utility_DisplayArrayInTable(Fertiliser_SourceData.Fertiliser_Products_Data2(), FertiliserProducts[[#Headers],[Company]],31)</f>
        <v>Campbells fertilisers Australia</v>
      </c>
      <c r="E125" s="192" t="str" cm="1">
        <f t="array" ref="E125">Common_InputFunctions.Utility_DisplayArrayInTable(Fertiliser_SourceData.Fertiliser_Products_Data2(), FertiliserProducts[[#Headers],[Company]],31)</f>
        <v>Gold Premium</v>
      </c>
      <c r="F125" s="192" t="str" cm="1">
        <f t="array" ref="F125">Common_InputFunctions.Utility_DisplayArrayInTable(Fertiliser_SourceData.Fertiliser_Products_Data2(), FertiliserProducts[[#Headers],[Company]],31)</f>
        <v>kg</v>
      </c>
      <c r="G125" s="192" cm="1">
        <f t="array" ref="G125">Common_InputFunctions.Utility_DisplayArrayInTable(Fertiliser_SourceData.Fertiliser_Products_Data2(), FertiliserProducts[[#Headers],[Company]],31)</f>
        <v>1</v>
      </c>
      <c r="H125" s="192" t="str" cm="1">
        <f t="array" ref="H125">Common_InputFunctions.Utility_DisplayArrayInTable(Fertiliser_SourceData.Fertiliser_Products_Data2(), FertiliserProducts[[#Headers],[Company]],31)</f>
        <v/>
      </c>
      <c r="I125" s="192" t="str" cm="1">
        <f t="array" ref="I125">Common_InputFunctions.Utility_DisplayArrayInTable(Fertiliser_SourceData.Fertiliser_Products_Data2(), FertiliserProducts[[#Headers],[Company]],31)</f>
        <v/>
      </c>
      <c r="J125" s="192" t="str" cm="1">
        <f t="array" ref="J125">Common_InputFunctions.Utility_DisplayArrayInTable(Fertiliser_SourceData.Fertiliser_Products_Data2(), FertiliserProducts[[#Headers],[Company]],31)</f>
        <v/>
      </c>
      <c r="K125" s="192" cm="1">
        <f t="array" ref="K125">Common_InputFunctions.Utility_DisplayArrayInTable(Fertiliser_SourceData.Fertiliser_Products_Data2(), FertiliserProducts[[#Headers],[Company]],31)</f>
        <v>14.87</v>
      </c>
      <c r="L125" s="192" cm="1">
        <f t="array" ref="L125">Common_InputFunctions.Utility_DisplayArrayInTable(Fertiliser_SourceData.Fertiliser_Products_Data2(), FertiliserProducts[[#Headers],[Company]],31)</f>
        <v>2.2000000000000002</v>
      </c>
      <c r="M125" s="192" cm="1">
        <f t="array" ref="M125">Common_InputFunctions.Utility_DisplayArrayInTable(Fertiliser_SourceData.Fertiliser_Products_Data2(), FertiliserProducts[[#Headers],[Company]],31)</f>
        <v>16.600000000000001</v>
      </c>
      <c r="N125" s="192" cm="1">
        <f t="array" ref="N125">Common_InputFunctions.Utility_DisplayArrayInTable(Fertiliser_SourceData.Fertiliser_Products_Data2(), FertiliserProducts[[#Headers],[Company]],31)</f>
        <v>8</v>
      </c>
      <c r="O125" s="192" t="str" cm="1">
        <f t="array" ref="O125">Common_InputFunctions.Utility_DisplayArrayInTable(Fertiliser_SourceData.Fertiliser_Products_Data2(), FertiliserProducts[[#Headers],[Company]],31)</f>
        <v>Ammonium nitrate (AN)</v>
      </c>
      <c r="P125" s="192" cm="1">
        <f t="array" ref="P125">Common_InputFunctions.Utility_DisplayArrayInTable(Fertiliser_SourceData.Fertiliser_Products_Data2(), FertiliserProducts[[#Headers],[Company]],31)</f>
        <v>0.44117600000000001</v>
      </c>
      <c r="Q125" s="192" t="str" cm="1">
        <f t="array" ref="Q125">Common_InputFunctions.Utility_DisplayArrayInTable(Fertiliser_SourceData.Fertiliser_Products_Data2(), FertiliserProducts[[#Headers],[Company]],31)</f>
        <v>Potassium - Generic</v>
      </c>
      <c r="R125" s="192" cm="1">
        <f t="array" ref="R125">Common_InputFunctions.Utility_DisplayArrayInTable(Fertiliser_SourceData.Fertiliser_Products_Data2(), FertiliserProducts[[#Headers],[Company]],31)</f>
        <v>0.16600000000000001</v>
      </c>
      <c r="S125" s="192" t="str" cm="1">
        <f t="array" ref="S125">Common_InputFunctions.Utility_DisplayArrayInTable(Fertiliser_SourceData.Fertiliser_Products_Data2(), FertiliserProducts[[#Headers],[Company]],31)</f>
        <v>Sulfur - Generic</v>
      </c>
      <c r="T125" s="192" cm="1">
        <f t="array" ref="T125">Common_InputFunctions.Utility_DisplayArrayInTable(Fertiliser_SourceData.Fertiliser_Products_Data2(), FertiliserProducts[[#Headers],[Company]],31)</f>
        <v>0.08</v>
      </c>
      <c r="U125" s="192" t="str" cm="1">
        <f t="array" ref="U125">Common_InputFunctions.Utility_DisplayArrayInTable(Fertiliser_SourceData.Fertiliser_Products_Data2(), FertiliserProducts[[#Headers],[Company]],31)</f>
        <v>Phosphorus - Generic</v>
      </c>
      <c r="V125" s="192" cm="1">
        <f t="array" ref="V125">Common_InputFunctions.Utility_DisplayArrayInTable(Fertiliser_SourceData.Fertiliser_Products_Data2(), FertiliserProducts[[#Headers],[Company]],31)</f>
        <v>2.1999999999999999E-2</v>
      </c>
      <c r="W125" s="192" t="str" cm="1">
        <f t="array" ref="W125">Common_InputFunctions.Utility_DisplayArrayInTable(Fertiliser_SourceData.Fertiliser_Products_Data2(), FertiliserProducts[[#Headers],[Company]],31)</f>
        <v>Magnesium</v>
      </c>
      <c r="X125" s="192" cm="1">
        <f t="array" ref="X125">Common_InputFunctions.Utility_DisplayArrayInTable(Fertiliser_SourceData.Fertiliser_Products_Data2(), FertiliserProducts[[#Headers],[Company]],31)</f>
        <v>1.2E-2</v>
      </c>
      <c r="Y125" s="192" t="str" cm="1">
        <f t="array" ref="Y125">Common_InputFunctions.Utility_DisplayArrayInTable(Fertiliser_SourceData.Fertiliser_Products_Data2(), FertiliserProducts[[#Headers],[Company]],31)</f>
        <v>Boron</v>
      </c>
      <c r="Z125" s="192" cm="1">
        <f t="array" ref="Z125">Common_InputFunctions.Utility_DisplayArrayInTable(Fertiliser_SourceData.Fertiliser_Products_Data2(), FertiliserProducts[[#Headers],[Company]],31)</f>
        <v>2.0000000000000001E-4</v>
      </c>
      <c r="AA125" s="192" t="str" cm="1">
        <f t="array" ref="AA125">Common_InputFunctions.Utility_DisplayArrayInTable(Fertiliser_SourceData.Fertiliser_Products_Data2(), FertiliserProducts[[#Headers],[Company]],31)</f>
        <v>Zinc</v>
      </c>
      <c r="AB125" s="192" cm="1">
        <f t="array" ref="AB125">Common_InputFunctions.Utility_DisplayArrayInTable(Fertiliser_SourceData.Fertiliser_Products_Data2(), FertiliserProducts[[#Headers],[Company]],31)</f>
        <v>1E-4</v>
      </c>
      <c r="AC125" s="192" t="str" cm="1">
        <f t="array" ref="AC125">Common_InputFunctions.Utility_DisplayArrayInTable(Fertiliser_SourceData.Fertiliser_Products_Data2(), FertiliserProducts[[#Headers],[Company]],31)</f>
        <v/>
      </c>
      <c r="AD125" s="192" t="str" cm="1">
        <f t="array" ref="AD125">Common_InputFunctions.Utility_DisplayArrayInTable(Fertiliser_SourceData.Fertiliser_Products_Data2(), FertiliserProducts[[#Headers],[Company]],31)</f>
        <v/>
      </c>
      <c r="AE125" s="192" t="str" cm="1">
        <f t="array" ref="AE125">Common_InputFunctions.Utility_DisplayArrayInTable(Fertiliser_SourceData.Fertiliser_Products_Data2(), FertiliserProducts[[#Headers],[Company]],31)</f>
        <v/>
      </c>
      <c r="AF125" s="192" t="str" cm="1">
        <f t="array" ref="AF125">Common_InputFunctions.Utility_DisplayArrayInTable(Fertiliser_SourceData.Fertiliser_Products_Data2(), FertiliserProducts[[#Headers],[Company]],31)</f>
        <v/>
      </c>
      <c r="AG125" s="192" t="str" cm="1">
        <f t="array" ref="AG125">Common_InputFunctions.Utility_DisplayArrayInTable(Fertiliser_SourceData.Fertiliser_Products_Data2(), FertiliserProducts[[#Headers],[Company]],31)</f>
        <v/>
      </c>
      <c r="AH125" s="192" t="str" cm="1">
        <f t="array" ref="AH125">Common_InputFunctions.Utility_DisplayArrayInTable(Fertiliser_SourceData.Fertiliser_Products_Data2(), FertiliserProducts[[#Headers],[Company]],31)</f>
        <v/>
      </c>
      <c r="AK125" s="1"/>
      <c r="AL125" s="1"/>
      <c r="AM125" s="1"/>
    </row>
    <row r="126" spans="4:39" ht="20.100000000000001" customHeight="1" x14ac:dyDescent="0.25">
      <c r="D126" s="192" t="str" cm="1">
        <f t="array" ref="D126">Common_InputFunctions.Utility_DisplayArrayInTable(Fertiliser_SourceData.Fertiliser_Products_Data2(), FertiliserProducts[[#Headers],[Company]],31)</f>
        <v>SL Tec</v>
      </c>
      <c r="E126" s="192" t="str" cm="1">
        <f t="array" ref="E126">Common_InputFunctions.Utility_DisplayArrayInTable(Fertiliser_SourceData.Fertiliser_Products_Data2(), FertiliserProducts[[#Headers],[Company]],31)</f>
        <v>High NS</v>
      </c>
      <c r="F126" s="192" t="str" cm="1">
        <f t="array" ref="F126">Common_InputFunctions.Utility_DisplayArrayInTable(Fertiliser_SourceData.Fertiliser_Products_Data2(), FertiliserProducts[[#Headers],[Company]],31)</f>
        <v>L</v>
      </c>
      <c r="G126" s="192" cm="1">
        <f t="array" ref="G126">Common_InputFunctions.Utility_DisplayArrayInTable(Fertiliser_SourceData.Fertiliser_Products_Data2(), FertiliserProducts[[#Headers],[Company]],31)</f>
        <v>1.2989999999999999</v>
      </c>
      <c r="H126" s="192" t="str" cm="1">
        <f t="array" ref="H126">Common_InputFunctions.Utility_DisplayArrayInTable(Fertiliser_SourceData.Fertiliser_Products_Data2(), FertiliserProducts[[#Headers],[Company]],31)</f>
        <v/>
      </c>
      <c r="I126" s="192" t="str" cm="1">
        <f t="array" ref="I126">Common_InputFunctions.Utility_DisplayArrayInTable(Fertiliser_SourceData.Fertiliser_Products_Data2(), FertiliserProducts[[#Headers],[Company]],31)</f>
        <v/>
      </c>
      <c r="J126" s="192" t="str" cm="1">
        <f t="array" ref="J126">Common_InputFunctions.Utility_DisplayArrayInTable(Fertiliser_SourceData.Fertiliser_Products_Data2(), FertiliserProducts[[#Headers],[Company]],31)</f>
        <v/>
      </c>
      <c r="K126" s="192" cm="1">
        <f t="array" ref="K126">Common_InputFunctions.Utility_DisplayArrayInTable(Fertiliser_SourceData.Fertiliser_Products_Data2(), FertiliserProducts[[#Headers],[Company]],31)</f>
        <v>38</v>
      </c>
      <c r="L126" s="192" t="str" cm="1">
        <f t="array" ref="L126">Common_InputFunctions.Utility_DisplayArrayInTable(Fertiliser_SourceData.Fertiliser_Products_Data2(), FertiliserProducts[[#Headers],[Company]],31)</f>
        <v/>
      </c>
      <c r="M126" s="192" t="str" cm="1">
        <f t="array" ref="M126">Common_InputFunctions.Utility_DisplayArrayInTable(Fertiliser_SourceData.Fertiliser_Products_Data2(), FertiliserProducts[[#Headers],[Company]],31)</f>
        <v/>
      </c>
      <c r="N126" s="192" cm="1">
        <f t="array" ref="N126">Common_InputFunctions.Utility_DisplayArrayInTable(Fertiliser_SourceData.Fertiliser_Products_Data2(), FertiliserProducts[[#Headers],[Company]],31)</f>
        <v>2</v>
      </c>
      <c r="O126" s="192" t="str" cm="1">
        <f t="array" ref="O126">Common_InputFunctions.Utility_DisplayArrayInTable(Fertiliser_SourceData.Fertiliser_Products_Data2(), FertiliserProducts[[#Headers],[Company]],31)</f>
        <v>Urea</v>
      </c>
      <c r="P126" s="192" cm="1">
        <f t="array" ref="P126">Common_InputFunctions.Utility_DisplayArrayInTable(Fertiliser_SourceData.Fertiliser_Products_Data2(), FertiliserProducts[[#Headers],[Company]],31)</f>
        <v>0.46087</v>
      </c>
      <c r="Q126" s="192" t="str" cm="1">
        <f t="array" ref="Q126">Common_InputFunctions.Utility_DisplayArrayInTable(Fertiliser_SourceData.Fertiliser_Products_Data2(), FertiliserProducts[[#Headers],[Company]],31)</f>
        <v>Nitrogen - Ammoniacal</v>
      </c>
      <c r="R126" s="192" cm="1">
        <f t="array" ref="R126">Common_InputFunctions.Utility_DisplayArrayInTable(Fertiliser_SourceData.Fertiliser_Products_Data2(), FertiliserProducts[[#Headers],[Company]],31)</f>
        <v>9.1999999999999998E-2</v>
      </c>
      <c r="S126" s="192" t="str" cm="1">
        <f t="array" ref="S126">Common_InputFunctions.Utility_DisplayArrayInTable(Fertiliser_SourceData.Fertiliser_Products_Data2(), FertiliserProducts[[#Headers],[Company]],31)</f>
        <v>Nitrogen - Nitrate</v>
      </c>
      <c r="T126" s="192" cm="1">
        <f t="array" ref="T126">Common_InputFunctions.Utility_DisplayArrayInTable(Fertiliser_SourceData.Fertiliser_Products_Data2(), FertiliserProducts[[#Headers],[Company]],31)</f>
        <v>7.5999999999999998E-2</v>
      </c>
      <c r="U126" s="192" t="str" cm="1">
        <f t="array" ref="U126">Common_InputFunctions.Utility_DisplayArrayInTable(Fertiliser_SourceData.Fertiliser_Products_Data2(), FertiliserProducts[[#Headers],[Company]],31)</f>
        <v>Sulfur - Generic</v>
      </c>
      <c r="V126" s="192" cm="1">
        <f t="array" ref="V126">Common_InputFunctions.Utility_DisplayArrayInTable(Fertiliser_SourceData.Fertiliser_Products_Data2(), FertiliserProducts[[#Headers],[Company]],31)</f>
        <v>0.02</v>
      </c>
      <c r="W126" s="192" t="str" cm="1">
        <f t="array" ref="W126">Common_InputFunctions.Utility_DisplayArrayInTable(Fertiliser_SourceData.Fertiliser_Products_Data2(), FertiliserProducts[[#Headers],[Company]],31)</f>
        <v/>
      </c>
      <c r="X126" s="192" t="str" cm="1">
        <f t="array" ref="X126">Common_InputFunctions.Utility_DisplayArrayInTable(Fertiliser_SourceData.Fertiliser_Products_Data2(), FertiliserProducts[[#Headers],[Company]],31)</f>
        <v/>
      </c>
      <c r="Y126" s="192" t="str" cm="1">
        <f t="array" ref="Y126">Common_InputFunctions.Utility_DisplayArrayInTable(Fertiliser_SourceData.Fertiliser_Products_Data2(), FertiliserProducts[[#Headers],[Company]],31)</f>
        <v/>
      </c>
      <c r="Z126" s="192" t="str" cm="1">
        <f t="array" ref="Z126">Common_InputFunctions.Utility_DisplayArrayInTable(Fertiliser_SourceData.Fertiliser_Products_Data2(), FertiliserProducts[[#Headers],[Company]],31)</f>
        <v/>
      </c>
      <c r="AA126" s="192" t="str" cm="1">
        <f t="array" ref="AA126">Common_InputFunctions.Utility_DisplayArrayInTable(Fertiliser_SourceData.Fertiliser_Products_Data2(), FertiliserProducts[[#Headers],[Company]],31)</f>
        <v/>
      </c>
      <c r="AB126" s="192" t="str" cm="1">
        <f t="array" ref="AB126">Common_InputFunctions.Utility_DisplayArrayInTable(Fertiliser_SourceData.Fertiliser_Products_Data2(), FertiliserProducts[[#Headers],[Company]],31)</f>
        <v/>
      </c>
      <c r="AC126" s="192" t="str" cm="1">
        <f t="array" ref="AC126">Common_InputFunctions.Utility_DisplayArrayInTable(Fertiliser_SourceData.Fertiliser_Products_Data2(), FertiliserProducts[[#Headers],[Company]],31)</f>
        <v/>
      </c>
      <c r="AD126" s="192" t="str" cm="1">
        <f t="array" ref="AD126">Common_InputFunctions.Utility_DisplayArrayInTable(Fertiliser_SourceData.Fertiliser_Products_Data2(), FertiliserProducts[[#Headers],[Company]],31)</f>
        <v/>
      </c>
      <c r="AE126" s="192" t="str" cm="1">
        <f t="array" ref="AE126">Common_InputFunctions.Utility_DisplayArrayInTable(Fertiliser_SourceData.Fertiliser_Products_Data2(), FertiliserProducts[[#Headers],[Company]],31)</f>
        <v/>
      </c>
      <c r="AF126" s="192" t="str" cm="1">
        <f t="array" ref="AF126">Common_InputFunctions.Utility_DisplayArrayInTable(Fertiliser_SourceData.Fertiliser_Products_Data2(), FertiliserProducts[[#Headers],[Company]],31)</f>
        <v/>
      </c>
      <c r="AG126" s="192" t="str" cm="1">
        <f t="array" ref="AG126">Common_InputFunctions.Utility_DisplayArrayInTable(Fertiliser_SourceData.Fertiliser_Products_Data2(), FertiliserProducts[[#Headers],[Company]],31)</f>
        <v/>
      </c>
      <c r="AH126" s="192" t="str" cm="1">
        <f t="array" ref="AH126">Common_InputFunctions.Utility_DisplayArrayInTable(Fertiliser_SourceData.Fertiliser_Products_Data2(), FertiliserProducts[[#Headers],[Company]],31)</f>
        <v/>
      </c>
      <c r="AK126" s="1"/>
      <c r="AL126" s="1"/>
      <c r="AM126" s="1"/>
    </row>
    <row r="127" spans="4:39" ht="20.100000000000001" customHeight="1" x14ac:dyDescent="0.25">
      <c r="D127" s="192" t="str" cm="1">
        <f t="array" ref="D127">Common_InputFunctions.Utility_DisplayArrayInTable(Fertiliser_SourceData.Fertiliser_Products_Data2(), FertiliserProducts[[#Headers],[Company]],31)</f>
        <v>Impact Fertilisers</v>
      </c>
      <c r="E127" s="192" t="str" cm="1">
        <f t="array" ref="E127">Common_InputFunctions.Utility_DisplayArrayInTable(Fertiliser_SourceData.Fertiliser_Products_Data2(), FertiliserProducts[[#Headers],[Company]],31)</f>
        <v>Impact SSP</v>
      </c>
      <c r="F127" s="192" t="str" cm="1">
        <f t="array" ref="F127">Common_InputFunctions.Utility_DisplayArrayInTable(Fertiliser_SourceData.Fertiliser_Products_Data2(), FertiliserProducts[[#Headers],[Company]],31)</f>
        <v>kg</v>
      </c>
      <c r="G127" s="192" cm="1">
        <f t="array" ref="G127">Common_InputFunctions.Utility_DisplayArrayInTable(Fertiliser_SourceData.Fertiliser_Products_Data2(), FertiliserProducts[[#Headers],[Company]],31)</f>
        <v>1</v>
      </c>
      <c r="H127" s="192" t="str" cm="1">
        <f t="array" ref="H127">Common_InputFunctions.Utility_DisplayArrayInTable(Fertiliser_SourceData.Fertiliser_Products_Data2(), FertiliserProducts[[#Headers],[Company]],31)</f>
        <v/>
      </c>
      <c r="I127" s="192" t="str" cm="1">
        <f t="array" ref="I127">Common_InputFunctions.Utility_DisplayArrayInTable(Fertiliser_SourceData.Fertiliser_Products_Data2(), FertiliserProducts[[#Headers],[Company]],31)</f>
        <v/>
      </c>
      <c r="J127" s="192" t="str" cm="1">
        <f t="array" ref="J127">Common_InputFunctions.Utility_DisplayArrayInTable(Fertiliser_SourceData.Fertiliser_Products_Data2(), FertiliserProducts[[#Headers],[Company]],31)</f>
        <v/>
      </c>
      <c r="K127" s="192" t="str" cm="1">
        <f t="array" ref="K127">Common_InputFunctions.Utility_DisplayArrayInTable(Fertiliser_SourceData.Fertiliser_Products_Data2(), FertiliserProducts[[#Headers],[Company]],31)</f>
        <v/>
      </c>
      <c r="L127" s="192" cm="1">
        <f t="array" ref="L127">Common_InputFunctions.Utility_DisplayArrayInTable(Fertiliser_SourceData.Fertiliser_Products_Data2(), FertiliserProducts[[#Headers],[Company]],31)</f>
        <v>8.8000000000000007</v>
      </c>
      <c r="M127" s="192" t="str" cm="1">
        <f t="array" ref="M127">Common_InputFunctions.Utility_DisplayArrayInTable(Fertiliser_SourceData.Fertiliser_Products_Data2(), FertiliserProducts[[#Headers],[Company]],31)</f>
        <v/>
      </c>
      <c r="N127" s="192" cm="1">
        <f t="array" ref="N127">Common_InputFunctions.Utility_DisplayArrayInTable(Fertiliser_SourceData.Fertiliser_Products_Data2(), FertiliserProducts[[#Headers],[Company]],31)</f>
        <v>11</v>
      </c>
      <c r="O127" s="192" t="str" cm="1">
        <f t="array" ref="O127">Common_InputFunctions.Utility_DisplayArrayInTable(Fertiliser_SourceData.Fertiliser_Products_Data2(), FertiliserProducts[[#Headers],[Company]],31)</f>
        <v>Single superphosphate (SSP)</v>
      </c>
      <c r="P127" s="192" cm="1">
        <f t="array" ref="P127">Common_InputFunctions.Utility_DisplayArrayInTable(Fertiliser_SourceData.Fertiliser_Products_Data2(), FertiliserProducts[[#Headers],[Company]],31)</f>
        <v>1</v>
      </c>
      <c r="Q127" s="192" t="str" cm="1">
        <f t="array" ref="Q127">Common_InputFunctions.Utility_DisplayArrayInTable(Fertiliser_SourceData.Fertiliser_Products_Data2(), FertiliserProducts[[#Headers],[Company]],31)</f>
        <v/>
      </c>
      <c r="R127" s="192" t="str" cm="1">
        <f t="array" ref="R127">Common_InputFunctions.Utility_DisplayArrayInTable(Fertiliser_SourceData.Fertiliser_Products_Data2(), FertiliserProducts[[#Headers],[Company]],31)</f>
        <v/>
      </c>
      <c r="S127" s="192" t="str" cm="1">
        <f t="array" ref="S127">Common_InputFunctions.Utility_DisplayArrayInTable(Fertiliser_SourceData.Fertiliser_Products_Data2(), FertiliserProducts[[#Headers],[Company]],31)</f>
        <v/>
      </c>
      <c r="T127" s="192" t="str" cm="1">
        <f t="array" ref="T127">Common_InputFunctions.Utility_DisplayArrayInTable(Fertiliser_SourceData.Fertiliser_Products_Data2(), FertiliserProducts[[#Headers],[Company]],31)</f>
        <v/>
      </c>
      <c r="U127" s="192" t="str" cm="1">
        <f t="array" ref="U127">Common_InputFunctions.Utility_DisplayArrayInTable(Fertiliser_SourceData.Fertiliser_Products_Data2(), FertiliserProducts[[#Headers],[Company]],31)</f>
        <v/>
      </c>
      <c r="V127" s="192" t="str" cm="1">
        <f t="array" ref="V127">Common_InputFunctions.Utility_DisplayArrayInTable(Fertiliser_SourceData.Fertiliser_Products_Data2(), FertiliserProducts[[#Headers],[Company]],31)</f>
        <v/>
      </c>
      <c r="W127" s="192" t="str" cm="1">
        <f t="array" ref="W127">Common_InputFunctions.Utility_DisplayArrayInTable(Fertiliser_SourceData.Fertiliser_Products_Data2(), FertiliserProducts[[#Headers],[Company]],31)</f>
        <v/>
      </c>
      <c r="X127" s="192" t="str" cm="1">
        <f t="array" ref="X127">Common_InputFunctions.Utility_DisplayArrayInTable(Fertiliser_SourceData.Fertiliser_Products_Data2(), FertiliserProducts[[#Headers],[Company]],31)</f>
        <v/>
      </c>
      <c r="Y127" s="192" t="str" cm="1">
        <f t="array" ref="Y127">Common_InputFunctions.Utility_DisplayArrayInTable(Fertiliser_SourceData.Fertiliser_Products_Data2(), FertiliserProducts[[#Headers],[Company]],31)</f>
        <v/>
      </c>
      <c r="Z127" s="192" t="str" cm="1">
        <f t="array" ref="Z127">Common_InputFunctions.Utility_DisplayArrayInTable(Fertiliser_SourceData.Fertiliser_Products_Data2(), FertiliserProducts[[#Headers],[Company]],31)</f>
        <v/>
      </c>
      <c r="AA127" s="192" t="str" cm="1">
        <f t="array" ref="AA127">Common_InputFunctions.Utility_DisplayArrayInTable(Fertiliser_SourceData.Fertiliser_Products_Data2(), FertiliserProducts[[#Headers],[Company]],31)</f>
        <v/>
      </c>
      <c r="AB127" s="192" t="str" cm="1">
        <f t="array" ref="AB127">Common_InputFunctions.Utility_DisplayArrayInTable(Fertiliser_SourceData.Fertiliser_Products_Data2(), FertiliserProducts[[#Headers],[Company]],31)</f>
        <v/>
      </c>
      <c r="AC127" s="192" t="str" cm="1">
        <f t="array" ref="AC127">Common_InputFunctions.Utility_DisplayArrayInTable(Fertiliser_SourceData.Fertiliser_Products_Data2(), FertiliserProducts[[#Headers],[Company]],31)</f>
        <v/>
      </c>
      <c r="AD127" s="192" t="str" cm="1">
        <f t="array" ref="AD127">Common_InputFunctions.Utility_DisplayArrayInTable(Fertiliser_SourceData.Fertiliser_Products_Data2(), FertiliserProducts[[#Headers],[Company]],31)</f>
        <v/>
      </c>
      <c r="AE127" s="192" t="str" cm="1">
        <f t="array" ref="AE127">Common_InputFunctions.Utility_DisplayArrayInTable(Fertiliser_SourceData.Fertiliser_Products_Data2(), FertiliserProducts[[#Headers],[Company]],31)</f>
        <v/>
      </c>
      <c r="AF127" s="192" t="str" cm="1">
        <f t="array" ref="AF127">Common_InputFunctions.Utility_DisplayArrayInTable(Fertiliser_SourceData.Fertiliser_Products_Data2(), FertiliserProducts[[#Headers],[Company]],31)</f>
        <v/>
      </c>
      <c r="AG127" s="192" t="str" cm="1">
        <f t="array" ref="AG127">Common_InputFunctions.Utility_DisplayArrayInTable(Fertiliser_SourceData.Fertiliser_Products_Data2(), FertiliserProducts[[#Headers],[Company]],31)</f>
        <v/>
      </c>
      <c r="AH127" s="192" t="str" cm="1">
        <f t="array" ref="AH127">Common_InputFunctions.Utility_DisplayArrayInTable(Fertiliser_SourceData.Fertiliser_Products_Data2(), FertiliserProducts[[#Headers],[Company]],31)</f>
        <v/>
      </c>
      <c r="AK127" s="1"/>
      <c r="AL127" s="1"/>
      <c r="AM127" s="1"/>
    </row>
    <row r="128" spans="4:39" ht="20.100000000000001" customHeight="1" x14ac:dyDescent="0.25">
      <c r="D128" s="192" t="str" cm="1">
        <f t="array" ref="D128">Common_InputFunctions.Utility_DisplayArrayInTable(Fertiliser_SourceData.Fertiliser_Products_Data2(), FertiliserProducts[[#Headers],[Company]],31)</f>
        <v>Switch Ag</v>
      </c>
      <c r="E128" s="192" t="str" cm="1">
        <f t="array" ref="E128">Common_InputFunctions.Utility_DisplayArrayInTable(Fertiliser_SourceData.Fertiliser_Products_Data2(), FertiliserProducts[[#Headers],[Company]],31)</f>
        <v>In Crop</v>
      </c>
      <c r="F128" s="192" t="str" cm="1">
        <f t="array" ref="F128">Common_InputFunctions.Utility_DisplayArrayInTable(Fertiliser_SourceData.Fertiliser_Products_Data2(), FertiliserProducts[[#Headers],[Company]],31)</f>
        <v>L</v>
      </c>
      <c r="G128" s="192" cm="1">
        <f t="array" ref="G128">Common_InputFunctions.Utility_DisplayArrayInTable(Fertiliser_SourceData.Fertiliser_Products_Data2(), FertiliserProducts[[#Headers],[Company]],31)</f>
        <v>1.2</v>
      </c>
      <c r="H128" s="192" t="str" cm="1">
        <f t="array" ref="H128">Common_InputFunctions.Utility_DisplayArrayInTable(Fertiliser_SourceData.Fertiliser_Products_Data2(), FertiliserProducts[[#Headers],[Company]],31)</f>
        <v/>
      </c>
      <c r="I128" s="192" t="str" cm="1">
        <f t="array" ref="I128">Common_InputFunctions.Utility_DisplayArrayInTable(Fertiliser_SourceData.Fertiliser_Products_Data2(), FertiliserProducts[[#Headers],[Company]],31)</f>
        <v/>
      </c>
      <c r="J128" s="192" t="str" cm="1">
        <f t="array" ref="J128">Common_InputFunctions.Utility_DisplayArrayInTable(Fertiliser_SourceData.Fertiliser_Products_Data2(), FertiliserProducts[[#Headers],[Company]],31)</f>
        <v/>
      </c>
      <c r="K128" s="192" cm="1">
        <f t="array" ref="K128">Common_InputFunctions.Utility_DisplayArrayInTable(Fertiliser_SourceData.Fertiliser_Products_Data2(), FertiliserProducts[[#Headers],[Company]],31)</f>
        <v>10</v>
      </c>
      <c r="L128" s="192" cm="1">
        <f t="array" ref="L128">Common_InputFunctions.Utility_DisplayArrayInTable(Fertiliser_SourceData.Fertiliser_Products_Data2(), FertiliserProducts[[#Headers],[Company]],31)</f>
        <v>1</v>
      </c>
      <c r="M128" s="192" cm="1">
        <f t="array" ref="M128">Common_InputFunctions.Utility_DisplayArrayInTable(Fertiliser_SourceData.Fertiliser_Products_Data2(), FertiliserProducts[[#Headers],[Company]],31)</f>
        <v>11</v>
      </c>
      <c r="N128" s="192" t="str" cm="1">
        <f t="array" ref="N128">Common_InputFunctions.Utility_DisplayArrayInTable(Fertiliser_SourceData.Fertiliser_Products_Data2(), FertiliserProducts[[#Headers],[Company]],31)</f>
        <v/>
      </c>
      <c r="O128" s="192" t="str" cm="1">
        <f t="array" ref="O128">Common_InputFunctions.Utility_DisplayArrayInTable(Fertiliser_SourceData.Fertiliser_Products_Data2(), FertiliserProducts[[#Headers],[Company]],31)</f>
        <v>Potassium - Generic</v>
      </c>
      <c r="P128" s="192" cm="1">
        <f t="array" ref="P128">Common_InputFunctions.Utility_DisplayArrayInTable(Fertiliser_SourceData.Fertiliser_Products_Data2(), FertiliserProducts[[#Headers],[Company]],31)</f>
        <v>0.11</v>
      </c>
      <c r="Q128" s="192" t="str" cm="1">
        <f t="array" ref="Q128">Common_InputFunctions.Utility_DisplayArrayInTable(Fertiliser_SourceData.Fertiliser_Products_Data2(), FertiliserProducts[[#Headers],[Company]],31)</f>
        <v>Nitrogen - Generic</v>
      </c>
      <c r="R128" s="192" cm="1">
        <f t="array" ref="R128">Common_InputFunctions.Utility_DisplayArrayInTable(Fertiliser_SourceData.Fertiliser_Products_Data2(), FertiliserProducts[[#Headers],[Company]],31)</f>
        <v>0.1</v>
      </c>
      <c r="S128" s="192" t="str" cm="1">
        <f t="array" ref="S128">Common_InputFunctions.Utility_DisplayArrayInTable(Fertiliser_SourceData.Fertiliser_Products_Data2(), FertiliserProducts[[#Headers],[Company]],31)</f>
        <v>Phosphorus - Generic</v>
      </c>
      <c r="T128" s="192" cm="1">
        <f t="array" ref="T128">Common_InputFunctions.Utility_DisplayArrayInTable(Fertiliser_SourceData.Fertiliser_Products_Data2(), FertiliserProducts[[#Headers],[Company]],31)</f>
        <v>0.01</v>
      </c>
      <c r="U128" s="192" t="str" cm="1">
        <f t="array" ref="U128">Common_InputFunctions.Utility_DisplayArrayInTable(Fertiliser_SourceData.Fertiliser_Products_Data2(), FertiliserProducts[[#Headers],[Company]],31)</f>
        <v/>
      </c>
      <c r="V128" s="192" t="str" cm="1">
        <f t="array" ref="V128">Common_InputFunctions.Utility_DisplayArrayInTable(Fertiliser_SourceData.Fertiliser_Products_Data2(), FertiliserProducts[[#Headers],[Company]],31)</f>
        <v/>
      </c>
      <c r="W128" s="192" t="str" cm="1">
        <f t="array" ref="W128">Common_InputFunctions.Utility_DisplayArrayInTable(Fertiliser_SourceData.Fertiliser_Products_Data2(), FertiliserProducts[[#Headers],[Company]],31)</f>
        <v/>
      </c>
      <c r="X128" s="192" t="str" cm="1">
        <f t="array" ref="X128">Common_InputFunctions.Utility_DisplayArrayInTable(Fertiliser_SourceData.Fertiliser_Products_Data2(), FertiliserProducts[[#Headers],[Company]],31)</f>
        <v/>
      </c>
      <c r="Y128" s="192" t="str" cm="1">
        <f t="array" ref="Y128">Common_InputFunctions.Utility_DisplayArrayInTable(Fertiliser_SourceData.Fertiliser_Products_Data2(), FertiliserProducts[[#Headers],[Company]],31)</f>
        <v/>
      </c>
      <c r="Z128" s="192" t="str" cm="1">
        <f t="array" ref="Z128">Common_InputFunctions.Utility_DisplayArrayInTable(Fertiliser_SourceData.Fertiliser_Products_Data2(), FertiliserProducts[[#Headers],[Company]],31)</f>
        <v/>
      </c>
      <c r="AA128" s="192" t="str" cm="1">
        <f t="array" ref="AA128">Common_InputFunctions.Utility_DisplayArrayInTable(Fertiliser_SourceData.Fertiliser_Products_Data2(), FertiliserProducts[[#Headers],[Company]],31)</f>
        <v/>
      </c>
      <c r="AB128" s="192" t="str" cm="1">
        <f t="array" ref="AB128">Common_InputFunctions.Utility_DisplayArrayInTable(Fertiliser_SourceData.Fertiliser_Products_Data2(), FertiliserProducts[[#Headers],[Company]],31)</f>
        <v/>
      </c>
      <c r="AC128" s="192" t="str" cm="1">
        <f t="array" ref="AC128">Common_InputFunctions.Utility_DisplayArrayInTable(Fertiliser_SourceData.Fertiliser_Products_Data2(), FertiliserProducts[[#Headers],[Company]],31)</f>
        <v/>
      </c>
      <c r="AD128" s="192" t="str" cm="1">
        <f t="array" ref="AD128">Common_InputFunctions.Utility_DisplayArrayInTable(Fertiliser_SourceData.Fertiliser_Products_Data2(), FertiliserProducts[[#Headers],[Company]],31)</f>
        <v/>
      </c>
      <c r="AE128" s="192" t="str" cm="1">
        <f t="array" ref="AE128">Common_InputFunctions.Utility_DisplayArrayInTable(Fertiliser_SourceData.Fertiliser_Products_Data2(), FertiliserProducts[[#Headers],[Company]],31)</f>
        <v/>
      </c>
      <c r="AF128" s="192" t="str" cm="1">
        <f t="array" ref="AF128">Common_InputFunctions.Utility_DisplayArrayInTable(Fertiliser_SourceData.Fertiliser_Products_Data2(), FertiliserProducts[[#Headers],[Company]],31)</f>
        <v/>
      </c>
      <c r="AG128" s="192" t="str" cm="1">
        <f t="array" ref="AG128">Common_InputFunctions.Utility_DisplayArrayInTable(Fertiliser_SourceData.Fertiliser_Products_Data2(), FertiliserProducts[[#Headers],[Company]],31)</f>
        <v/>
      </c>
      <c r="AH128" s="192" t="str" cm="1">
        <f t="array" ref="AH128">Common_InputFunctions.Utility_DisplayArrayInTable(Fertiliser_SourceData.Fertiliser_Products_Data2(), FertiliserProducts[[#Headers],[Company]],31)</f>
        <v/>
      </c>
      <c r="AK128" s="1"/>
      <c r="AL128" s="1"/>
      <c r="AM128" s="1"/>
    </row>
    <row r="129" spans="4:39" ht="20.100000000000001" customHeight="1" x14ac:dyDescent="0.25">
      <c r="D129" s="192" t="str" cm="1">
        <f t="array" ref="D129">Common_InputFunctions.Utility_DisplayArrayInTable(Fertiliser_SourceData.Fertiliser_Products_Data2(), FertiliserProducts[[#Headers],[Company]],31)</f>
        <v>Switch Ag</v>
      </c>
      <c r="E129" s="192" t="str" cm="1">
        <f t="array" ref="E129">Common_InputFunctions.Utility_DisplayArrayInTable(Fertiliser_SourceData.Fertiliser_Products_Data2(), FertiliserProducts[[#Headers],[Company]],31)</f>
        <v>K20</v>
      </c>
      <c r="F129" s="192" t="str" cm="1">
        <f t="array" ref="F129">Common_InputFunctions.Utility_DisplayArrayInTable(Fertiliser_SourceData.Fertiliser_Products_Data2(), FertiliserProducts[[#Headers],[Company]],31)</f>
        <v>L</v>
      </c>
      <c r="G129" s="192" cm="1">
        <f t="array" ref="G129">Common_InputFunctions.Utility_DisplayArrayInTable(Fertiliser_SourceData.Fertiliser_Products_Data2(), FertiliserProducts[[#Headers],[Company]],31)</f>
        <v>1.3</v>
      </c>
      <c r="H129" s="192" t="str" cm="1">
        <f t="array" ref="H129">Common_InputFunctions.Utility_DisplayArrayInTable(Fertiliser_SourceData.Fertiliser_Products_Data2(), FertiliserProducts[[#Headers],[Company]],31)</f>
        <v/>
      </c>
      <c r="I129" s="192" t="str" cm="1">
        <f t="array" ref="I129">Common_InputFunctions.Utility_DisplayArrayInTable(Fertiliser_SourceData.Fertiliser_Products_Data2(), FertiliserProducts[[#Headers],[Company]],31)</f>
        <v/>
      </c>
      <c r="J129" s="192" t="str" cm="1">
        <f t="array" ref="J129">Common_InputFunctions.Utility_DisplayArrayInTable(Fertiliser_SourceData.Fertiliser_Products_Data2(), FertiliserProducts[[#Headers],[Company]],31)</f>
        <v/>
      </c>
      <c r="K129" s="192" cm="1">
        <f t="array" ref="K129">Common_InputFunctions.Utility_DisplayArrayInTable(Fertiliser_SourceData.Fertiliser_Products_Data2(), FertiliserProducts[[#Headers],[Company]],31)</f>
        <v>3</v>
      </c>
      <c r="L129" s="192" t="str" cm="1">
        <f t="array" ref="L129">Common_InputFunctions.Utility_DisplayArrayInTable(Fertiliser_SourceData.Fertiliser_Products_Data2(), FertiliserProducts[[#Headers],[Company]],31)</f>
        <v/>
      </c>
      <c r="M129" s="192" cm="1">
        <f t="array" ref="M129">Common_InputFunctions.Utility_DisplayArrayInTable(Fertiliser_SourceData.Fertiliser_Products_Data2(), FertiliserProducts[[#Headers],[Company]],31)</f>
        <v>22</v>
      </c>
      <c r="N129" s="192" t="str" cm="1">
        <f t="array" ref="N129">Common_InputFunctions.Utility_DisplayArrayInTable(Fertiliser_SourceData.Fertiliser_Products_Data2(), FertiliserProducts[[#Headers],[Company]],31)</f>
        <v/>
      </c>
      <c r="O129" s="192" t="str" cm="1">
        <f t="array" ref="O129">Common_InputFunctions.Utility_DisplayArrayInTable(Fertiliser_SourceData.Fertiliser_Products_Data2(), FertiliserProducts[[#Headers],[Company]],31)</f>
        <v>Potassium - Generic</v>
      </c>
      <c r="P129" s="192" cm="1">
        <f t="array" ref="P129">Common_InputFunctions.Utility_DisplayArrayInTable(Fertiliser_SourceData.Fertiliser_Products_Data2(), FertiliserProducts[[#Headers],[Company]],31)</f>
        <v>0.22</v>
      </c>
      <c r="Q129" s="192" t="str" cm="1">
        <f t="array" ref="Q129">Common_InputFunctions.Utility_DisplayArrayInTable(Fertiliser_SourceData.Fertiliser_Products_Data2(), FertiliserProducts[[#Headers],[Company]],31)</f>
        <v>Nitrogen - Generic</v>
      </c>
      <c r="R129" s="192" cm="1">
        <f t="array" ref="R129">Common_InputFunctions.Utility_DisplayArrayInTable(Fertiliser_SourceData.Fertiliser_Products_Data2(), FertiliserProducts[[#Headers],[Company]],31)</f>
        <v>0.03</v>
      </c>
      <c r="S129" s="192" t="str" cm="1">
        <f t="array" ref="S129">Common_InputFunctions.Utility_DisplayArrayInTable(Fertiliser_SourceData.Fertiliser_Products_Data2(), FertiliserProducts[[#Headers],[Company]],31)</f>
        <v/>
      </c>
      <c r="T129" s="192" t="str" cm="1">
        <f t="array" ref="T129">Common_InputFunctions.Utility_DisplayArrayInTable(Fertiliser_SourceData.Fertiliser_Products_Data2(), FertiliserProducts[[#Headers],[Company]],31)</f>
        <v/>
      </c>
      <c r="U129" s="192" t="str" cm="1">
        <f t="array" ref="U129">Common_InputFunctions.Utility_DisplayArrayInTable(Fertiliser_SourceData.Fertiliser_Products_Data2(), FertiliserProducts[[#Headers],[Company]],31)</f>
        <v/>
      </c>
      <c r="V129" s="192" t="str" cm="1">
        <f t="array" ref="V129">Common_InputFunctions.Utility_DisplayArrayInTable(Fertiliser_SourceData.Fertiliser_Products_Data2(), FertiliserProducts[[#Headers],[Company]],31)</f>
        <v/>
      </c>
      <c r="W129" s="192" t="str" cm="1">
        <f t="array" ref="W129">Common_InputFunctions.Utility_DisplayArrayInTable(Fertiliser_SourceData.Fertiliser_Products_Data2(), FertiliserProducts[[#Headers],[Company]],31)</f>
        <v/>
      </c>
      <c r="X129" s="192" t="str" cm="1">
        <f t="array" ref="X129">Common_InputFunctions.Utility_DisplayArrayInTable(Fertiliser_SourceData.Fertiliser_Products_Data2(), FertiliserProducts[[#Headers],[Company]],31)</f>
        <v/>
      </c>
      <c r="Y129" s="192" t="str" cm="1">
        <f t="array" ref="Y129">Common_InputFunctions.Utility_DisplayArrayInTable(Fertiliser_SourceData.Fertiliser_Products_Data2(), FertiliserProducts[[#Headers],[Company]],31)</f>
        <v/>
      </c>
      <c r="Z129" s="192" t="str" cm="1">
        <f t="array" ref="Z129">Common_InputFunctions.Utility_DisplayArrayInTable(Fertiliser_SourceData.Fertiliser_Products_Data2(), FertiliserProducts[[#Headers],[Company]],31)</f>
        <v/>
      </c>
      <c r="AA129" s="192" t="str" cm="1">
        <f t="array" ref="AA129">Common_InputFunctions.Utility_DisplayArrayInTable(Fertiliser_SourceData.Fertiliser_Products_Data2(), FertiliserProducts[[#Headers],[Company]],31)</f>
        <v/>
      </c>
      <c r="AB129" s="192" t="str" cm="1">
        <f t="array" ref="AB129">Common_InputFunctions.Utility_DisplayArrayInTable(Fertiliser_SourceData.Fertiliser_Products_Data2(), FertiliserProducts[[#Headers],[Company]],31)</f>
        <v/>
      </c>
      <c r="AC129" s="192" t="str" cm="1">
        <f t="array" ref="AC129">Common_InputFunctions.Utility_DisplayArrayInTable(Fertiliser_SourceData.Fertiliser_Products_Data2(), FertiliserProducts[[#Headers],[Company]],31)</f>
        <v/>
      </c>
      <c r="AD129" s="192" t="str" cm="1">
        <f t="array" ref="AD129">Common_InputFunctions.Utility_DisplayArrayInTable(Fertiliser_SourceData.Fertiliser_Products_Data2(), FertiliserProducts[[#Headers],[Company]],31)</f>
        <v/>
      </c>
      <c r="AE129" s="192" t="str" cm="1">
        <f t="array" ref="AE129">Common_InputFunctions.Utility_DisplayArrayInTable(Fertiliser_SourceData.Fertiliser_Products_Data2(), FertiliserProducts[[#Headers],[Company]],31)</f>
        <v/>
      </c>
      <c r="AF129" s="192" t="str" cm="1">
        <f t="array" ref="AF129">Common_InputFunctions.Utility_DisplayArrayInTable(Fertiliser_SourceData.Fertiliser_Products_Data2(), FertiliserProducts[[#Headers],[Company]],31)</f>
        <v/>
      </c>
      <c r="AG129" s="192" t="str" cm="1">
        <f t="array" ref="AG129">Common_InputFunctions.Utility_DisplayArrayInTable(Fertiliser_SourceData.Fertiliser_Products_Data2(), FertiliserProducts[[#Headers],[Company]],31)</f>
        <v/>
      </c>
      <c r="AH129" s="192" t="str" cm="1">
        <f t="array" ref="AH129">Common_InputFunctions.Utility_DisplayArrayInTable(Fertiliser_SourceData.Fertiliser_Products_Data2(), FertiliserProducts[[#Headers],[Company]],31)</f>
        <v/>
      </c>
      <c r="AK129" s="1"/>
      <c r="AL129" s="1"/>
      <c r="AM129" s="1"/>
    </row>
    <row r="130" spans="4:39" ht="20.100000000000001" customHeight="1" x14ac:dyDescent="0.25">
      <c r="D130" s="192" t="str" cm="1">
        <f t="array" ref="D130">Common_InputFunctions.Utility_DisplayArrayInTable(Fertiliser_SourceData.Fertiliser_Products_Data2(), FertiliserProducts[[#Headers],[Company]],31)</f>
        <v>Loveland Agriproducts</v>
      </c>
      <c r="E130" s="192" t="str" cm="1">
        <f t="array" ref="E130">Common_InputFunctions.Utility_DisplayArrayInTable(Fertiliser_SourceData.Fertiliser_Products_Data2(), FertiliserProducts[[#Headers],[Company]],31)</f>
        <v>Maximum N-Pact</v>
      </c>
      <c r="F130" s="192" t="str" cm="1">
        <f t="array" ref="F130">Common_InputFunctions.Utility_DisplayArrayInTable(Fertiliser_SourceData.Fertiliser_Products_Data2(), FertiliserProducts[[#Headers],[Company]],31)</f>
        <v>L</v>
      </c>
      <c r="G130" s="192" cm="1">
        <f t="array" ref="G130">Common_InputFunctions.Utility_DisplayArrayInTable(Fertiliser_SourceData.Fertiliser_Products_Data2(), FertiliserProducts[[#Headers],[Company]],31)</f>
        <v>1.1850000000000001</v>
      </c>
      <c r="H130" s="192" t="str" cm="1">
        <f t="array" ref="H130">Common_InputFunctions.Utility_DisplayArrayInTable(Fertiliser_SourceData.Fertiliser_Products_Data2(), FertiliserProducts[[#Headers],[Company]],31)</f>
        <v/>
      </c>
      <c r="I130" s="192" t="str" cm="1">
        <f t="array" ref="I130">Common_InputFunctions.Utility_DisplayArrayInTable(Fertiliser_SourceData.Fertiliser_Products_Data2(), FertiliserProducts[[#Headers],[Company]],31)</f>
        <v/>
      </c>
      <c r="J130" s="192" t="str" cm="1">
        <f t="array" ref="J130">Common_InputFunctions.Utility_DisplayArrayInTable(Fertiliser_SourceData.Fertiliser_Products_Data2(), FertiliserProducts[[#Headers],[Company]],31)</f>
        <v/>
      </c>
      <c r="K130" s="192" cm="1">
        <f t="array" ref="K130">Common_InputFunctions.Utility_DisplayArrayInTable(Fertiliser_SourceData.Fertiliser_Products_Data2(), FertiliserProducts[[#Headers],[Company]],31)</f>
        <v>23.8</v>
      </c>
      <c r="L130" s="192" t="str" cm="1">
        <f t="array" ref="L130">Common_InputFunctions.Utility_DisplayArrayInTable(Fertiliser_SourceData.Fertiliser_Products_Data2(), FertiliserProducts[[#Headers],[Company]],31)</f>
        <v/>
      </c>
      <c r="M130" s="192" t="str" cm="1">
        <f t="array" ref="M130">Common_InputFunctions.Utility_DisplayArrayInTable(Fertiliser_SourceData.Fertiliser_Products_Data2(), FertiliserProducts[[#Headers],[Company]],31)</f>
        <v/>
      </c>
      <c r="N130" s="192" t="str" cm="1">
        <f t="array" ref="N130">Common_InputFunctions.Utility_DisplayArrayInTable(Fertiliser_SourceData.Fertiliser_Products_Data2(), FertiliserProducts[[#Headers],[Company]],31)</f>
        <v/>
      </c>
      <c r="O130" s="192" t="str" cm="1">
        <f t="array" ref="O130">Common_InputFunctions.Utility_DisplayArrayInTable(Fertiliser_SourceData.Fertiliser_Products_Data2(), FertiliserProducts[[#Headers],[Company]],31)</f>
        <v>Urea</v>
      </c>
      <c r="P130" s="192" cm="1">
        <f t="array" ref="P130">Common_InputFunctions.Utility_DisplayArrayInTable(Fertiliser_SourceData.Fertiliser_Products_Data2(), FertiliserProducts[[#Headers],[Company]],31)</f>
        <v>0.51739100000000005</v>
      </c>
      <c r="Q130" s="192" t="str" cm="1">
        <f t="array" ref="Q130">Common_InputFunctions.Utility_DisplayArrayInTable(Fertiliser_SourceData.Fertiliser_Products_Data2(), FertiliserProducts[[#Headers],[Company]],31)</f>
        <v/>
      </c>
      <c r="R130" s="192" t="str" cm="1">
        <f t="array" ref="R130">Common_InputFunctions.Utility_DisplayArrayInTable(Fertiliser_SourceData.Fertiliser_Products_Data2(), FertiliserProducts[[#Headers],[Company]],31)</f>
        <v/>
      </c>
      <c r="S130" s="192" t="str" cm="1">
        <f t="array" ref="S130">Common_InputFunctions.Utility_DisplayArrayInTable(Fertiliser_SourceData.Fertiliser_Products_Data2(), FertiliserProducts[[#Headers],[Company]],31)</f>
        <v/>
      </c>
      <c r="T130" s="192" t="str" cm="1">
        <f t="array" ref="T130">Common_InputFunctions.Utility_DisplayArrayInTable(Fertiliser_SourceData.Fertiliser_Products_Data2(), FertiliserProducts[[#Headers],[Company]],31)</f>
        <v/>
      </c>
      <c r="U130" s="192" t="str" cm="1">
        <f t="array" ref="U130">Common_InputFunctions.Utility_DisplayArrayInTable(Fertiliser_SourceData.Fertiliser_Products_Data2(), FertiliserProducts[[#Headers],[Company]],31)</f>
        <v/>
      </c>
      <c r="V130" s="192" t="str" cm="1">
        <f t="array" ref="V130">Common_InputFunctions.Utility_DisplayArrayInTable(Fertiliser_SourceData.Fertiliser_Products_Data2(), FertiliserProducts[[#Headers],[Company]],31)</f>
        <v/>
      </c>
      <c r="W130" s="192" t="str" cm="1">
        <f t="array" ref="W130">Common_InputFunctions.Utility_DisplayArrayInTable(Fertiliser_SourceData.Fertiliser_Products_Data2(), FertiliserProducts[[#Headers],[Company]],31)</f>
        <v/>
      </c>
      <c r="X130" s="192" t="str" cm="1">
        <f t="array" ref="X130">Common_InputFunctions.Utility_DisplayArrayInTable(Fertiliser_SourceData.Fertiliser_Products_Data2(), FertiliserProducts[[#Headers],[Company]],31)</f>
        <v/>
      </c>
      <c r="Y130" s="192" t="str" cm="1">
        <f t="array" ref="Y130">Common_InputFunctions.Utility_DisplayArrayInTable(Fertiliser_SourceData.Fertiliser_Products_Data2(), FertiliserProducts[[#Headers],[Company]],31)</f>
        <v/>
      </c>
      <c r="Z130" s="192" t="str" cm="1">
        <f t="array" ref="Z130">Common_InputFunctions.Utility_DisplayArrayInTable(Fertiliser_SourceData.Fertiliser_Products_Data2(), FertiliserProducts[[#Headers],[Company]],31)</f>
        <v/>
      </c>
      <c r="AA130" s="192" t="str" cm="1">
        <f t="array" ref="AA130">Common_InputFunctions.Utility_DisplayArrayInTable(Fertiliser_SourceData.Fertiliser_Products_Data2(), FertiliserProducts[[#Headers],[Company]],31)</f>
        <v/>
      </c>
      <c r="AB130" s="192" t="str" cm="1">
        <f t="array" ref="AB130">Common_InputFunctions.Utility_DisplayArrayInTable(Fertiliser_SourceData.Fertiliser_Products_Data2(), FertiliserProducts[[#Headers],[Company]],31)</f>
        <v/>
      </c>
      <c r="AC130" s="192" t="str" cm="1">
        <f t="array" ref="AC130">Common_InputFunctions.Utility_DisplayArrayInTable(Fertiliser_SourceData.Fertiliser_Products_Data2(), FertiliserProducts[[#Headers],[Company]],31)</f>
        <v/>
      </c>
      <c r="AD130" s="192" t="str" cm="1">
        <f t="array" ref="AD130">Common_InputFunctions.Utility_DisplayArrayInTable(Fertiliser_SourceData.Fertiliser_Products_Data2(), FertiliserProducts[[#Headers],[Company]],31)</f>
        <v/>
      </c>
      <c r="AE130" s="192" t="str" cm="1">
        <f t="array" ref="AE130">Common_InputFunctions.Utility_DisplayArrayInTable(Fertiliser_SourceData.Fertiliser_Products_Data2(), FertiliserProducts[[#Headers],[Company]],31)</f>
        <v/>
      </c>
      <c r="AF130" s="192" t="str" cm="1">
        <f t="array" ref="AF130">Common_InputFunctions.Utility_DisplayArrayInTable(Fertiliser_SourceData.Fertiliser_Products_Data2(), FertiliserProducts[[#Headers],[Company]],31)</f>
        <v/>
      </c>
      <c r="AG130" s="192" t="str" cm="1">
        <f t="array" ref="AG130">Common_InputFunctions.Utility_DisplayArrayInTable(Fertiliser_SourceData.Fertiliser_Products_Data2(), FertiliserProducts[[#Headers],[Company]],31)</f>
        <v/>
      </c>
      <c r="AH130" s="192" t="str" cm="1">
        <f t="array" ref="AH130">Common_InputFunctions.Utility_DisplayArrayInTable(Fertiliser_SourceData.Fertiliser_Products_Data2(), FertiliserProducts[[#Headers],[Company]],31)</f>
        <v/>
      </c>
      <c r="AK130" s="1"/>
      <c r="AL130" s="1"/>
      <c r="AM130" s="1"/>
    </row>
    <row r="131" spans="4:39" ht="20.100000000000001" customHeight="1" x14ac:dyDescent="0.25">
      <c r="D131" s="192" t="str" cm="1">
        <f t="array" ref="D131">Common_InputFunctions.Utility_DisplayArrayInTable(Fertiliser_SourceData.Fertiliser_Products_Data2(), FertiliserProducts[[#Headers],[Company]],31)</f>
        <v>SL Tec</v>
      </c>
      <c r="E131" s="192" t="str" cm="1">
        <f t="array" ref="E131">Common_InputFunctions.Utility_DisplayArrayInTable(Fertiliser_SourceData.Fertiliser_Products_Data2(), FertiliserProducts[[#Headers],[Company]],31)</f>
        <v>Nitro Combi TE</v>
      </c>
      <c r="F131" s="192" t="str" cm="1">
        <f t="array" ref="F131">Common_InputFunctions.Utility_DisplayArrayInTable(Fertiliser_SourceData.Fertiliser_Products_Data2(), FertiliserProducts[[#Headers],[Company]],31)</f>
        <v>L</v>
      </c>
      <c r="G131" s="192" cm="1">
        <f t="array" ref="G131">Common_InputFunctions.Utility_DisplayArrayInTable(Fertiliser_SourceData.Fertiliser_Products_Data2(), FertiliserProducts[[#Headers],[Company]],31)</f>
        <v>1.2549999999999999</v>
      </c>
      <c r="H131" s="192" t="str" cm="1">
        <f t="array" ref="H131">Common_InputFunctions.Utility_DisplayArrayInTable(Fertiliser_SourceData.Fertiliser_Products_Data2(), FertiliserProducts[[#Headers],[Company]],31)</f>
        <v/>
      </c>
      <c r="I131" s="192" t="str" cm="1">
        <f t="array" ref="I131">Common_InputFunctions.Utility_DisplayArrayInTable(Fertiliser_SourceData.Fertiliser_Products_Data2(), FertiliserProducts[[#Headers],[Company]],31)</f>
        <v/>
      </c>
      <c r="J131" s="192" t="str" cm="1">
        <f t="array" ref="J131">Common_InputFunctions.Utility_DisplayArrayInTable(Fertiliser_SourceData.Fertiliser_Products_Data2(), FertiliserProducts[[#Headers],[Company]],31)</f>
        <v/>
      </c>
      <c r="K131" s="192" t="str" cm="1">
        <f t="array" ref="K131">Common_InputFunctions.Utility_DisplayArrayInTable(Fertiliser_SourceData.Fertiliser_Products_Data2(), FertiliserProducts[[#Headers],[Company]],31)</f>
        <v/>
      </c>
      <c r="L131" s="192" t="str" cm="1">
        <f t="array" ref="L131">Common_InputFunctions.Utility_DisplayArrayInTable(Fertiliser_SourceData.Fertiliser_Products_Data2(), FertiliserProducts[[#Headers],[Company]],31)</f>
        <v/>
      </c>
      <c r="M131" s="192" cm="1">
        <f t="array" ref="M131">Common_InputFunctions.Utility_DisplayArrayInTable(Fertiliser_SourceData.Fertiliser_Products_Data2(), FertiliserProducts[[#Headers],[Company]],31)</f>
        <v>0.1</v>
      </c>
      <c r="N131" s="192" cm="1">
        <f t="array" ref="N131">Common_InputFunctions.Utility_DisplayArrayInTable(Fertiliser_SourceData.Fertiliser_Products_Data2(), FertiliserProducts[[#Headers],[Company]],31)</f>
        <v>4.4000000000000004</v>
      </c>
      <c r="O131" s="192" t="str" cm="1">
        <f t="array" ref="O131">Common_InputFunctions.Utility_DisplayArrayInTable(Fertiliser_SourceData.Fertiliser_Products_Data2(), FertiliserProducts[[#Headers],[Company]],31)</f>
        <v>Sulfur - Generic</v>
      </c>
      <c r="P131" s="192" cm="1">
        <f t="array" ref="P131">Common_InputFunctions.Utility_DisplayArrayInTable(Fertiliser_SourceData.Fertiliser_Products_Data2(), FertiliserProducts[[#Headers],[Company]],31)</f>
        <v>4.3999999999999997E-2</v>
      </c>
      <c r="Q131" s="192" t="str" cm="1">
        <f t="array" ref="Q131">Common_InputFunctions.Utility_DisplayArrayInTable(Fertiliser_SourceData.Fertiliser_Products_Data2(), FertiliserProducts[[#Headers],[Company]],31)</f>
        <v>Zinc</v>
      </c>
      <c r="R131" s="192" cm="1">
        <f t="array" ref="R131">Common_InputFunctions.Utility_DisplayArrayInTable(Fertiliser_SourceData.Fertiliser_Products_Data2(), FertiliserProducts[[#Headers],[Company]],31)</f>
        <v>2.1999999999999999E-2</v>
      </c>
      <c r="S131" s="192" t="str" cm="1">
        <f t="array" ref="S131">Common_InputFunctions.Utility_DisplayArrayInTable(Fertiliser_SourceData.Fertiliser_Products_Data2(), FertiliserProducts[[#Headers],[Company]],31)</f>
        <v>Iron</v>
      </c>
      <c r="T131" s="192" cm="1">
        <f t="array" ref="T131">Common_InputFunctions.Utility_DisplayArrayInTable(Fertiliser_SourceData.Fertiliser_Products_Data2(), FertiliserProducts[[#Headers],[Company]],31)</f>
        <v>2.1999999999999999E-2</v>
      </c>
      <c r="U131" s="192" t="str" cm="1">
        <f t="array" ref="U131">Common_InputFunctions.Utility_DisplayArrayInTable(Fertiliser_SourceData.Fertiliser_Products_Data2(), FertiliserProducts[[#Headers],[Company]],31)</f>
        <v>Manganese</v>
      </c>
      <c r="V131" s="192" cm="1">
        <f t="array" ref="V131">Common_InputFunctions.Utility_DisplayArrayInTable(Fertiliser_SourceData.Fertiliser_Products_Data2(), FertiliserProducts[[#Headers],[Company]],31)</f>
        <v>1.6E-2</v>
      </c>
      <c r="W131" s="192" t="str" cm="1">
        <f t="array" ref="W131">Common_InputFunctions.Utility_DisplayArrayInTable(Fertiliser_SourceData.Fertiliser_Products_Data2(), FertiliserProducts[[#Headers],[Company]],31)</f>
        <v>Boron</v>
      </c>
      <c r="X131" s="192" cm="1">
        <f t="array" ref="X131">Common_InputFunctions.Utility_DisplayArrayInTable(Fertiliser_SourceData.Fertiliser_Products_Data2(), FertiliserProducts[[#Headers],[Company]],31)</f>
        <v>8.0000000000000002E-3</v>
      </c>
      <c r="Y131" s="192" t="str" cm="1">
        <f t="array" ref="Y131">Common_InputFunctions.Utility_DisplayArrayInTable(Fertiliser_SourceData.Fertiliser_Products_Data2(), FertiliserProducts[[#Headers],[Company]],31)</f>
        <v>Magnesium</v>
      </c>
      <c r="Z131" s="192" cm="1">
        <f t="array" ref="Z131">Common_InputFunctions.Utility_DisplayArrayInTable(Fertiliser_SourceData.Fertiliser_Products_Data2(), FertiliserProducts[[#Headers],[Company]],31)</f>
        <v>7.0000000000000001E-3</v>
      </c>
      <c r="AA131" s="192" t="str" cm="1">
        <f t="array" ref="AA131">Common_InputFunctions.Utility_DisplayArrayInTable(Fertiliser_SourceData.Fertiliser_Products_Data2(), FertiliserProducts[[#Headers],[Company]],31)</f>
        <v>Fulvic acid (organic)</v>
      </c>
      <c r="AB131" s="192" cm="1">
        <f t="array" ref="AB131">Common_InputFunctions.Utility_DisplayArrayInTable(Fertiliser_SourceData.Fertiliser_Products_Data2(), FertiliserProducts[[#Headers],[Company]],31)</f>
        <v>5.0000000000000001E-3</v>
      </c>
      <c r="AC131" s="192" t="str" cm="1">
        <f t="array" ref="AC131">Common_InputFunctions.Utility_DisplayArrayInTable(Fertiliser_SourceData.Fertiliser_Products_Data2(), FertiliserProducts[[#Headers],[Company]],31)</f>
        <v>Copper</v>
      </c>
      <c r="AD131" s="192" cm="1">
        <f t="array" ref="AD131">Common_InputFunctions.Utility_DisplayArrayInTable(Fertiliser_SourceData.Fertiliser_Products_Data2(), FertiliserProducts[[#Headers],[Company]],31)</f>
        <v>3.0000000000000001E-3</v>
      </c>
      <c r="AE131" s="192" t="str" cm="1">
        <f t="array" ref="AE131">Common_InputFunctions.Utility_DisplayArrayInTable(Fertiliser_SourceData.Fertiliser_Products_Data2(), FertiliserProducts[[#Headers],[Company]],31)</f>
        <v>Potassium - Generic</v>
      </c>
      <c r="AF131" s="192" cm="1">
        <f t="array" ref="AF131">Common_InputFunctions.Utility_DisplayArrayInTable(Fertiliser_SourceData.Fertiliser_Products_Data2(), FertiliserProducts[[#Headers],[Company]],31)</f>
        <v>1E-3</v>
      </c>
      <c r="AG131" s="192" t="str" cm="1">
        <f t="array" ref="AG131">Common_InputFunctions.Utility_DisplayArrayInTable(Fertiliser_SourceData.Fertiliser_Products_Data2(), FertiliserProducts[[#Headers],[Company]],31)</f>
        <v>Molybdenum</v>
      </c>
      <c r="AH131" s="192" cm="1">
        <f t="array" ref="AH131">Common_InputFunctions.Utility_DisplayArrayInTable(Fertiliser_SourceData.Fertiliser_Products_Data2(), FertiliserProducts[[#Headers],[Company]],31)</f>
        <v>2.9999999999999997E-4</v>
      </c>
      <c r="AK131" s="1"/>
      <c r="AL131" s="1"/>
      <c r="AM131" s="1"/>
    </row>
    <row r="132" spans="4:39" ht="20.100000000000001" customHeight="1" x14ac:dyDescent="0.25">
      <c r="D132" s="192" t="str" cm="1">
        <f t="array" ref="D132">Common_InputFunctions.Utility_DisplayArrayInTable(Fertiliser_SourceData.Fertiliser_Products_Data2(), FertiliserProducts[[#Headers],[Company]],31)</f>
        <v>Switch Ag</v>
      </c>
      <c r="E132" s="192" t="str" cm="1">
        <f t="array" ref="E132">Common_InputFunctions.Utility_DisplayArrayInTable(Fertiliser_SourceData.Fertiliser_Products_Data2(), FertiliserProducts[[#Headers],[Company]],31)</f>
        <v>PastureMAXX</v>
      </c>
      <c r="F132" s="192" t="str" cm="1">
        <f t="array" ref="F132">Common_InputFunctions.Utility_DisplayArrayInTable(Fertiliser_SourceData.Fertiliser_Products_Data2(), FertiliserProducts[[#Headers],[Company]],31)</f>
        <v>L</v>
      </c>
      <c r="G132" s="192" cm="1">
        <f t="array" ref="G132">Common_InputFunctions.Utility_DisplayArrayInTable(Fertiliser_SourceData.Fertiliser_Products_Data2(), FertiliserProducts[[#Headers],[Company]],31)</f>
        <v>1.23</v>
      </c>
      <c r="H132" s="192" t="str" cm="1">
        <f t="array" ref="H132">Common_InputFunctions.Utility_DisplayArrayInTable(Fertiliser_SourceData.Fertiliser_Products_Data2(), FertiliserProducts[[#Headers],[Company]],31)</f>
        <v/>
      </c>
      <c r="I132" s="192" t="str" cm="1">
        <f t="array" ref="I132">Common_InputFunctions.Utility_DisplayArrayInTable(Fertiliser_SourceData.Fertiliser_Products_Data2(), FertiliserProducts[[#Headers],[Company]],31)</f>
        <v/>
      </c>
      <c r="J132" s="192" t="str" cm="1">
        <f t="array" ref="J132">Common_InputFunctions.Utility_DisplayArrayInTable(Fertiliser_SourceData.Fertiliser_Products_Data2(), FertiliserProducts[[#Headers],[Company]],31)</f>
        <v/>
      </c>
      <c r="K132" s="192" cm="1">
        <f t="array" ref="K132">Common_InputFunctions.Utility_DisplayArrayInTable(Fertiliser_SourceData.Fertiliser_Products_Data2(), FertiliserProducts[[#Headers],[Company]],31)</f>
        <v>9.7100000000000009</v>
      </c>
      <c r="L132" s="192" t="str" cm="1">
        <f t="array" ref="L132">Common_InputFunctions.Utility_DisplayArrayInTable(Fertiliser_SourceData.Fertiliser_Products_Data2(), FertiliserProducts[[#Headers],[Company]],31)</f>
        <v/>
      </c>
      <c r="M132" s="192" cm="1">
        <f t="array" ref="M132">Common_InputFunctions.Utility_DisplayArrayInTable(Fertiliser_SourceData.Fertiliser_Products_Data2(), FertiliserProducts[[#Headers],[Company]],31)</f>
        <v>3.25</v>
      </c>
      <c r="N132" s="192" cm="1">
        <f t="array" ref="N132">Common_InputFunctions.Utility_DisplayArrayInTable(Fertiliser_SourceData.Fertiliser_Products_Data2(), FertiliserProducts[[#Headers],[Company]],31)</f>
        <v>2.11</v>
      </c>
      <c r="O132" s="192" t="str" cm="1">
        <f t="array" ref="O132">Common_InputFunctions.Utility_DisplayArrayInTable(Fertiliser_SourceData.Fertiliser_Products_Data2(), FertiliserProducts[[#Headers],[Company]],31)</f>
        <v>Nitrogen - Generic</v>
      </c>
      <c r="P132" s="192" cm="1">
        <f t="array" ref="P132">Common_InputFunctions.Utility_DisplayArrayInTable(Fertiliser_SourceData.Fertiliser_Products_Data2(), FertiliserProducts[[#Headers],[Company]],31)</f>
        <v>9.7100000000000006E-2</v>
      </c>
      <c r="Q132" s="192" t="str" cm="1">
        <f t="array" ref="Q132">Common_InputFunctions.Utility_DisplayArrayInTable(Fertiliser_SourceData.Fertiliser_Products_Data2(), FertiliserProducts[[#Headers],[Company]],31)</f>
        <v>Potassium - Generic</v>
      </c>
      <c r="R132" s="192" cm="1">
        <f t="array" ref="R132">Common_InputFunctions.Utility_DisplayArrayInTable(Fertiliser_SourceData.Fertiliser_Products_Data2(), FertiliserProducts[[#Headers],[Company]],31)</f>
        <v>3.2500000000000001E-2</v>
      </c>
      <c r="S132" s="192" t="str" cm="1">
        <f t="array" ref="S132">Common_InputFunctions.Utility_DisplayArrayInTable(Fertiliser_SourceData.Fertiliser_Products_Data2(), FertiliserProducts[[#Headers],[Company]],31)</f>
        <v>Sulfur - Generic</v>
      </c>
      <c r="T132" s="192" cm="1">
        <f t="array" ref="T132">Common_InputFunctions.Utility_DisplayArrayInTable(Fertiliser_SourceData.Fertiliser_Products_Data2(), FertiliserProducts[[#Headers],[Company]],31)</f>
        <v>2.1100000000000001E-2</v>
      </c>
      <c r="U132" s="192" t="str" cm="1">
        <f t="array" ref="U132">Common_InputFunctions.Utility_DisplayArrayInTable(Fertiliser_SourceData.Fertiliser_Products_Data2(), FertiliserProducts[[#Headers],[Company]],31)</f>
        <v>Zinc</v>
      </c>
      <c r="V132" s="192" cm="1">
        <f t="array" ref="V132">Common_InputFunctions.Utility_DisplayArrayInTable(Fertiliser_SourceData.Fertiliser_Products_Data2(), FertiliserProducts[[#Headers],[Company]],31)</f>
        <v>1.4999999999999999E-2</v>
      </c>
      <c r="W132" s="192" t="str" cm="1">
        <f t="array" ref="W132">Common_InputFunctions.Utility_DisplayArrayInTable(Fertiliser_SourceData.Fertiliser_Products_Data2(), FertiliserProducts[[#Headers],[Company]],31)</f>
        <v>Iron</v>
      </c>
      <c r="X132" s="192" cm="1">
        <f t="array" ref="X132">Common_InputFunctions.Utility_DisplayArrayInTable(Fertiliser_SourceData.Fertiliser_Products_Data2(), FertiliserProducts[[#Headers],[Company]],31)</f>
        <v>1.11E-2</v>
      </c>
      <c r="Y132" s="192" t="str" cm="1">
        <f t="array" ref="Y132">Common_InputFunctions.Utility_DisplayArrayInTable(Fertiliser_SourceData.Fertiliser_Products_Data2(), FertiliserProducts[[#Headers],[Company]],31)</f>
        <v>Manganese</v>
      </c>
      <c r="Z132" s="192" cm="1">
        <f t="array" ref="Z132">Common_InputFunctions.Utility_DisplayArrayInTable(Fertiliser_SourceData.Fertiliser_Products_Data2(), FertiliserProducts[[#Headers],[Company]],31)</f>
        <v>1.15E-2</v>
      </c>
      <c r="AA132" s="192" t="str" cm="1">
        <f t="array" ref="AA132">Common_InputFunctions.Utility_DisplayArrayInTable(Fertiliser_SourceData.Fertiliser_Products_Data2(), FertiliserProducts[[#Headers],[Company]],31)</f>
        <v>Magnesium</v>
      </c>
      <c r="AB132" s="192" cm="1">
        <f t="array" ref="AB132">Common_InputFunctions.Utility_DisplayArrayInTable(Fertiliser_SourceData.Fertiliser_Products_Data2(), FertiliserProducts[[#Headers],[Company]],31)</f>
        <v>4.4999999999999997E-3</v>
      </c>
      <c r="AC132" s="192" t="str" cm="1">
        <f t="array" ref="AC132">Common_InputFunctions.Utility_DisplayArrayInTable(Fertiliser_SourceData.Fertiliser_Products_Data2(), FertiliserProducts[[#Headers],[Company]],31)</f>
        <v>Boron</v>
      </c>
      <c r="AD132" s="192" cm="1">
        <f t="array" ref="AD132">Common_InputFunctions.Utility_DisplayArrayInTable(Fertiliser_SourceData.Fertiliser_Products_Data2(), FertiliserProducts[[#Headers],[Company]],31)</f>
        <v>2E-3</v>
      </c>
      <c r="AE132" s="192" t="str" cm="1">
        <f t="array" ref="AE132">Common_InputFunctions.Utility_DisplayArrayInTable(Fertiliser_SourceData.Fertiliser_Products_Data2(), FertiliserProducts[[#Headers],[Company]],31)</f>
        <v/>
      </c>
      <c r="AF132" s="192" t="str" cm="1">
        <f t="array" ref="AF132">Common_InputFunctions.Utility_DisplayArrayInTable(Fertiliser_SourceData.Fertiliser_Products_Data2(), FertiliserProducts[[#Headers],[Company]],31)</f>
        <v/>
      </c>
      <c r="AG132" s="192" t="str" cm="1">
        <f t="array" ref="AG132">Common_InputFunctions.Utility_DisplayArrayInTable(Fertiliser_SourceData.Fertiliser_Products_Data2(), FertiliserProducts[[#Headers],[Company]],31)</f>
        <v/>
      </c>
      <c r="AH132" s="192" t="str" cm="1">
        <f t="array" ref="AH132">Common_InputFunctions.Utility_DisplayArrayInTable(Fertiliser_SourceData.Fertiliser_Products_Data2(), FertiliserProducts[[#Headers],[Company]],31)</f>
        <v/>
      </c>
      <c r="AK132" s="1"/>
      <c r="AL132" s="1"/>
      <c r="AM132" s="1"/>
    </row>
    <row r="133" spans="4:39" ht="20.100000000000001" customHeight="1" x14ac:dyDescent="0.25">
      <c r="D133" s="192" t="str" cm="1">
        <f t="array" ref="D133">Common_InputFunctions.Utility_DisplayArrayInTable(Fertiliser_SourceData.Fertiliser_Products_Data2(), FertiliserProducts[[#Headers],[Company]],31)</f>
        <v>Campbells fertilisers Australia</v>
      </c>
      <c r="E133" s="192" t="str" cm="1">
        <f t="array" ref="E133">Common_InputFunctions.Utility_DisplayArrayInTable(Fertiliser_SourceData.Fertiliser_Products_Data2(), FertiliserProducts[[#Headers],[Company]],31)</f>
        <v>Platinum Nergetic</v>
      </c>
      <c r="F133" s="192" t="str" cm="1">
        <f t="array" ref="F133">Common_InputFunctions.Utility_DisplayArrayInTable(Fertiliser_SourceData.Fertiliser_Products_Data2(), FertiliserProducts[[#Headers],[Company]],31)</f>
        <v>kg</v>
      </c>
      <c r="G133" s="192" cm="1">
        <f t="array" ref="G133">Common_InputFunctions.Utility_DisplayArrayInTable(Fertiliser_SourceData.Fertiliser_Products_Data2(), FertiliserProducts[[#Headers],[Company]],31)</f>
        <v>1</v>
      </c>
      <c r="H133" s="192" t="str" cm="1">
        <f t="array" ref="H133">Common_InputFunctions.Utility_DisplayArrayInTable(Fertiliser_SourceData.Fertiliser_Products_Data2(), FertiliserProducts[[#Headers],[Company]],31)</f>
        <v/>
      </c>
      <c r="I133" s="192" t="str" cm="1">
        <f t="array" ref="I133">Common_InputFunctions.Utility_DisplayArrayInTable(Fertiliser_SourceData.Fertiliser_Products_Data2(), FertiliserProducts[[#Headers],[Company]],31)</f>
        <v/>
      </c>
      <c r="J133" s="192" t="str" cm="1">
        <f t="array" ref="J133">Common_InputFunctions.Utility_DisplayArrayInTable(Fertiliser_SourceData.Fertiliser_Products_Data2(), FertiliserProducts[[#Headers],[Company]],31)</f>
        <v/>
      </c>
      <c r="K133" s="192" cm="1">
        <f t="array" ref="K133">Common_InputFunctions.Utility_DisplayArrayInTable(Fertiliser_SourceData.Fertiliser_Products_Data2(), FertiliserProducts[[#Headers],[Company]],31)</f>
        <v>10</v>
      </c>
      <c r="L133" s="192" cm="1">
        <f t="array" ref="L133">Common_InputFunctions.Utility_DisplayArrayInTable(Fertiliser_SourceData.Fertiliser_Products_Data2(), FertiliserProducts[[#Headers],[Company]],31)</f>
        <v>10.9</v>
      </c>
      <c r="M133" s="192" cm="1">
        <f t="array" ref="M133">Common_InputFunctions.Utility_DisplayArrayInTable(Fertiliser_SourceData.Fertiliser_Products_Data2(), FertiliserProducts[[#Headers],[Company]],31)</f>
        <v>10</v>
      </c>
      <c r="N133" s="192" cm="1">
        <f t="array" ref="N133">Common_InputFunctions.Utility_DisplayArrayInTable(Fertiliser_SourceData.Fertiliser_Products_Data2(), FertiliserProducts[[#Headers],[Company]],31)</f>
        <v>4.34</v>
      </c>
      <c r="O133" s="192" t="str" cm="1">
        <f t="array" ref="O133">Common_InputFunctions.Utility_DisplayArrayInTable(Fertiliser_SourceData.Fertiliser_Products_Data2(), FertiliserProducts[[#Headers],[Company]],31)</f>
        <v>Monoammonium phosphate (MAP)</v>
      </c>
      <c r="P133" s="192" cm="1">
        <f t="array" ref="P133">Common_InputFunctions.Utility_DisplayArrayInTable(Fertiliser_SourceData.Fertiliser_Products_Data2(), FertiliserProducts[[#Headers],[Company]],31)</f>
        <v>0.4178</v>
      </c>
      <c r="Q133" s="192" t="str" cm="1">
        <f t="array" ref="Q133">Common_InputFunctions.Utility_DisplayArrayInTable(Fertiliser_SourceData.Fertiliser_Products_Data2(), FertiliserProducts[[#Headers],[Company]],31)</f>
        <v>Ammonium nitrate (AN)</v>
      </c>
      <c r="R133" s="192" cm="1">
        <f t="array" ref="R133">Common_InputFunctions.Utility_DisplayArrayInTable(Fertiliser_SourceData.Fertiliser_Products_Data2(), FertiliserProducts[[#Headers],[Company]],31)</f>
        <v>0.17280000000000001</v>
      </c>
      <c r="S133" s="192" t="str" cm="1">
        <f t="array" ref="S133">Common_InputFunctions.Utility_DisplayArrayInTable(Fertiliser_SourceData.Fertiliser_Products_Data2(), FertiliserProducts[[#Headers],[Company]],31)</f>
        <v>Potassium sulphate</v>
      </c>
      <c r="T133" s="192" cm="1">
        <f t="array" ref="T133">Common_InputFunctions.Utility_DisplayArrayInTable(Fertiliser_SourceData.Fertiliser_Products_Data2(), FertiliserProducts[[#Headers],[Company]],31)</f>
        <v>0.24096400000000001</v>
      </c>
      <c r="U133" s="192" t="str" cm="1">
        <f t="array" ref="U133">Common_InputFunctions.Utility_DisplayArrayInTable(Fertiliser_SourceData.Fertiliser_Products_Data2(), FertiliserProducts[[#Headers],[Company]],31)</f>
        <v>Double superphosphate</v>
      </c>
      <c r="V133" s="192" cm="1">
        <f t="array" ref="V133">Common_InputFunctions.Utility_DisplayArrayInTable(Fertiliser_SourceData.Fertiliser_Products_Data2(), FertiliserProducts[[#Headers],[Company]],31)</f>
        <v>0.1</v>
      </c>
      <c r="W133" s="192" t="str" cm="1">
        <f t="array" ref="W133">Common_InputFunctions.Utility_DisplayArrayInTable(Fertiliser_SourceData.Fertiliser_Products_Data2(), FertiliserProducts[[#Headers],[Company]],31)</f>
        <v>Magnesium</v>
      </c>
      <c r="X133" s="192" cm="1">
        <f t="array" ref="X133">Common_InputFunctions.Utility_DisplayArrayInTable(Fertiliser_SourceData.Fertiliser_Products_Data2(), FertiliserProducts[[#Headers],[Company]],31)</f>
        <v>1.2E-2</v>
      </c>
      <c r="Y133" s="192" t="str" cm="1">
        <f t="array" ref="Y133">Common_InputFunctions.Utility_DisplayArrayInTable(Fertiliser_SourceData.Fertiliser_Products_Data2(), FertiliserProducts[[#Headers],[Company]],31)</f>
        <v>Zinc</v>
      </c>
      <c r="Z133" s="192" cm="1">
        <f t="array" ref="Z133">Common_InputFunctions.Utility_DisplayArrayInTable(Fertiliser_SourceData.Fertiliser_Products_Data2(), FertiliserProducts[[#Headers],[Company]],31)</f>
        <v>3.5999999999999999E-3</v>
      </c>
      <c r="AA133" s="192" t="str" cm="1">
        <f t="array" ref="AA133">Common_InputFunctions.Utility_DisplayArrayInTable(Fertiliser_SourceData.Fertiliser_Products_Data2(), FertiliserProducts[[#Headers],[Company]],31)</f>
        <v>Boron</v>
      </c>
      <c r="AB133" s="192" cm="1">
        <f t="array" ref="AB133">Common_InputFunctions.Utility_DisplayArrayInTable(Fertiliser_SourceData.Fertiliser_Products_Data2(), FertiliserProducts[[#Headers],[Company]],31)</f>
        <v>1E-3</v>
      </c>
      <c r="AC133" s="192" t="str" cm="1">
        <f t="array" ref="AC133">Common_InputFunctions.Utility_DisplayArrayInTable(Fertiliser_SourceData.Fertiliser_Products_Data2(), FertiliserProducts[[#Headers],[Company]],31)</f>
        <v>Glaze Extend G3 Flexi</v>
      </c>
      <c r="AD133" s="192" cm="1">
        <f t="array" ref="AD133">Common_InputFunctions.Utility_DisplayArrayInTable(Fertiliser_SourceData.Fertiliser_Products_Data2(), FertiliserProducts[[#Headers],[Company]],31)</f>
        <v>5.1900000000000002E-2</v>
      </c>
      <c r="AE133" s="192" t="str" cm="1">
        <f t="array" ref="AE133">Common_InputFunctions.Utility_DisplayArrayInTable(Fertiliser_SourceData.Fertiliser_Products_Data2(), FertiliserProducts[[#Headers],[Company]],31)</f>
        <v/>
      </c>
      <c r="AF133" s="192" t="str" cm="1">
        <f t="array" ref="AF133">Common_InputFunctions.Utility_DisplayArrayInTable(Fertiliser_SourceData.Fertiliser_Products_Data2(), FertiliserProducts[[#Headers],[Company]],31)</f>
        <v/>
      </c>
      <c r="AG133" s="192" t="str" cm="1">
        <f t="array" ref="AG133">Common_InputFunctions.Utility_DisplayArrayInTable(Fertiliser_SourceData.Fertiliser_Products_Data2(), FertiliserProducts[[#Headers],[Company]],31)</f>
        <v/>
      </c>
      <c r="AH133" s="192" t="str" cm="1">
        <f t="array" ref="AH133">Common_InputFunctions.Utility_DisplayArrayInTable(Fertiliser_SourceData.Fertiliser_Products_Data2(), FertiliserProducts[[#Headers],[Company]],31)</f>
        <v/>
      </c>
      <c r="AK133" s="1"/>
      <c r="AL133" s="1"/>
      <c r="AM133" s="1"/>
    </row>
    <row r="134" spans="4:39" ht="20.100000000000001" customHeight="1" x14ac:dyDescent="0.25">
      <c r="D134" s="192" t="str" cm="1">
        <f t="array" ref="D134">Common_InputFunctions.Utility_DisplayArrayInTable(Fertiliser_SourceData.Fertiliser_Products_Data2(), FertiliserProducts[[#Headers],[Company]],31)</f>
        <v>Impact Fertilisers</v>
      </c>
      <c r="E134" s="192" t="str" cm="1">
        <f t="array" ref="E134">Common_InputFunctions.Utility_DisplayArrayInTable(Fertiliser_SourceData.Fertiliser_Products_Data2(), FertiliserProducts[[#Headers],[Company]],31)</f>
        <v>Sulphate of ammonia (SOA)</v>
      </c>
      <c r="F134" s="192" t="str" cm="1">
        <f t="array" ref="F134">Common_InputFunctions.Utility_DisplayArrayInTable(Fertiliser_SourceData.Fertiliser_Products_Data2(), FertiliserProducts[[#Headers],[Company]],31)</f>
        <v>kg</v>
      </c>
      <c r="G134" s="192" cm="1">
        <f t="array" ref="G134">Common_InputFunctions.Utility_DisplayArrayInTable(Fertiliser_SourceData.Fertiliser_Products_Data2(), FertiliserProducts[[#Headers],[Company]],31)</f>
        <v>1</v>
      </c>
      <c r="H134" s="192" t="str" cm="1">
        <f t="array" ref="H134">Common_InputFunctions.Utility_DisplayArrayInTable(Fertiliser_SourceData.Fertiliser_Products_Data2(), FertiliserProducts[[#Headers],[Company]],31)</f>
        <v/>
      </c>
      <c r="I134" s="192" t="str" cm="1">
        <f t="array" ref="I134">Common_InputFunctions.Utility_DisplayArrayInTable(Fertiliser_SourceData.Fertiliser_Products_Data2(), FertiliserProducts[[#Headers],[Company]],31)</f>
        <v/>
      </c>
      <c r="J134" s="192" t="str" cm="1">
        <f t="array" ref="J134">Common_InputFunctions.Utility_DisplayArrayInTable(Fertiliser_SourceData.Fertiliser_Products_Data2(), FertiliserProducts[[#Headers],[Company]],31)</f>
        <v/>
      </c>
      <c r="K134" s="192" cm="1">
        <f t="array" ref="K134">Common_InputFunctions.Utility_DisplayArrayInTable(Fertiliser_SourceData.Fertiliser_Products_Data2(), FertiliserProducts[[#Headers],[Company]],31)</f>
        <v>21</v>
      </c>
      <c r="L134" s="192" t="str" cm="1">
        <f t="array" ref="L134">Common_InputFunctions.Utility_DisplayArrayInTable(Fertiliser_SourceData.Fertiliser_Products_Data2(), FertiliserProducts[[#Headers],[Company]],31)</f>
        <v/>
      </c>
      <c r="M134" s="192" t="str" cm="1">
        <f t="array" ref="M134">Common_InputFunctions.Utility_DisplayArrayInTable(Fertiliser_SourceData.Fertiliser_Products_Data2(), FertiliserProducts[[#Headers],[Company]],31)</f>
        <v/>
      </c>
      <c r="N134" s="192" cm="1">
        <f t="array" ref="N134">Common_InputFunctions.Utility_DisplayArrayInTable(Fertiliser_SourceData.Fertiliser_Products_Data2(), FertiliserProducts[[#Headers],[Company]],31)</f>
        <v>24</v>
      </c>
      <c r="O134" s="192" t="str" cm="1">
        <f t="array" ref="O134">Common_InputFunctions.Utility_DisplayArrayInTable(Fertiliser_SourceData.Fertiliser_Products_Data2(), FertiliserProducts[[#Headers],[Company]],31)</f>
        <v>Sulphate of ammonia (SOA)</v>
      </c>
      <c r="P134" s="192" cm="1">
        <f t="array" ref="P134">Common_InputFunctions.Utility_DisplayArrayInTable(Fertiliser_SourceData.Fertiliser_Products_Data2(), FertiliserProducts[[#Headers],[Company]],31)</f>
        <v>1</v>
      </c>
      <c r="Q134" s="192" t="str" cm="1">
        <f t="array" ref="Q134">Common_InputFunctions.Utility_DisplayArrayInTable(Fertiliser_SourceData.Fertiliser_Products_Data2(), FertiliserProducts[[#Headers],[Company]],31)</f>
        <v/>
      </c>
      <c r="R134" s="192" t="str" cm="1">
        <f t="array" ref="R134">Common_InputFunctions.Utility_DisplayArrayInTable(Fertiliser_SourceData.Fertiliser_Products_Data2(), FertiliserProducts[[#Headers],[Company]],31)</f>
        <v/>
      </c>
      <c r="S134" s="192" t="str" cm="1">
        <f t="array" ref="S134">Common_InputFunctions.Utility_DisplayArrayInTable(Fertiliser_SourceData.Fertiliser_Products_Data2(), FertiliserProducts[[#Headers],[Company]],31)</f>
        <v/>
      </c>
      <c r="T134" s="192" t="str" cm="1">
        <f t="array" ref="T134">Common_InputFunctions.Utility_DisplayArrayInTable(Fertiliser_SourceData.Fertiliser_Products_Data2(), FertiliserProducts[[#Headers],[Company]],31)</f>
        <v/>
      </c>
      <c r="U134" s="192" t="str" cm="1">
        <f t="array" ref="U134">Common_InputFunctions.Utility_DisplayArrayInTable(Fertiliser_SourceData.Fertiliser_Products_Data2(), FertiliserProducts[[#Headers],[Company]],31)</f>
        <v/>
      </c>
      <c r="V134" s="192" t="str" cm="1">
        <f t="array" ref="V134">Common_InputFunctions.Utility_DisplayArrayInTable(Fertiliser_SourceData.Fertiliser_Products_Data2(), FertiliserProducts[[#Headers],[Company]],31)</f>
        <v/>
      </c>
      <c r="W134" s="192" t="str" cm="1">
        <f t="array" ref="W134">Common_InputFunctions.Utility_DisplayArrayInTable(Fertiliser_SourceData.Fertiliser_Products_Data2(), FertiliserProducts[[#Headers],[Company]],31)</f>
        <v/>
      </c>
      <c r="X134" s="192" t="str" cm="1">
        <f t="array" ref="X134">Common_InputFunctions.Utility_DisplayArrayInTable(Fertiliser_SourceData.Fertiliser_Products_Data2(), FertiliserProducts[[#Headers],[Company]],31)</f>
        <v/>
      </c>
      <c r="Y134" s="192" t="str" cm="1">
        <f t="array" ref="Y134">Common_InputFunctions.Utility_DisplayArrayInTable(Fertiliser_SourceData.Fertiliser_Products_Data2(), FertiliserProducts[[#Headers],[Company]],31)</f>
        <v/>
      </c>
      <c r="Z134" s="192" t="str" cm="1">
        <f t="array" ref="Z134">Common_InputFunctions.Utility_DisplayArrayInTable(Fertiliser_SourceData.Fertiliser_Products_Data2(), FertiliserProducts[[#Headers],[Company]],31)</f>
        <v/>
      </c>
      <c r="AA134" s="192" t="str" cm="1">
        <f t="array" ref="AA134">Common_InputFunctions.Utility_DisplayArrayInTable(Fertiliser_SourceData.Fertiliser_Products_Data2(), FertiliserProducts[[#Headers],[Company]],31)</f>
        <v/>
      </c>
      <c r="AB134" s="192" t="str" cm="1">
        <f t="array" ref="AB134">Common_InputFunctions.Utility_DisplayArrayInTable(Fertiliser_SourceData.Fertiliser_Products_Data2(), FertiliserProducts[[#Headers],[Company]],31)</f>
        <v/>
      </c>
      <c r="AC134" s="192" t="str" cm="1">
        <f t="array" ref="AC134">Common_InputFunctions.Utility_DisplayArrayInTable(Fertiliser_SourceData.Fertiliser_Products_Data2(), FertiliserProducts[[#Headers],[Company]],31)</f>
        <v/>
      </c>
      <c r="AD134" s="192" t="str" cm="1">
        <f t="array" ref="AD134">Common_InputFunctions.Utility_DisplayArrayInTable(Fertiliser_SourceData.Fertiliser_Products_Data2(), FertiliserProducts[[#Headers],[Company]],31)</f>
        <v/>
      </c>
      <c r="AE134" s="192" t="str" cm="1">
        <f t="array" ref="AE134">Common_InputFunctions.Utility_DisplayArrayInTable(Fertiliser_SourceData.Fertiliser_Products_Data2(), FertiliserProducts[[#Headers],[Company]],31)</f>
        <v/>
      </c>
      <c r="AF134" s="192" t="str" cm="1">
        <f t="array" ref="AF134">Common_InputFunctions.Utility_DisplayArrayInTable(Fertiliser_SourceData.Fertiliser_Products_Data2(), FertiliserProducts[[#Headers],[Company]],31)</f>
        <v/>
      </c>
      <c r="AG134" s="192" t="str" cm="1">
        <f t="array" ref="AG134">Common_InputFunctions.Utility_DisplayArrayInTable(Fertiliser_SourceData.Fertiliser_Products_Data2(), FertiliserProducts[[#Headers],[Company]],31)</f>
        <v/>
      </c>
      <c r="AH134" s="192" t="str" cm="1">
        <f t="array" ref="AH134">Common_InputFunctions.Utility_DisplayArrayInTable(Fertiliser_SourceData.Fertiliser_Products_Data2(), FertiliserProducts[[#Headers],[Company]],31)</f>
        <v/>
      </c>
      <c r="AK134" s="1"/>
      <c r="AL134" s="1"/>
      <c r="AM134" s="1"/>
    </row>
    <row r="135" spans="4:39" ht="20.100000000000001" customHeight="1" x14ac:dyDescent="0.25">
      <c r="D135" s="192" t="str" cm="1">
        <f t="array" ref="D135">Common_InputFunctions.Utility_DisplayArrayInTable(Fertiliser_SourceData.Fertiliser_Products_Data2(), FertiliserProducts[[#Headers],[Company]],31)</f>
        <v>Impact Fertilisers</v>
      </c>
      <c r="E135" s="192" t="str" cm="1">
        <f t="array" ref="E135">Common_InputFunctions.Utility_DisplayArrayInTable(Fertiliser_SourceData.Fertiliser_Products_Data2(), FertiliserProducts[[#Headers],[Company]],31)</f>
        <v>Mono-Ammonium Phosphate (MAP)</v>
      </c>
      <c r="F135" s="192" t="str" cm="1">
        <f t="array" ref="F135">Common_InputFunctions.Utility_DisplayArrayInTable(Fertiliser_SourceData.Fertiliser_Products_Data2(), FertiliserProducts[[#Headers],[Company]],31)</f>
        <v>kg</v>
      </c>
      <c r="G135" s="192" cm="1">
        <f t="array" ref="G135">Common_InputFunctions.Utility_DisplayArrayInTable(Fertiliser_SourceData.Fertiliser_Products_Data2(), FertiliserProducts[[#Headers],[Company]],31)</f>
        <v>1</v>
      </c>
      <c r="H135" s="192" t="str" cm="1">
        <f t="array" ref="H135">Common_InputFunctions.Utility_DisplayArrayInTable(Fertiliser_SourceData.Fertiliser_Products_Data2(), FertiliserProducts[[#Headers],[Company]],31)</f>
        <v/>
      </c>
      <c r="I135" s="192" t="str" cm="1">
        <f t="array" ref="I135">Common_InputFunctions.Utility_DisplayArrayInTable(Fertiliser_SourceData.Fertiliser_Products_Data2(), FertiliserProducts[[#Headers],[Company]],31)</f>
        <v/>
      </c>
      <c r="J135" s="192" t="str" cm="1">
        <f t="array" ref="J135">Common_InputFunctions.Utility_DisplayArrayInTable(Fertiliser_SourceData.Fertiliser_Products_Data2(), FertiliserProducts[[#Headers],[Company]],31)</f>
        <v/>
      </c>
      <c r="K135" s="192" cm="1">
        <f t="array" ref="K135">Common_InputFunctions.Utility_DisplayArrayInTable(Fertiliser_SourceData.Fertiliser_Products_Data2(), FertiliserProducts[[#Headers],[Company]],31)</f>
        <v>10</v>
      </c>
      <c r="L135" s="192" cm="1">
        <f t="array" ref="L135">Common_InputFunctions.Utility_DisplayArrayInTable(Fertiliser_SourceData.Fertiliser_Products_Data2(), FertiliserProducts[[#Headers],[Company]],31)</f>
        <v>21.9</v>
      </c>
      <c r="M135" s="192" t="str" cm="1">
        <f t="array" ref="M135">Common_InputFunctions.Utility_DisplayArrayInTable(Fertiliser_SourceData.Fertiliser_Products_Data2(), FertiliserProducts[[#Headers],[Company]],31)</f>
        <v/>
      </c>
      <c r="N135" s="192" cm="1">
        <f t="array" ref="N135">Common_InputFunctions.Utility_DisplayArrayInTable(Fertiliser_SourceData.Fertiliser_Products_Data2(), FertiliserProducts[[#Headers],[Company]],31)</f>
        <v>1.5</v>
      </c>
      <c r="O135" s="192" t="str" cm="1">
        <f t="array" ref="O135">Common_InputFunctions.Utility_DisplayArrayInTable(Fertiliser_SourceData.Fertiliser_Products_Data2(), FertiliserProducts[[#Headers],[Company]],31)</f>
        <v>Monoammonium phosphate (MAP)</v>
      </c>
      <c r="P135" s="192" cm="1">
        <f t="array" ref="P135">Common_InputFunctions.Utility_DisplayArrayInTable(Fertiliser_SourceData.Fertiliser_Products_Data2(), FertiliserProducts[[#Headers],[Company]],31)</f>
        <v>1</v>
      </c>
      <c r="Q135" s="192" t="str" cm="1">
        <f t="array" ref="Q135">Common_InputFunctions.Utility_DisplayArrayInTable(Fertiliser_SourceData.Fertiliser_Products_Data2(), FertiliserProducts[[#Headers],[Company]],31)</f>
        <v/>
      </c>
      <c r="R135" s="192" t="str" cm="1">
        <f t="array" ref="R135">Common_InputFunctions.Utility_DisplayArrayInTable(Fertiliser_SourceData.Fertiliser_Products_Data2(), FertiliserProducts[[#Headers],[Company]],31)</f>
        <v/>
      </c>
      <c r="S135" s="192" t="str" cm="1">
        <f t="array" ref="S135">Common_InputFunctions.Utility_DisplayArrayInTable(Fertiliser_SourceData.Fertiliser_Products_Data2(), FertiliserProducts[[#Headers],[Company]],31)</f>
        <v/>
      </c>
      <c r="T135" s="192" t="str" cm="1">
        <f t="array" ref="T135">Common_InputFunctions.Utility_DisplayArrayInTable(Fertiliser_SourceData.Fertiliser_Products_Data2(), FertiliserProducts[[#Headers],[Company]],31)</f>
        <v/>
      </c>
      <c r="U135" s="192" t="str" cm="1">
        <f t="array" ref="U135">Common_InputFunctions.Utility_DisplayArrayInTable(Fertiliser_SourceData.Fertiliser_Products_Data2(), FertiliserProducts[[#Headers],[Company]],31)</f>
        <v/>
      </c>
      <c r="V135" s="192" t="str" cm="1">
        <f t="array" ref="V135">Common_InputFunctions.Utility_DisplayArrayInTable(Fertiliser_SourceData.Fertiliser_Products_Data2(), FertiliserProducts[[#Headers],[Company]],31)</f>
        <v/>
      </c>
      <c r="W135" s="192" t="str" cm="1">
        <f t="array" ref="W135">Common_InputFunctions.Utility_DisplayArrayInTable(Fertiliser_SourceData.Fertiliser_Products_Data2(), FertiliserProducts[[#Headers],[Company]],31)</f>
        <v/>
      </c>
      <c r="X135" s="192" t="str" cm="1">
        <f t="array" ref="X135">Common_InputFunctions.Utility_DisplayArrayInTable(Fertiliser_SourceData.Fertiliser_Products_Data2(), FertiliserProducts[[#Headers],[Company]],31)</f>
        <v/>
      </c>
      <c r="Y135" s="192" t="str" cm="1">
        <f t="array" ref="Y135">Common_InputFunctions.Utility_DisplayArrayInTable(Fertiliser_SourceData.Fertiliser_Products_Data2(), FertiliserProducts[[#Headers],[Company]],31)</f>
        <v/>
      </c>
      <c r="Z135" s="192" t="str" cm="1">
        <f t="array" ref="Z135">Common_InputFunctions.Utility_DisplayArrayInTable(Fertiliser_SourceData.Fertiliser_Products_Data2(), FertiliserProducts[[#Headers],[Company]],31)</f>
        <v/>
      </c>
      <c r="AA135" s="192" t="str" cm="1">
        <f t="array" ref="AA135">Common_InputFunctions.Utility_DisplayArrayInTable(Fertiliser_SourceData.Fertiliser_Products_Data2(), FertiliserProducts[[#Headers],[Company]],31)</f>
        <v/>
      </c>
      <c r="AB135" s="192" t="str" cm="1">
        <f t="array" ref="AB135">Common_InputFunctions.Utility_DisplayArrayInTable(Fertiliser_SourceData.Fertiliser_Products_Data2(), FertiliserProducts[[#Headers],[Company]],31)</f>
        <v/>
      </c>
      <c r="AC135" s="192" t="str" cm="1">
        <f t="array" ref="AC135">Common_InputFunctions.Utility_DisplayArrayInTable(Fertiliser_SourceData.Fertiliser_Products_Data2(), FertiliserProducts[[#Headers],[Company]],31)</f>
        <v/>
      </c>
      <c r="AD135" s="192" t="str" cm="1">
        <f t="array" ref="AD135">Common_InputFunctions.Utility_DisplayArrayInTable(Fertiliser_SourceData.Fertiliser_Products_Data2(), FertiliserProducts[[#Headers],[Company]],31)</f>
        <v/>
      </c>
      <c r="AE135" s="192" t="str" cm="1">
        <f t="array" ref="AE135">Common_InputFunctions.Utility_DisplayArrayInTable(Fertiliser_SourceData.Fertiliser_Products_Data2(), FertiliserProducts[[#Headers],[Company]],31)</f>
        <v/>
      </c>
      <c r="AF135" s="192" t="str" cm="1">
        <f t="array" ref="AF135">Common_InputFunctions.Utility_DisplayArrayInTable(Fertiliser_SourceData.Fertiliser_Products_Data2(), FertiliserProducts[[#Headers],[Company]],31)</f>
        <v/>
      </c>
      <c r="AG135" s="192" t="str" cm="1">
        <f t="array" ref="AG135">Common_InputFunctions.Utility_DisplayArrayInTable(Fertiliser_SourceData.Fertiliser_Products_Data2(), FertiliserProducts[[#Headers],[Company]],31)</f>
        <v/>
      </c>
      <c r="AH135" s="192" t="str" cm="1">
        <f t="array" ref="AH135">Common_InputFunctions.Utility_DisplayArrayInTable(Fertiliser_SourceData.Fertiliser_Products_Data2(), FertiliserProducts[[#Headers],[Company]],31)</f>
        <v/>
      </c>
      <c r="AK135" s="1"/>
      <c r="AL135" s="1"/>
      <c r="AM135" s="1"/>
    </row>
    <row r="136" spans="4:39" ht="20.100000000000001" customHeight="1" x14ac:dyDescent="0.25">
      <c r="D136" s="192" t="str" cm="1">
        <f t="array" ref="D136">Common_InputFunctions.Utility_DisplayArrayInTable(Fertiliser_SourceData.Fertiliser_Products_Data2(), FertiliserProducts[[#Headers],[Company]],31)</f>
        <v>Impact Fertilisers</v>
      </c>
      <c r="E136" s="192" t="str" cm="1">
        <f t="array" ref="E136">Common_InputFunctions.Utility_DisplayArrayInTable(Fertiliser_SourceData.Fertiliser_Products_Data2(), FertiliserProducts[[#Headers],[Company]],31)</f>
        <v>Urea</v>
      </c>
      <c r="F136" s="192" t="str" cm="1">
        <f t="array" ref="F136">Common_InputFunctions.Utility_DisplayArrayInTable(Fertiliser_SourceData.Fertiliser_Products_Data2(), FertiliserProducts[[#Headers],[Company]],31)</f>
        <v>kg</v>
      </c>
      <c r="G136" s="192" cm="1">
        <f t="array" ref="G136">Common_InputFunctions.Utility_DisplayArrayInTable(Fertiliser_SourceData.Fertiliser_Products_Data2(), FertiliserProducts[[#Headers],[Company]],31)</f>
        <v>1</v>
      </c>
      <c r="H136" s="192" t="str" cm="1">
        <f t="array" ref="H136">Common_InputFunctions.Utility_DisplayArrayInTable(Fertiliser_SourceData.Fertiliser_Products_Data2(), FertiliserProducts[[#Headers],[Company]],31)</f>
        <v/>
      </c>
      <c r="I136" s="192" t="str" cm="1">
        <f t="array" ref="I136">Common_InputFunctions.Utility_DisplayArrayInTable(Fertiliser_SourceData.Fertiliser_Products_Data2(), FertiliserProducts[[#Headers],[Company]],31)</f>
        <v/>
      </c>
      <c r="J136" s="192" t="str" cm="1">
        <f t="array" ref="J136">Common_InputFunctions.Utility_DisplayArrayInTable(Fertiliser_SourceData.Fertiliser_Products_Data2(), FertiliserProducts[[#Headers],[Company]],31)</f>
        <v/>
      </c>
      <c r="K136" s="192" cm="1">
        <f t="array" ref="K136">Common_InputFunctions.Utility_DisplayArrayInTable(Fertiliser_SourceData.Fertiliser_Products_Data2(), FertiliserProducts[[#Headers],[Company]],31)</f>
        <v>46</v>
      </c>
      <c r="L136" s="192" t="str" cm="1">
        <f t="array" ref="L136">Common_InputFunctions.Utility_DisplayArrayInTable(Fertiliser_SourceData.Fertiliser_Products_Data2(), FertiliserProducts[[#Headers],[Company]],31)</f>
        <v/>
      </c>
      <c r="M136" s="192" t="str" cm="1">
        <f t="array" ref="M136">Common_InputFunctions.Utility_DisplayArrayInTable(Fertiliser_SourceData.Fertiliser_Products_Data2(), FertiliserProducts[[#Headers],[Company]],31)</f>
        <v/>
      </c>
      <c r="N136" s="192" t="str" cm="1">
        <f t="array" ref="N136">Common_InputFunctions.Utility_DisplayArrayInTable(Fertiliser_SourceData.Fertiliser_Products_Data2(), FertiliserProducts[[#Headers],[Company]],31)</f>
        <v/>
      </c>
      <c r="O136" s="192" t="str" cm="1">
        <f t="array" ref="O136">Common_InputFunctions.Utility_DisplayArrayInTable(Fertiliser_SourceData.Fertiliser_Products_Data2(), FertiliserProducts[[#Headers],[Company]],31)</f>
        <v>Urea</v>
      </c>
      <c r="P136" s="192" cm="1">
        <f t="array" ref="P136">Common_InputFunctions.Utility_DisplayArrayInTable(Fertiliser_SourceData.Fertiliser_Products_Data2(), FertiliserProducts[[#Headers],[Company]],31)</f>
        <v>1</v>
      </c>
      <c r="Q136" s="192" t="str" cm="1">
        <f t="array" ref="Q136">Common_InputFunctions.Utility_DisplayArrayInTable(Fertiliser_SourceData.Fertiliser_Products_Data2(), FertiliserProducts[[#Headers],[Company]],31)</f>
        <v/>
      </c>
      <c r="R136" s="192" t="str" cm="1">
        <f t="array" ref="R136">Common_InputFunctions.Utility_DisplayArrayInTable(Fertiliser_SourceData.Fertiliser_Products_Data2(), FertiliserProducts[[#Headers],[Company]],31)</f>
        <v/>
      </c>
      <c r="S136" s="192" t="str" cm="1">
        <f t="array" ref="S136">Common_InputFunctions.Utility_DisplayArrayInTable(Fertiliser_SourceData.Fertiliser_Products_Data2(), FertiliserProducts[[#Headers],[Company]],31)</f>
        <v/>
      </c>
      <c r="T136" s="192" t="str" cm="1">
        <f t="array" ref="T136">Common_InputFunctions.Utility_DisplayArrayInTable(Fertiliser_SourceData.Fertiliser_Products_Data2(), FertiliserProducts[[#Headers],[Company]],31)</f>
        <v/>
      </c>
      <c r="U136" s="192" t="str" cm="1">
        <f t="array" ref="U136">Common_InputFunctions.Utility_DisplayArrayInTable(Fertiliser_SourceData.Fertiliser_Products_Data2(), FertiliserProducts[[#Headers],[Company]],31)</f>
        <v/>
      </c>
      <c r="V136" s="192" t="str" cm="1">
        <f t="array" ref="V136">Common_InputFunctions.Utility_DisplayArrayInTable(Fertiliser_SourceData.Fertiliser_Products_Data2(), FertiliserProducts[[#Headers],[Company]],31)</f>
        <v/>
      </c>
      <c r="W136" s="192" t="str" cm="1">
        <f t="array" ref="W136">Common_InputFunctions.Utility_DisplayArrayInTable(Fertiliser_SourceData.Fertiliser_Products_Data2(), FertiliserProducts[[#Headers],[Company]],31)</f>
        <v/>
      </c>
      <c r="X136" s="192" t="str" cm="1">
        <f t="array" ref="X136">Common_InputFunctions.Utility_DisplayArrayInTable(Fertiliser_SourceData.Fertiliser_Products_Data2(), FertiliserProducts[[#Headers],[Company]],31)</f>
        <v/>
      </c>
      <c r="Y136" s="192" t="str" cm="1">
        <f t="array" ref="Y136">Common_InputFunctions.Utility_DisplayArrayInTable(Fertiliser_SourceData.Fertiliser_Products_Data2(), FertiliserProducts[[#Headers],[Company]],31)</f>
        <v/>
      </c>
      <c r="Z136" s="192" t="str" cm="1">
        <f t="array" ref="Z136">Common_InputFunctions.Utility_DisplayArrayInTable(Fertiliser_SourceData.Fertiliser_Products_Data2(), FertiliserProducts[[#Headers],[Company]],31)</f>
        <v/>
      </c>
      <c r="AA136" s="192" t="str" cm="1">
        <f t="array" ref="AA136">Common_InputFunctions.Utility_DisplayArrayInTable(Fertiliser_SourceData.Fertiliser_Products_Data2(), FertiliserProducts[[#Headers],[Company]],31)</f>
        <v/>
      </c>
      <c r="AB136" s="192" t="str" cm="1">
        <f t="array" ref="AB136">Common_InputFunctions.Utility_DisplayArrayInTable(Fertiliser_SourceData.Fertiliser_Products_Data2(), FertiliserProducts[[#Headers],[Company]],31)</f>
        <v/>
      </c>
      <c r="AC136" s="192" t="str" cm="1">
        <f t="array" ref="AC136">Common_InputFunctions.Utility_DisplayArrayInTable(Fertiliser_SourceData.Fertiliser_Products_Data2(), FertiliserProducts[[#Headers],[Company]],31)</f>
        <v/>
      </c>
      <c r="AD136" s="192" t="str" cm="1">
        <f t="array" ref="AD136">Common_InputFunctions.Utility_DisplayArrayInTable(Fertiliser_SourceData.Fertiliser_Products_Data2(), FertiliserProducts[[#Headers],[Company]],31)</f>
        <v/>
      </c>
      <c r="AE136" s="192" t="str" cm="1">
        <f t="array" ref="AE136">Common_InputFunctions.Utility_DisplayArrayInTable(Fertiliser_SourceData.Fertiliser_Products_Data2(), FertiliserProducts[[#Headers],[Company]],31)</f>
        <v/>
      </c>
      <c r="AF136" s="192" t="str" cm="1">
        <f t="array" ref="AF136">Common_InputFunctions.Utility_DisplayArrayInTable(Fertiliser_SourceData.Fertiliser_Products_Data2(), FertiliserProducts[[#Headers],[Company]],31)</f>
        <v/>
      </c>
      <c r="AG136" s="192" t="str" cm="1">
        <f t="array" ref="AG136">Common_InputFunctions.Utility_DisplayArrayInTable(Fertiliser_SourceData.Fertiliser_Products_Data2(), FertiliserProducts[[#Headers],[Company]],31)</f>
        <v/>
      </c>
      <c r="AH136" s="192" t="str" cm="1">
        <f t="array" ref="AH136">Common_InputFunctions.Utility_DisplayArrayInTable(Fertiliser_SourceData.Fertiliser_Products_Data2(), FertiliserProducts[[#Headers],[Company]],31)</f>
        <v/>
      </c>
      <c r="AK136" s="1"/>
      <c r="AL136" s="1"/>
      <c r="AM136" s="1"/>
    </row>
    <row r="137" spans="4:39" ht="20.100000000000001" customHeight="1" x14ac:dyDescent="0.25">
      <c r="D137" s="192" t="str" cm="1">
        <f t="array" ref="D137">Common_InputFunctions.Utility_DisplayArrayInTable(Fertiliser_SourceData.Fertiliser_Products_Data2(), FertiliserProducts[[#Headers],[Company]],31)</f>
        <v>Koch Fertiliser Australia</v>
      </c>
      <c r="E137" s="192" t="str" cm="1">
        <f t="array" ref="E137">Common_InputFunctions.Utility_DisplayArrayInTable(Fertiliser_SourceData.Fertiliser_Products_Data2(), FertiliserProducts[[#Headers],[Company]],31)</f>
        <v>Muriate of potash (MOP)</v>
      </c>
      <c r="F137" s="192" t="str" cm="1">
        <f t="array" ref="F137">Common_InputFunctions.Utility_DisplayArrayInTable(Fertiliser_SourceData.Fertiliser_Products_Data2(), FertiliserProducts[[#Headers],[Company]],31)</f>
        <v>kg</v>
      </c>
      <c r="G137" s="192" cm="1">
        <f t="array" ref="G137">Common_InputFunctions.Utility_DisplayArrayInTable(Fertiliser_SourceData.Fertiliser_Products_Data2(), FertiliserProducts[[#Headers],[Company]],31)</f>
        <v>1</v>
      </c>
      <c r="H137" s="192" t="str" cm="1">
        <f t="array" ref="H137">Common_InputFunctions.Utility_DisplayArrayInTable(Fertiliser_SourceData.Fertiliser_Products_Data2(), FertiliserProducts[[#Headers],[Company]],31)</f>
        <v/>
      </c>
      <c r="I137" s="192" t="str" cm="1">
        <f t="array" ref="I137">Common_InputFunctions.Utility_DisplayArrayInTable(Fertiliser_SourceData.Fertiliser_Products_Data2(), FertiliserProducts[[#Headers],[Company]],31)</f>
        <v/>
      </c>
      <c r="J137" s="192" t="str" cm="1">
        <f t="array" ref="J137">Common_InputFunctions.Utility_DisplayArrayInTable(Fertiliser_SourceData.Fertiliser_Products_Data2(), FertiliserProducts[[#Headers],[Company]],31)</f>
        <v/>
      </c>
      <c r="K137" s="192" t="str" cm="1">
        <f t="array" ref="K137">Common_InputFunctions.Utility_DisplayArrayInTable(Fertiliser_SourceData.Fertiliser_Products_Data2(), FertiliserProducts[[#Headers],[Company]],31)</f>
        <v/>
      </c>
      <c r="L137" s="192" t="str" cm="1">
        <f t="array" ref="L137">Common_InputFunctions.Utility_DisplayArrayInTable(Fertiliser_SourceData.Fertiliser_Products_Data2(), FertiliserProducts[[#Headers],[Company]],31)</f>
        <v/>
      </c>
      <c r="M137" s="192" cm="1">
        <f t="array" ref="M137">Common_InputFunctions.Utility_DisplayArrayInTable(Fertiliser_SourceData.Fertiliser_Products_Data2(), FertiliserProducts[[#Headers],[Company]],31)</f>
        <v>50</v>
      </c>
      <c r="N137" s="192" t="str" cm="1">
        <f t="array" ref="N137">Common_InputFunctions.Utility_DisplayArrayInTable(Fertiliser_SourceData.Fertiliser_Products_Data2(), FertiliserProducts[[#Headers],[Company]],31)</f>
        <v/>
      </c>
      <c r="O137" s="192" t="str" cm="1">
        <f t="array" ref="O137">Common_InputFunctions.Utility_DisplayArrayInTable(Fertiliser_SourceData.Fertiliser_Products_Data2(), FertiliserProducts[[#Headers],[Company]],31)</f>
        <v>Muriate of potash (MOP)</v>
      </c>
      <c r="P137" s="192" cm="1">
        <f t="array" ref="P137">Common_InputFunctions.Utility_DisplayArrayInTable(Fertiliser_SourceData.Fertiliser_Products_Data2(), FertiliserProducts[[#Headers],[Company]],31)</f>
        <v>1</v>
      </c>
      <c r="Q137" s="192" t="str" cm="1">
        <f t="array" ref="Q137">Common_InputFunctions.Utility_DisplayArrayInTable(Fertiliser_SourceData.Fertiliser_Products_Data2(), FertiliserProducts[[#Headers],[Company]],31)</f>
        <v/>
      </c>
      <c r="R137" s="192" t="str" cm="1">
        <f t="array" ref="R137">Common_InputFunctions.Utility_DisplayArrayInTable(Fertiliser_SourceData.Fertiliser_Products_Data2(), FertiliserProducts[[#Headers],[Company]],31)</f>
        <v/>
      </c>
      <c r="S137" s="192" t="str" cm="1">
        <f t="array" ref="S137">Common_InputFunctions.Utility_DisplayArrayInTable(Fertiliser_SourceData.Fertiliser_Products_Data2(), FertiliserProducts[[#Headers],[Company]],31)</f>
        <v/>
      </c>
      <c r="T137" s="192" t="str" cm="1">
        <f t="array" ref="T137">Common_InputFunctions.Utility_DisplayArrayInTable(Fertiliser_SourceData.Fertiliser_Products_Data2(), FertiliserProducts[[#Headers],[Company]],31)</f>
        <v/>
      </c>
      <c r="U137" s="192" t="str" cm="1">
        <f t="array" ref="U137">Common_InputFunctions.Utility_DisplayArrayInTable(Fertiliser_SourceData.Fertiliser_Products_Data2(), FertiliserProducts[[#Headers],[Company]],31)</f>
        <v/>
      </c>
      <c r="V137" s="192" t="str" cm="1">
        <f t="array" ref="V137">Common_InputFunctions.Utility_DisplayArrayInTable(Fertiliser_SourceData.Fertiliser_Products_Data2(), FertiliserProducts[[#Headers],[Company]],31)</f>
        <v/>
      </c>
      <c r="W137" s="192" t="str" cm="1">
        <f t="array" ref="W137">Common_InputFunctions.Utility_DisplayArrayInTable(Fertiliser_SourceData.Fertiliser_Products_Data2(), FertiliserProducts[[#Headers],[Company]],31)</f>
        <v/>
      </c>
      <c r="X137" s="192" t="str" cm="1">
        <f t="array" ref="X137">Common_InputFunctions.Utility_DisplayArrayInTable(Fertiliser_SourceData.Fertiliser_Products_Data2(), FertiliserProducts[[#Headers],[Company]],31)</f>
        <v/>
      </c>
      <c r="Y137" s="192" t="str" cm="1">
        <f t="array" ref="Y137">Common_InputFunctions.Utility_DisplayArrayInTable(Fertiliser_SourceData.Fertiliser_Products_Data2(), FertiliserProducts[[#Headers],[Company]],31)</f>
        <v/>
      </c>
      <c r="Z137" s="192" t="str" cm="1">
        <f t="array" ref="Z137">Common_InputFunctions.Utility_DisplayArrayInTable(Fertiliser_SourceData.Fertiliser_Products_Data2(), FertiliserProducts[[#Headers],[Company]],31)</f>
        <v/>
      </c>
      <c r="AA137" s="192" t="str" cm="1">
        <f t="array" ref="AA137">Common_InputFunctions.Utility_DisplayArrayInTable(Fertiliser_SourceData.Fertiliser_Products_Data2(), FertiliserProducts[[#Headers],[Company]],31)</f>
        <v/>
      </c>
      <c r="AB137" s="192" t="str" cm="1">
        <f t="array" ref="AB137">Common_InputFunctions.Utility_DisplayArrayInTable(Fertiliser_SourceData.Fertiliser_Products_Data2(), FertiliserProducts[[#Headers],[Company]],31)</f>
        <v/>
      </c>
      <c r="AC137" s="192" t="str" cm="1">
        <f t="array" ref="AC137">Common_InputFunctions.Utility_DisplayArrayInTable(Fertiliser_SourceData.Fertiliser_Products_Data2(), FertiliserProducts[[#Headers],[Company]],31)</f>
        <v/>
      </c>
      <c r="AD137" s="192" t="str" cm="1">
        <f t="array" ref="AD137">Common_InputFunctions.Utility_DisplayArrayInTable(Fertiliser_SourceData.Fertiliser_Products_Data2(), FertiliserProducts[[#Headers],[Company]],31)</f>
        <v/>
      </c>
      <c r="AE137" s="192" t="str" cm="1">
        <f t="array" ref="AE137">Common_InputFunctions.Utility_DisplayArrayInTable(Fertiliser_SourceData.Fertiliser_Products_Data2(), FertiliserProducts[[#Headers],[Company]],31)</f>
        <v/>
      </c>
      <c r="AF137" s="192" t="str" cm="1">
        <f t="array" ref="AF137">Common_InputFunctions.Utility_DisplayArrayInTable(Fertiliser_SourceData.Fertiliser_Products_Data2(), FertiliserProducts[[#Headers],[Company]],31)</f>
        <v/>
      </c>
      <c r="AG137" s="192" t="str" cm="1">
        <f t="array" ref="AG137">Common_InputFunctions.Utility_DisplayArrayInTable(Fertiliser_SourceData.Fertiliser_Products_Data2(), FertiliserProducts[[#Headers],[Company]],31)</f>
        <v/>
      </c>
      <c r="AH137" s="192" t="str" cm="1">
        <f t="array" ref="AH137">Common_InputFunctions.Utility_DisplayArrayInTable(Fertiliser_SourceData.Fertiliser_Products_Data2(), FertiliserProducts[[#Headers],[Company]],31)</f>
        <v/>
      </c>
      <c r="AK137" s="1"/>
      <c r="AL137" s="1"/>
      <c r="AM137" s="1"/>
    </row>
    <row r="138" spans="4:39" ht="20.100000000000001" customHeight="1" x14ac:dyDescent="0.25">
      <c r="D138" s="192" t="str" cm="1">
        <f t="array" ref="D138">Common_InputFunctions.Utility_DisplayArrayInTable(Fertiliser_SourceData.Fertiliser_Products_Data2(), FertiliserProducts[[#Headers],[Company]],31)</f>
        <v>Risso-Chemical</v>
      </c>
      <c r="E138" s="192" t="str" cm="1">
        <f t="array" ref="E138">Common_InputFunctions.Utility_DisplayArrayInTable(Fertiliser_SourceData.Fertiliser_Products_Data2(), FertiliserProducts[[#Headers],[Company]],31)</f>
        <v>Urea Ammonium nitrate (UAN 32-0-0)</v>
      </c>
      <c r="F138" s="192" t="str" cm="1">
        <f t="array" ref="F138">Common_InputFunctions.Utility_DisplayArrayInTable(Fertiliser_SourceData.Fertiliser_Products_Data2(), FertiliserProducts[[#Headers],[Company]],31)</f>
        <v>L</v>
      </c>
      <c r="G138" s="192" cm="1">
        <f t="array" ref="G138">Common_InputFunctions.Utility_DisplayArrayInTable(Fertiliser_SourceData.Fertiliser_Products_Data2(), FertiliserProducts[[#Headers],[Company]],31)</f>
        <v>1.32</v>
      </c>
      <c r="H138" s="192" t="str" cm="1">
        <f t="array" ref="H138">Common_InputFunctions.Utility_DisplayArrayInTable(Fertiliser_SourceData.Fertiliser_Products_Data2(), FertiliserProducts[[#Headers],[Company]],31)</f>
        <v/>
      </c>
      <c r="I138" s="192" t="str" cm="1">
        <f t="array" ref="I138">Common_InputFunctions.Utility_DisplayArrayInTable(Fertiliser_SourceData.Fertiliser_Products_Data2(), FertiliserProducts[[#Headers],[Company]],31)</f>
        <v>China</v>
      </c>
      <c r="J138" s="192" t="str" cm="1">
        <f t="array" ref="J138">Common_InputFunctions.Utility_DisplayArrayInTable(Fertiliser_SourceData.Fertiliser_Products_Data2(), FertiliserProducts[[#Headers],[Company]],31)</f>
        <v>China</v>
      </c>
      <c r="K138" s="192" cm="1">
        <f t="array" ref="K138">Common_InputFunctions.Utility_DisplayArrayInTable(Fertiliser_SourceData.Fertiliser_Products_Data2(), FertiliserProducts[[#Headers],[Company]],31)</f>
        <v>32</v>
      </c>
      <c r="L138" s="192" t="str" cm="1">
        <f t="array" ref="L138">Common_InputFunctions.Utility_DisplayArrayInTable(Fertiliser_SourceData.Fertiliser_Products_Data2(), FertiliserProducts[[#Headers],[Company]],31)</f>
        <v/>
      </c>
      <c r="M138" s="192" t="str" cm="1">
        <f t="array" ref="M138">Common_InputFunctions.Utility_DisplayArrayInTable(Fertiliser_SourceData.Fertiliser_Products_Data2(), FertiliserProducts[[#Headers],[Company]],31)</f>
        <v/>
      </c>
      <c r="N138" s="192" t="str" cm="1">
        <f t="array" ref="N138">Common_InputFunctions.Utility_DisplayArrayInTable(Fertiliser_SourceData.Fertiliser_Products_Data2(), FertiliserProducts[[#Headers],[Company]],31)</f>
        <v/>
      </c>
      <c r="O138" s="192" t="str" cm="1">
        <f t="array" ref="O138">Common_InputFunctions.Utility_DisplayArrayInTable(Fertiliser_SourceData.Fertiliser_Products_Data2(), FertiliserProducts[[#Headers],[Company]],31)</f>
        <v>Urea-ammonium nitrate (UAN)</v>
      </c>
      <c r="P138" s="192" cm="1">
        <f t="array" ref="P138">Common_InputFunctions.Utility_DisplayArrayInTable(Fertiliser_SourceData.Fertiliser_Products_Data2(), FertiliserProducts[[#Headers],[Company]],31)</f>
        <v>1</v>
      </c>
      <c r="Q138" s="192" t="str" cm="1">
        <f t="array" ref="Q138">Common_InputFunctions.Utility_DisplayArrayInTable(Fertiliser_SourceData.Fertiliser_Products_Data2(), FertiliserProducts[[#Headers],[Company]],31)</f>
        <v/>
      </c>
      <c r="R138" s="192" t="str" cm="1">
        <f t="array" ref="R138">Common_InputFunctions.Utility_DisplayArrayInTable(Fertiliser_SourceData.Fertiliser_Products_Data2(), FertiliserProducts[[#Headers],[Company]],31)</f>
        <v/>
      </c>
      <c r="S138" s="192" t="str" cm="1">
        <f t="array" ref="S138">Common_InputFunctions.Utility_DisplayArrayInTable(Fertiliser_SourceData.Fertiliser_Products_Data2(), FertiliserProducts[[#Headers],[Company]],31)</f>
        <v/>
      </c>
      <c r="T138" s="192" t="str" cm="1">
        <f t="array" ref="T138">Common_InputFunctions.Utility_DisplayArrayInTable(Fertiliser_SourceData.Fertiliser_Products_Data2(), FertiliserProducts[[#Headers],[Company]],31)</f>
        <v/>
      </c>
      <c r="U138" s="192" t="str" cm="1">
        <f t="array" ref="U138">Common_InputFunctions.Utility_DisplayArrayInTable(Fertiliser_SourceData.Fertiliser_Products_Data2(), FertiliserProducts[[#Headers],[Company]],31)</f>
        <v/>
      </c>
      <c r="V138" s="192" t="str" cm="1">
        <f t="array" ref="V138">Common_InputFunctions.Utility_DisplayArrayInTable(Fertiliser_SourceData.Fertiliser_Products_Data2(), FertiliserProducts[[#Headers],[Company]],31)</f>
        <v/>
      </c>
      <c r="W138" s="192" t="str" cm="1">
        <f t="array" ref="W138">Common_InputFunctions.Utility_DisplayArrayInTable(Fertiliser_SourceData.Fertiliser_Products_Data2(), FertiliserProducts[[#Headers],[Company]],31)</f>
        <v/>
      </c>
      <c r="X138" s="192" t="str" cm="1">
        <f t="array" ref="X138">Common_InputFunctions.Utility_DisplayArrayInTable(Fertiliser_SourceData.Fertiliser_Products_Data2(), FertiliserProducts[[#Headers],[Company]],31)</f>
        <v/>
      </c>
      <c r="Y138" s="192" t="str" cm="1">
        <f t="array" ref="Y138">Common_InputFunctions.Utility_DisplayArrayInTable(Fertiliser_SourceData.Fertiliser_Products_Data2(), FertiliserProducts[[#Headers],[Company]],31)</f>
        <v/>
      </c>
      <c r="Z138" s="192" t="str" cm="1">
        <f t="array" ref="Z138">Common_InputFunctions.Utility_DisplayArrayInTable(Fertiliser_SourceData.Fertiliser_Products_Data2(), FertiliserProducts[[#Headers],[Company]],31)</f>
        <v/>
      </c>
      <c r="AA138" s="192" t="str" cm="1">
        <f t="array" ref="AA138">Common_InputFunctions.Utility_DisplayArrayInTable(Fertiliser_SourceData.Fertiliser_Products_Data2(), FertiliserProducts[[#Headers],[Company]],31)</f>
        <v/>
      </c>
      <c r="AB138" s="192" t="str" cm="1">
        <f t="array" ref="AB138">Common_InputFunctions.Utility_DisplayArrayInTable(Fertiliser_SourceData.Fertiliser_Products_Data2(), FertiliserProducts[[#Headers],[Company]],31)</f>
        <v/>
      </c>
      <c r="AC138" s="192" t="str" cm="1">
        <f t="array" ref="AC138">Common_InputFunctions.Utility_DisplayArrayInTable(Fertiliser_SourceData.Fertiliser_Products_Data2(), FertiliserProducts[[#Headers],[Company]],31)</f>
        <v/>
      </c>
      <c r="AD138" s="192" t="str" cm="1">
        <f t="array" ref="AD138">Common_InputFunctions.Utility_DisplayArrayInTable(Fertiliser_SourceData.Fertiliser_Products_Data2(), FertiliserProducts[[#Headers],[Company]],31)</f>
        <v/>
      </c>
      <c r="AE138" s="192" t="str" cm="1">
        <f t="array" ref="AE138">Common_InputFunctions.Utility_DisplayArrayInTable(Fertiliser_SourceData.Fertiliser_Products_Data2(), FertiliserProducts[[#Headers],[Company]],31)</f>
        <v/>
      </c>
      <c r="AF138" s="192" t="str" cm="1">
        <f t="array" ref="AF138">Common_InputFunctions.Utility_DisplayArrayInTable(Fertiliser_SourceData.Fertiliser_Products_Data2(), FertiliserProducts[[#Headers],[Company]],31)</f>
        <v/>
      </c>
      <c r="AG138" s="192" t="str" cm="1">
        <f t="array" ref="AG138">Common_InputFunctions.Utility_DisplayArrayInTable(Fertiliser_SourceData.Fertiliser_Products_Data2(), FertiliserProducts[[#Headers],[Company]],31)</f>
        <v/>
      </c>
      <c r="AH138" s="192" t="str" cm="1">
        <f t="array" ref="AH138">Common_InputFunctions.Utility_DisplayArrayInTable(Fertiliser_SourceData.Fertiliser_Products_Data2(), FertiliserProducts[[#Headers],[Company]],31)</f>
        <v/>
      </c>
      <c r="AK138" s="1"/>
      <c r="AL138" s="1"/>
      <c r="AM138" s="1"/>
    </row>
    <row r="139" spans="4:39" ht="20.100000000000001" customHeight="1" x14ac:dyDescent="0.25">
      <c r="D139" s="192" t="str" cm="1">
        <f t="array" ref="D139">Common_InputFunctions.Utility_DisplayArrayInTable(Fertiliser_SourceData.Fertiliser_Products_Data2(), FertiliserProducts[[#Headers],[Company]],31)</f>
        <v>Risso-Chemical</v>
      </c>
      <c r="E139" s="192" t="str" cm="1">
        <f t="array" ref="E139">Common_InputFunctions.Utility_DisplayArrayInTable(Fertiliser_SourceData.Fertiliser_Products_Data2(), FertiliserProducts[[#Headers],[Company]],31)</f>
        <v>Polypeptide Urea</v>
      </c>
      <c r="F139" s="192" t="str" cm="1">
        <f t="array" ref="F139">Common_InputFunctions.Utility_DisplayArrayInTable(Fertiliser_SourceData.Fertiliser_Products_Data2(), FertiliserProducts[[#Headers],[Company]],31)</f>
        <v>kg</v>
      </c>
      <c r="G139" s="192" cm="1">
        <f t="array" ref="G139">Common_InputFunctions.Utility_DisplayArrayInTable(Fertiliser_SourceData.Fertiliser_Products_Data2(), FertiliserProducts[[#Headers],[Company]],31)</f>
        <v>1</v>
      </c>
      <c r="H139" s="192" t="str" cm="1">
        <f t="array" ref="H139">Common_InputFunctions.Utility_DisplayArrayInTable(Fertiliser_SourceData.Fertiliser_Products_Data2(), FertiliserProducts[[#Headers],[Company]],31)</f>
        <v/>
      </c>
      <c r="I139" s="192" t="str" cm="1">
        <f t="array" ref="I139">Common_InputFunctions.Utility_DisplayArrayInTable(Fertiliser_SourceData.Fertiliser_Products_Data2(), FertiliserProducts[[#Headers],[Company]],31)</f>
        <v>China</v>
      </c>
      <c r="J139" s="192" t="str" cm="1">
        <f t="array" ref="J139">Common_InputFunctions.Utility_DisplayArrayInTable(Fertiliser_SourceData.Fertiliser_Products_Data2(), FertiliserProducts[[#Headers],[Company]],31)</f>
        <v/>
      </c>
      <c r="K139" s="192" cm="1">
        <f t="array" ref="K139">Common_InputFunctions.Utility_DisplayArrayInTable(Fertiliser_SourceData.Fertiliser_Products_Data2(), FertiliserProducts[[#Headers],[Company]],31)</f>
        <v>46</v>
      </c>
      <c r="L139" s="192" t="str" cm="1">
        <f t="array" ref="L139">Common_InputFunctions.Utility_DisplayArrayInTable(Fertiliser_SourceData.Fertiliser_Products_Data2(), FertiliserProducts[[#Headers],[Company]],31)</f>
        <v/>
      </c>
      <c r="M139" s="192" t="str" cm="1">
        <f t="array" ref="M139">Common_InputFunctions.Utility_DisplayArrayInTable(Fertiliser_SourceData.Fertiliser_Products_Data2(), FertiliserProducts[[#Headers],[Company]],31)</f>
        <v/>
      </c>
      <c r="N139" s="192" t="str" cm="1">
        <f t="array" ref="N139">Common_InputFunctions.Utility_DisplayArrayInTable(Fertiliser_SourceData.Fertiliser_Products_Data2(), FertiliserProducts[[#Headers],[Company]],31)</f>
        <v/>
      </c>
      <c r="O139" s="192" t="str" cm="1">
        <f t="array" ref="O139">Common_InputFunctions.Utility_DisplayArrayInTable(Fertiliser_SourceData.Fertiliser_Products_Data2(), FertiliserProducts[[#Headers],[Company]],31)</f>
        <v>Urea</v>
      </c>
      <c r="P139" s="192" cm="1">
        <f t="array" ref="P139">Common_InputFunctions.Utility_DisplayArrayInTable(Fertiliser_SourceData.Fertiliser_Products_Data2(), FertiliserProducts[[#Headers],[Company]],31)</f>
        <v>1</v>
      </c>
      <c r="Q139" s="192" t="str" cm="1">
        <f t="array" ref="Q139">Common_InputFunctions.Utility_DisplayArrayInTable(Fertiliser_SourceData.Fertiliser_Products_Data2(), FertiliserProducts[[#Headers],[Company]],31)</f>
        <v>Polypeptide (amino acids)</v>
      </c>
      <c r="R139" s="192" cm="1">
        <f t="array" ref="R139">Common_InputFunctions.Utility_DisplayArrayInTable(Fertiliser_SourceData.Fertiliser_Products_Data2(), FertiliserProducts[[#Headers],[Company]],31)</f>
        <v>0</v>
      </c>
      <c r="S139" s="192" t="str" cm="1">
        <f t="array" ref="S139">Common_InputFunctions.Utility_DisplayArrayInTable(Fertiliser_SourceData.Fertiliser_Products_Data2(), FertiliserProducts[[#Headers],[Company]],31)</f>
        <v/>
      </c>
      <c r="T139" s="192" t="str" cm="1">
        <f t="array" ref="T139">Common_InputFunctions.Utility_DisplayArrayInTable(Fertiliser_SourceData.Fertiliser_Products_Data2(), FertiliserProducts[[#Headers],[Company]],31)</f>
        <v/>
      </c>
      <c r="U139" s="192" t="str" cm="1">
        <f t="array" ref="U139">Common_InputFunctions.Utility_DisplayArrayInTable(Fertiliser_SourceData.Fertiliser_Products_Data2(), FertiliserProducts[[#Headers],[Company]],31)</f>
        <v/>
      </c>
      <c r="V139" s="192" t="str" cm="1">
        <f t="array" ref="V139">Common_InputFunctions.Utility_DisplayArrayInTable(Fertiliser_SourceData.Fertiliser_Products_Data2(), FertiliserProducts[[#Headers],[Company]],31)</f>
        <v/>
      </c>
      <c r="W139" s="192" t="str" cm="1">
        <f t="array" ref="W139">Common_InputFunctions.Utility_DisplayArrayInTable(Fertiliser_SourceData.Fertiliser_Products_Data2(), FertiliserProducts[[#Headers],[Company]],31)</f>
        <v/>
      </c>
      <c r="X139" s="192" t="str" cm="1">
        <f t="array" ref="X139">Common_InputFunctions.Utility_DisplayArrayInTable(Fertiliser_SourceData.Fertiliser_Products_Data2(), FertiliserProducts[[#Headers],[Company]],31)</f>
        <v/>
      </c>
      <c r="Y139" s="192" t="str" cm="1">
        <f t="array" ref="Y139">Common_InputFunctions.Utility_DisplayArrayInTable(Fertiliser_SourceData.Fertiliser_Products_Data2(), FertiliserProducts[[#Headers],[Company]],31)</f>
        <v/>
      </c>
      <c r="Z139" s="192" t="str" cm="1">
        <f t="array" ref="Z139">Common_InputFunctions.Utility_DisplayArrayInTable(Fertiliser_SourceData.Fertiliser_Products_Data2(), FertiliserProducts[[#Headers],[Company]],31)</f>
        <v/>
      </c>
      <c r="AA139" s="192" t="str" cm="1">
        <f t="array" ref="AA139">Common_InputFunctions.Utility_DisplayArrayInTable(Fertiliser_SourceData.Fertiliser_Products_Data2(), FertiliserProducts[[#Headers],[Company]],31)</f>
        <v/>
      </c>
      <c r="AB139" s="192" t="str" cm="1">
        <f t="array" ref="AB139">Common_InputFunctions.Utility_DisplayArrayInTable(Fertiliser_SourceData.Fertiliser_Products_Data2(), FertiliserProducts[[#Headers],[Company]],31)</f>
        <v/>
      </c>
      <c r="AC139" s="192" t="str" cm="1">
        <f t="array" ref="AC139">Common_InputFunctions.Utility_DisplayArrayInTable(Fertiliser_SourceData.Fertiliser_Products_Data2(), FertiliserProducts[[#Headers],[Company]],31)</f>
        <v/>
      </c>
      <c r="AD139" s="192" t="str" cm="1">
        <f t="array" ref="AD139">Common_InputFunctions.Utility_DisplayArrayInTable(Fertiliser_SourceData.Fertiliser_Products_Data2(), FertiliserProducts[[#Headers],[Company]],31)</f>
        <v/>
      </c>
      <c r="AE139" s="192" t="str" cm="1">
        <f t="array" ref="AE139">Common_InputFunctions.Utility_DisplayArrayInTable(Fertiliser_SourceData.Fertiliser_Products_Data2(), FertiliserProducts[[#Headers],[Company]],31)</f>
        <v/>
      </c>
      <c r="AF139" s="192" t="str" cm="1">
        <f t="array" ref="AF139">Common_InputFunctions.Utility_DisplayArrayInTable(Fertiliser_SourceData.Fertiliser_Products_Data2(), FertiliserProducts[[#Headers],[Company]],31)</f>
        <v/>
      </c>
      <c r="AG139" s="192" t="str" cm="1">
        <f t="array" ref="AG139">Common_InputFunctions.Utility_DisplayArrayInTable(Fertiliser_SourceData.Fertiliser_Products_Data2(), FertiliserProducts[[#Headers],[Company]],31)</f>
        <v/>
      </c>
      <c r="AH139" s="192" t="str" cm="1">
        <f t="array" ref="AH139">Common_InputFunctions.Utility_DisplayArrayInTable(Fertiliser_SourceData.Fertiliser_Products_Data2(), FertiliserProducts[[#Headers],[Company]],31)</f>
        <v/>
      </c>
      <c r="AK139" s="1"/>
      <c r="AL139" s="1"/>
      <c r="AM139" s="1"/>
    </row>
    <row r="140" spans="4:39" ht="20.100000000000001" customHeight="1" x14ac:dyDescent="0.25">
      <c r="D140" s="192" t="str" cm="1">
        <f t="array" ref="D140">Common_InputFunctions.Utility_DisplayArrayInTable(Fertiliser_SourceData.Fertiliser_Products_Data2(), FertiliserProducts[[#Headers],[Company]],31)</f>
        <v>Yara Australia</v>
      </c>
      <c r="E140" s="192" t="str" cm="1">
        <f t="array" ref="E140">Common_InputFunctions.Utility_DisplayArrayInTable(Fertiliser_SourceData.Fertiliser_Products_Data2(), FertiliserProducts[[#Headers],[Company]],31)</f>
        <v>YaraTera CALCINIT</v>
      </c>
      <c r="F140" s="192" t="str" cm="1">
        <f t="array" ref="F140">Common_InputFunctions.Utility_DisplayArrayInTable(Fertiliser_SourceData.Fertiliser_Products_Data2(), FertiliserProducts[[#Headers],[Company]],31)</f>
        <v>kg</v>
      </c>
      <c r="G140" s="192" cm="1">
        <f t="array" ref="G140">Common_InputFunctions.Utility_DisplayArrayInTable(Fertiliser_SourceData.Fertiliser_Products_Data2(), FertiliserProducts[[#Headers],[Company]],31)</f>
        <v>1</v>
      </c>
      <c r="H140" s="192" t="str" cm="1">
        <f t="array" ref="H140">Common_InputFunctions.Utility_DisplayArrayInTable(Fertiliser_SourceData.Fertiliser_Products_Data2(), FertiliserProducts[[#Headers],[Company]],31)</f>
        <v/>
      </c>
      <c r="I140" s="192" t="str" cm="1">
        <f t="array" ref="I140">Common_InputFunctions.Utility_DisplayArrayInTable(Fertiliser_SourceData.Fertiliser_Products_Data2(), FertiliserProducts[[#Headers],[Company]],31)</f>
        <v/>
      </c>
      <c r="J140" s="192" t="str" cm="1">
        <f t="array" ref="J140">Common_InputFunctions.Utility_DisplayArrayInTable(Fertiliser_SourceData.Fertiliser_Products_Data2(), FertiliserProducts[[#Headers],[Company]],31)</f>
        <v/>
      </c>
      <c r="K140" s="192" cm="1">
        <f t="array" ref="K140">Common_InputFunctions.Utility_DisplayArrayInTable(Fertiliser_SourceData.Fertiliser_Products_Data2(), FertiliserProducts[[#Headers],[Company]],31)</f>
        <v>15.5</v>
      </c>
      <c r="L140" s="192" t="str" cm="1">
        <f t="array" ref="L140">Common_InputFunctions.Utility_DisplayArrayInTable(Fertiliser_SourceData.Fertiliser_Products_Data2(), FertiliserProducts[[#Headers],[Company]],31)</f>
        <v/>
      </c>
      <c r="M140" s="192" t="str" cm="1">
        <f t="array" ref="M140">Common_InputFunctions.Utility_DisplayArrayInTable(Fertiliser_SourceData.Fertiliser_Products_Data2(), FertiliserProducts[[#Headers],[Company]],31)</f>
        <v/>
      </c>
      <c r="N140" s="192" t="str" cm="1">
        <f t="array" ref="N140">Common_InputFunctions.Utility_DisplayArrayInTable(Fertiliser_SourceData.Fertiliser_Products_Data2(), FertiliserProducts[[#Headers],[Company]],31)</f>
        <v/>
      </c>
      <c r="O140" s="192" t="str" cm="1">
        <f t="array" ref="O140">Common_InputFunctions.Utility_DisplayArrayInTable(Fertiliser_SourceData.Fertiliser_Products_Data2(), FertiliserProducts[[#Headers],[Company]],31)</f>
        <v>Calcium nitrate</v>
      </c>
      <c r="P140" s="192" cm="1">
        <f t="array" ref="P140">Common_InputFunctions.Utility_DisplayArrayInTable(Fertiliser_SourceData.Fertiliser_Products_Data2(), FertiliserProducts[[#Headers],[Company]],31)</f>
        <v>1</v>
      </c>
      <c r="Q140" s="192" t="str" cm="1">
        <f t="array" ref="Q140">Common_InputFunctions.Utility_DisplayArrayInTable(Fertiliser_SourceData.Fertiliser_Products_Data2(), FertiliserProducts[[#Headers],[Company]],31)</f>
        <v/>
      </c>
      <c r="R140" s="192" t="str" cm="1">
        <f t="array" ref="R140">Common_InputFunctions.Utility_DisplayArrayInTable(Fertiliser_SourceData.Fertiliser_Products_Data2(), FertiliserProducts[[#Headers],[Company]],31)</f>
        <v/>
      </c>
      <c r="S140" s="192" t="str" cm="1">
        <f t="array" ref="S140">Common_InputFunctions.Utility_DisplayArrayInTable(Fertiliser_SourceData.Fertiliser_Products_Data2(), FertiliserProducts[[#Headers],[Company]],31)</f>
        <v/>
      </c>
      <c r="T140" s="192" t="str" cm="1">
        <f t="array" ref="T140">Common_InputFunctions.Utility_DisplayArrayInTable(Fertiliser_SourceData.Fertiliser_Products_Data2(), FertiliserProducts[[#Headers],[Company]],31)</f>
        <v/>
      </c>
      <c r="U140" s="192" t="str" cm="1">
        <f t="array" ref="U140">Common_InputFunctions.Utility_DisplayArrayInTable(Fertiliser_SourceData.Fertiliser_Products_Data2(), FertiliserProducts[[#Headers],[Company]],31)</f>
        <v/>
      </c>
      <c r="V140" s="192" t="str" cm="1">
        <f t="array" ref="V140">Common_InputFunctions.Utility_DisplayArrayInTable(Fertiliser_SourceData.Fertiliser_Products_Data2(), FertiliserProducts[[#Headers],[Company]],31)</f>
        <v/>
      </c>
      <c r="W140" s="192" t="str" cm="1">
        <f t="array" ref="W140">Common_InputFunctions.Utility_DisplayArrayInTable(Fertiliser_SourceData.Fertiliser_Products_Data2(), FertiliserProducts[[#Headers],[Company]],31)</f>
        <v/>
      </c>
      <c r="X140" s="192" t="str" cm="1">
        <f t="array" ref="X140">Common_InputFunctions.Utility_DisplayArrayInTable(Fertiliser_SourceData.Fertiliser_Products_Data2(), FertiliserProducts[[#Headers],[Company]],31)</f>
        <v/>
      </c>
      <c r="Y140" s="192" t="str" cm="1">
        <f t="array" ref="Y140">Common_InputFunctions.Utility_DisplayArrayInTable(Fertiliser_SourceData.Fertiliser_Products_Data2(), FertiliserProducts[[#Headers],[Company]],31)</f>
        <v/>
      </c>
      <c r="Z140" s="192" t="str" cm="1">
        <f t="array" ref="Z140">Common_InputFunctions.Utility_DisplayArrayInTable(Fertiliser_SourceData.Fertiliser_Products_Data2(), FertiliserProducts[[#Headers],[Company]],31)</f>
        <v/>
      </c>
      <c r="AA140" s="192" t="str" cm="1">
        <f t="array" ref="AA140">Common_InputFunctions.Utility_DisplayArrayInTable(Fertiliser_SourceData.Fertiliser_Products_Data2(), FertiliserProducts[[#Headers],[Company]],31)</f>
        <v/>
      </c>
      <c r="AB140" s="192" t="str" cm="1">
        <f t="array" ref="AB140">Common_InputFunctions.Utility_DisplayArrayInTable(Fertiliser_SourceData.Fertiliser_Products_Data2(), FertiliserProducts[[#Headers],[Company]],31)</f>
        <v/>
      </c>
      <c r="AC140" s="192" t="str" cm="1">
        <f t="array" ref="AC140">Common_InputFunctions.Utility_DisplayArrayInTable(Fertiliser_SourceData.Fertiliser_Products_Data2(), FertiliserProducts[[#Headers],[Company]],31)</f>
        <v/>
      </c>
      <c r="AD140" s="192" t="str" cm="1">
        <f t="array" ref="AD140">Common_InputFunctions.Utility_DisplayArrayInTable(Fertiliser_SourceData.Fertiliser_Products_Data2(), FertiliserProducts[[#Headers],[Company]],31)</f>
        <v/>
      </c>
      <c r="AE140" s="192" t="str" cm="1">
        <f t="array" ref="AE140">Common_InputFunctions.Utility_DisplayArrayInTable(Fertiliser_SourceData.Fertiliser_Products_Data2(), FertiliserProducts[[#Headers],[Company]],31)</f>
        <v/>
      </c>
      <c r="AF140" s="192" t="str" cm="1">
        <f t="array" ref="AF140">Common_InputFunctions.Utility_DisplayArrayInTable(Fertiliser_SourceData.Fertiliser_Products_Data2(), FertiliserProducts[[#Headers],[Company]],31)</f>
        <v/>
      </c>
      <c r="AG140" s="192" t="str" cm="1">
        <f t="array" ref="AG140">Common_InputFunctions.Utility_DisplayArrayInTable(Fertiliser_SourceData.Fertiliser_Products_Data2(), FertiliserProducts[[#Headers],[Company]],31)</f>
        <v/>
      </c>
      <c r="AH140" s="192" t="str" cm="1">
        <f t="array" ref="AH140">Common_InputFunctions.Utility_DisplayArrayInTable(Fertiliser_SourceData.Fertiliser_Products_Data2(), FertiliserProducts[[#Headers],[Company]],31)</f>
        <v/>
      </c>
      <c r="AK140" s="1"/>
      <c r="AL140" s="1"/>
      <c r="AM140" s="1"/>
    </row>
    <row r="141" spans="4:39" ht="20.100000000000001" customHeight="1" x14ac:dyDescent="0.25">
      <c r="D141" s="192" t="str" cm="1">
        <f t="array" ref="D141">Common_InputFunctions.Utility_DisplayArrayInTable(Fertiliser_SourceData.Fertiliser_Products_Data2(), FertiliserProducts[[#Headers],[Company]],31)</f>
        <v>Yara Australia</v>
      </c>
      <c r="E141" s="192" t="str" cm="1">
        <f t="array" ref="E141">Common_InputFunctions.Utility_DisplayArrayInTable(Fertiliser_SourceData.Fertiliser_Products_Data2(), FertiliserProducts[[#Headers],[Company]],31)</f>
        <v>YaraLiva NITRABOR</v>
      </c>
      <c r="F141" s="192" t="str" cm="1">
        <f t="array" ref="F141">Common_InputFunctions.Utility_DisplayArrayInTable(Fertiliser_SourceData.Fertiliser_Products_Data2(), FertiliserProducts[[#Headers],[Company]],31)</f>
        <v>kg</v>
      </c>
      <c r="G141" s="192" cm="1">
        <f t="array" ref="G141">Common_InputFunctions.Utility_DisplayArrayInTable(Fertiliser_SourceData.Fertiliser_Products_Data2(), FertiliserProducts[[#Headers],[Company]],31)</f>
        <v>1</v>
      </c>
      <c r="H141" s="192" t="str" cm="1">
        <f t="array" ref="H141">Common_InputFunctions.Utility_DisplayArrayInTable(Fertiliser_SourceData.Fertiliser_Products_Data2(), FertiliserProducts[[#Headers],[Company]],31)</f>
        <v/>
      </c>
      <c r="I141" s="192" t="str" cm="1">
        <f t="array" ref="I141">Common_InputFunctions.Utility_DisplayArrayInTable(Fertiliser_SourceData.Fertiliser_Products_Data2(), FertiliserProducts[[#Headers],[Company]],31)</f>
        <v/>
      </c>
      <c r="J141" s="192" t="str" cm="1">
        <f t="array" ref="J141">Common_InputFunctions.Utility_DisplayArrayInTable(Fertiliser_SourceData.Fertiliser_Products_Data2(), FertiliserProducts[[#Headers],[Company]],31)</f>
        <v/>
      </c>
      <c r="K141" s="192" cm="1">
        <f t="array" ref="K141">Common_InputFunctions.Utility_DisplayArrayInTable(Fertiliser_SourceData.Fertiliser_Products_Data2(), FertiliserProducts[[#Headers],[Company]],31)</f>
        <v>15.4</v>
      </c>
      <c r="L141" s="192" t="str" cm="1">
        <f t="array" ref="L141">Common_InputFunctions.Utility_DisplayArrayInTable(Fertiliser_SourceData.Fertiliser_Products_Data2(), FertiliserProducts[[#Headers],[Company]],31)</f>
        <v/>
      </c>
      <c r="M141" s="192" t="str" cm="1">
        <f t="array" ref="M141">Common_InputFunctions.Utility_DisplayArrayInTable(Fertiliser_SourceData.Fertiliser_Products_Data2(), FertiliserProducts[[#Headers],[Company]],31)</f>
        <v/>
      </c>
      <c r="N141" s="192" t="str" cm="1">
        <f t="array" ref="N141">Common_InputFunctions.Utility_DisplayArrayInTable(Fertiliser_SourceData.Fertiliser_Products_Data2(), FertiliserProducts[[#Headers],[Company]],31)</f>
        <v/>
      </c>
      <c r="O141" s="192" t="str" cm="1">
        <f t="array" ref="O141">Common_InputFunctions.Utility_DisplayArrayInTable(Fertiliser_SourceData.Fertiliser_Products_Data2(), FertiliserProducts[[#Headers],[Company]],31)</f>
        <v>Calcium nitrate</v>
      </c>
      <c r="P141" s="192" cm="1">
        <f t="array" ref="P141">Common_InputFunctions.Utility_DisplayArrayInTable(Fertiliser_SourceData.Fertiliser_Products_Data2(), FertiliserProducts[[#Headers],[Company]],31)</f>
        <v>0.99354799999999999</v>
      </c>
      <c r="Q141" s="192" t="str" cm="1">
        <f t="array" ref="Q141">Common_InputFunctions.Utility_DisplayArrayInTable(Fertiliser_SourceData.Fertiliser_Products_Data2(), FertiliserProducts[[#Headers],[Company]],31)</f>
        <v>Boron</v>
      </c>
      <c r="R141" s="192" cm="1">
        <f t="array" ref="R141">Common_InputFunctions.Utility_DisplayArrayInTable(Fertiliser_SourceData.Fertiliser_Products_Data2(), FertiliserProducts[[#Headers],[Company]],31)</f>
        <v>3.0000000000000001E-3</v>
      </c>
      <c r="S141" s="192" t="str" cm="1">
        <f t="array" ref="S141">Common_InputFunctions.Utility_DisplayArrayInTable(Fertiliser_SourceData.Fertiliser_Products_Data2(), FertiliserProducts[[#Headers],[Company]],31)</f>
        <v/>
      </c>
      <c r="T141" s="192" t="str" cm="1">
        <f t="array" ref="T141">Common_InputFunctions.Utility_DisplayArrayInTable(Fertiliser_SourceData.Fertiliser_Products_Data2(), FertiliserProducts[[#Headers],[Company]],31)</f>
        <v/>
      </c>
      <c r="U141" s="192" t="str" cm="1">
        <f t="array" ref="U141">Common_InputFunctions.Utility_DisplayArrayInTable(Fertiliser_SourceData.Fertiliser_Products_Data2(), FertiliserProducts[[#Headers],[Company]],31)</f>
        <v/>
      </c>
      <c r="V141" s="192" t="str" cm="1">
        <f t="array" ref="V141">Common_InputFunctions.Utility_DisplayArrayInTable(Fertiliser_SourceData.Fertiliser_Products_Data2(), FertiliserProducts[[#Headers],[Company]],31)</f>
        <v/>
      </c>
      <c r="W141" s="192" t="str" cm="1">
        <f t="array" ref="W141">Common_InputFunctions.Utility_DisplayArrayInTable(Fertiliser_SourceData.Fertiliser_Products_Data2(), FertiliserProducts[[#Headers],[Company]],31)</f>
        <v/>
      </c>
      <c r="X141" s="192" t="str" cm="1">
        <f t="array" ref="X141">Common_InputFunctions.Utility_DisplayArrayInTable(Fertiliser_SourceData.Fertiliser_Products_Data2(), FertiliserProducts[[#Headers],[Company]],31)</f>
        <v/>
      </c>
      <c r="Y141" s="192" t="str" cm="1">
        <f t="array" ref="Y141">Common_InputFunctions.Utility_DisplayArrayInTable(Fertiliser_SourceData.Fertiliser_Products_Data2(), FertiliserProducts[[#Headers],[Company]],31)</f>
        <v/>
      </c>
      <c r="Z141" s="192" t="str" cm="1">
        <f t="array" ref="Z141">Common_InputFunctions.Utility_DisplayArrayInTable(Fertiliser_SourceData.Fertiliser_Products_Data2(), FertiliserProducts[[#Headers],[Company]],31)</f>
        <v/>
      </c>
      <c r="AA141" s="192" t="str" cm="1">
        <f t="array" ref="AA141">Common_InputFunctions.Utility_DisplayArrayInTable(Fertiliser_SourceData.Fertiliser_Products_Data2(), FertiliserProducts[[#Headers],[Company]],31)</f>
        <v/>
      </c>
      <c r="AB141" s="192" t="str" cm="1">
        <f t="array" ref="AB141">Common_InputFunctions.Utility_DisplayArrayInTable(Fertiliser_SourceData.Fertiliser_Products_Data2(), FertiliserProducts[[#Headers],[Company]],31)</f>
        <v/>
      </c>
      <c r="AC141" s="192" t="str" cm="1">
        <f t="array" ref="AC141">Common_InputFunctions.Utility_DisplayArrayInTable(Fertiliser_SourceData.Fertiliser_Products_Data2(), FertiliserProducts[[#Headers],[Company]],31)</f>
        <v/>
      </c>
      <c r="AD141" s="192" t="str" cm="1">
        <f t="array" ref="AD141">Common_InputFunctions.Utility_DisplayArrayInTable(Fertiliser_SourceData.Fertiliser_Products_Data2(), FertiliserProducts[[#Headers],[Company]],31)</f>
        <v/>
      </c>
      <c r="AE141" s="192" t="str" cm="1">
        <f t="array" ref="AE141">Common_InputFunctions.Utility_DisplayArrayInTable(Fertiliser_SourceData.Fertiliser_Products_Data2(), FertiliserProducts[[#Headers],[Company]],31)</f>
        <v/>
      </c>
      <c r="AF141" s="192" t="str" cm="1">
        <f t="array" ref="AF141">Common_InputFunctions.Utility_DisplayArrayInTable(Fertiliser_SourceData.Fertiliser_Products_Data2(), FertiliserProducts[[#Headers],[Company]],31)</f>
        <v/>
      </c>
      <c r="AG141" s="192" t="str" cm="1">
        <f t="array" ref="AG141">Common_InputFunctions.Utility_DisplayArrayInTable(Fertiliser_SourceData.Fertiliser_Products_Data2(), FertiliserProducts[[#Headers],[Company]],31)</f>
        <v/>
      </c>
      <c r="AH141" s="192" t="str" cm="1">
        <f t="array" ref="AH141">Common_InputFunctions.Utility_DisplayArrayInTable(Fertiliser_SourceData.Fertiliser_Products_Data2(), FertiliserProducts[[#Headers],[Company]],31)</f>
        <v/>
      </c>
      <c r="AK141" s="1"/>
      <c r="AL141" s="1"/>
      <c r="AM141" s="1"/>
    </row>
    <row r="142" spans="4:39" ht="20.100000000000001" customHeight="1" x14ac:dyDescent="0.25">
      <c r="D142" s="192" t="str" cm="1">
        <f t="array" ref="D142">Common_InputFunctions.Utility_DisplayArrayInTable(Fertiliser_SourceData.Fertiliser_Products_Data2(), FertiliserProducts[[#Headers],[Company]],31)</f>
        <v>Yara Australia</v>
      </c>
      <c r="E142" s="192" t="str" cm="1">
        <f t="array" ref="E142">Common_InputFunctions.Utility_DisplayArrayInTable(Fertiliser_SourceData.Fertiliser_Products_Data2(), FertiliserProducts[[#Headers],[Company]],31)</f>
        <v>YaraMila COMPLEX</v>
      </c>
      <c r="F142" s="192" t="str" cm="1">
        <f t="array" ref="F142">Common_InputFunctions.Utility_DisplayArrayInTable(Fertiliser_SourceData.Fertiliser_Products_Data2(), FertiliserProducts[[#Headers],[Company]],31)</f>
        <v>kg</v>
      </c>
      <c r="G142" s="192" cm="1">
        <f t="array" ref="G142">Common_InputFunctions.Utility_DisplayArrayInTable(Fertiliser_SourceData.Fertiliser_Products_Data2(), FertiliserProducts[[#Headers],[Company]],31)</f>
        <v>1</v>
      </c>
      <c r="H142" s="192" t="str" cm="1">
        <f t="array" ref="H142">Common_InputFunctions.Utility_DisplayArrayInTable(Fertiliser_SourceData.Fertiliser_Products_Data2(), FertiliserProducts[[#Headers],[Company]],31)</f>
        <v/>
      </c>
      <c r="I142" s="192" t="str" cm="1">
        <f t="array" ref="I142">Common_InputFunctions.Utility_DisplayArrayInTable(Fertiliser_SourceData.Fertiliser_Products_Data2(), FertiliserProducts[[#Headers],[Company]],31)</f>
        <v/>
      </c>
      <c r="J142" s="192" t="str" cm="1">
        <f t="array" ref="J142">Common_InputFunctions.Utility_DisplayArrayInTable(Fertiliser_SourceData.Fertiliser_Products_Data2(), FertiliserProducts[[#Headers],[Company]],31)</f>
        <v/>
      </c>
      <c r="K142" s="192" cm="1">
        <f t="array" ref="K142">Common_InputFunctions.Utility_DisplayArrayInTable(Fertiliser_SourceData.Fertiliser_Products_Data2(), FertiliserProducts[[#Headers],[Company]],31)</f>
        <v>12</v>
      </c>
      <c r="L142" s="192" cm="1">
        <f t="array" ref="L142">Common_InputFunctions.Utility_DisplayArrayInTable(Fertiliser_SourceData.Fertiliser_Products_Data2(), FertiliserProducts[[#Headers],[Company]],31)</f>
        <v>5</v>
      </c>
      <c r="M142" s="192" cm="1">
        <f t="array" ref="M142">Common_InputFunctions.Utility_DisplayArrayInTable(Fertiliser_SourceData.Fertiliser_Products_Data2(), FertiliserProducts[[#Headers],[Company]],31)</f>
        <v>15</v>
      </c>
      <c r="N142" s="192" cm="1">
        <f t="array" ref="N142">Common_InputFunctions.Utility_DisplayArrayInTable(Fertiliser_SourceData.Fertiliser_Products_Data2(), FertiliserProducts[[#Headers],[Company]],31)</f>
        <v>8</v>
      </c>
      <c r="O142" s="192" t="str" cm="1">
        <f t="array" ref="O142">Common_InputFunctions.Utility_DisplayArrayInTable(Fertiliser_SourceData.Fertiliser_Products_Data2(), FertiliserProducts[[#Headers],[Company]],31)</f>
        <v>Nitrogen - Nitrate</v>
      </c>
      <c r="P142" s="192" cm="1">
        <f t="array" ref="P142">Common_InputFunctions.Utility_DisplayArrayInTable(Fertiliser_SourceData.Fertiliser_Products_Data2(), FertiliserProducts[[#Headers],[Company]],31)</f>
        <v>0.05</v>
      </c>
      <c r="Q142" s="192" t="str" cm="1">
        <f t="array" ref="Q142">Common_InputFunctions.Utility_DisplayArrayInTable(Fertiliser_SourceData.Fertiliser_Products_Data2(), FertiliserProducts[[#Headers],[Company]],31)</f>
        <v>Nitrogen - Ammoniacal</v>
      </c>
      <c r="R142" s="192" cm="1">
        <f t="array" ref="R142">Common_InputFunctions.Utility_DisplayArrayInTable(Fertiliser_SourceData.Fertiliser_Products_Data2(), FertiliserProducts[[#Headers],[Company]],31)</f>
        <v>7.0000000000000007E-2</v>
      </c>
      <c r="S142" s="192" t="str" cm="1">
        <f t="array" ref="S142">Common_InputFunctions.Utility_DisplayArrayInTable(Fertiliser_SourceData.Fertiliser_Products_Data2(), FertiliserProducts[[#Headers],[Company]],31)</f>
        <v>Phosphorus - Generic</v>
      </c>
      <c r="T142" s="192" cm="1">
        <f t="array" ref="T142">Common_InputFunctions.Utility_DisplayArrayInTable(Fertiliser_SourceData.Fertiliser_Products_Data2(), FertiliserProducts[[#Headers],[Company]],31)</f>
        <v>0.05</v>
      </c>
      <c r="U142" s="192" t="str" cm="1">
        <f t="array" ref="U142">Common_InputFunctions.Utility_DisplayArrayInTable(Fertiliser_SourceData.Fertiliser_Products_Data2(), FertiliserProducts[[#Headers],[Company]],31)</f>
        <v>Potassium - Generic</v>
      </c>
      <c r="V142" s="192" cm="1">
        <f t="array" ref="V142">Common_InputFunctions.Utility_DisplayArrayInTable(Fertiliser_SourceData.Fertiliser_Products_Data2(), FertiliserProducts[[#Headers],[Company]],31)</f>
        <v>0.15</v>
      </c>
      <c r="W142" s="192" t="str" cm="1">
        <f t="array" ref="W142">Common_InputFunctions.Utility_DisplayArrayInTable(Fertiliser_SourceData.Fertiliser_Products_Data2(), FertiliserProducts[[#Headers],[Company]],31)</f>
        <v>Sulfur - Generic</v>
      </c>
      <c r="X142" s="192" cm="1">
        <f t="array" ref="X142">Common_InputFunctions.Utility_DisplayArrayInTable(Fertiliser_SourceData.Fertiliser_Products_Data2(), FertiliserProducts[[#Headers],[Company]],31)</f>
        <v>0.08</v>
      </c>
      <c r="Y142" s="192" t="str" cm="1">
        <f t="array" ref="Y142">Common_InputFunctions.Utility_DisplayArrayInTable(Fertiliser_SourceData.Fertiliser_Products_Data2(), FertiliserProducts[[#Headers],[Company]],31)</f>
        <v>Magnesium</v>
      </c>
      <c r="Z142" s="192" cm="1">
        <f t="array" ref="Z142">Common_InputFunctions.Utility_DisplayArrayInTable(Fertiliser_SourceData.Fertiliser_Products_Data2(), FertiliserProducts[[#Headers],[Company]],31)</f>
        <v>1.6E-2</v>
      </c>
      <c r="AA142" s="192" t="str" cm="1">
        <f t="array" ref="AA142">Common_InputFunctions.Utility_DisplayArrayInTable(Fertiliser_SourceData.Fertiliser_Products_Data2(), FertiliserProducts[[#Headers],[Company]],31)</f>
        <v>Zinc</v>
      </c>
      <c r="AB142" s="192" cm="1">
        <f t="array" ref="AB142">Common_InputFunctions.Utility_DisplayArrayInTable(Fertiliser_SourceData.Fertiliser_Products_Data2(), FertiliserProducts[[#Headers],[Company]],31)</f>
        <v>2.0000000000000001E-4</v>
      </c>
      <c r="AC142" s="192" t="str" cm="1">
        <f t="array" ref="AC142">Common_InputFunctions.Utility_DisplayArrayInTable(Fertiliser_SourceData.Fertiliser_Products_Data2(), FertiliserProducts[[#Headers],[Company]],31)</f>
        <v>Boron</v>
      </c>
      <c r="AD142" s="192" cm="1">
        <f t="array" ref="AD142">Common_InputFunctions.Utility_DisplayArrayInTable(Fertiliser_SourceData.Fertiliser_Products_Data2(), FertiliserProducts[[#Headers],[Company]],31)</f>
        <v>1.4999999999999999E-4</v>
      </c>
      <c r="AE142" s="192" t="str" cm="1">
        <f t="array" ref="AE142">Common_InputFunctions.Utility_DisplayArrayInTable(Fertiliser_SourceData.Fertiliser_Products_Data2(), FertiliserProducts[[#Headers],[Company]],31)</f>
        <v/>
      </c>
      <c r="AF142" s="192" t="str" cm="1">
        <f t="array" ref="AF142">Common_InputFunctions.Utility_DisplayArrayInTable(Fertiliser_SourceData.Fertiliser_Products_Data2(), FertiliserProducts[[#Headers],[Company]],31)</f>
        <v/>
      </c>
      <c r="AG142" s="192" t="str" cm="1">
        <f t="array" ref="AG142">Common_InputFunctions.Utility_DisplayArrayInTable(Fertiliser_SourceData.Fertiliser_Products_Data2(), FertiliserProducts[[#Headers],[Company]],31)</f>
        <v/>
      </c>
      <c r="AH142" s="192" t="str" cm="1">
        <f t="array" ref="AH142">Common_InputFunctions.Utility_DisplayArrayInTable(Fertiliser_SourceData.Fertiliser_Products_Data2(), FertiliserProducts[[#Headers],[Company]],31)</f>
        <v/>
      </c>
      <c r="AK142" s="1"/>
      <c r="AL142" s="1"/>
      <c r="AM142" s="1"/>
    </row>
    <row r="143" spans="4:39" ht="20.100000000000001" customHeight="1" x14ac:dyDescent="0.25">
      <c r="D143" s="192" t="str" cm="1">
        <f t="array" ref="D143">Common_InputFunctions.Utility_DisplayArrayInTable(Fertiliser_SourceData.Fertiliser_Products_Data2(), FertiliserProducts[[#Headers],[Company]],31)</f>
        <v>Yara Australia</v>
      </c>
      <c r="E143" s="192" t="str" cm="1">
        <f t="array" ref="E143">Common_InputFunctions.Utility_DisplayArrayInTable(Fertiliser_SourceData.Fertiliser_Products_Data2(), FertiliserProducts[[#Headers],[Company]],31)</f>
        <v>YaraRega 9-0-30 (14)</v>
      </c>
      <c r="F143" s="192" t="str" cm="1">
        <f t="array" ref="F143">Common_InputFunctions.Utility_DisplayArrayInTable(Fertiliser_SourceData.Fertiliser_Products_Data2(), FertiliserProducts[[#Headers],[Company]],31)</f>
        <v>kg</v>
      </c>
      <c r="G143" s="192" cm="1">
        <f t="array" ref="G143">Common_InputFunctions.Utility_DisplayArrayInTable(Fertiliser_SourceData.Fertiliser_Products_Data2(), FertiliserProducts[[#Headers],[Company]],31)</f>
        <v>1</v>
      </c>
      <c r="H143" s="192" t="str" cm="1">
        <f t="array" ref="H143">Common_InputFunctions.Utility_DisplayArrayInTable(Fertiliser_SourceData.Fertiliser_Products_Data2(), FertiliserProducts[[#Headers],[Company]],31)</f>
        <v/>
      </c>
      <c r="I143" s="192" t="str" cm="1">
        <f t="array" ref="I143">Common_InputFunctions.Utility_DisplayArrayInTable(Fertiliser_SourceData.Fertiliser_Products_Data2(), FertiliserProducts[[#Headers],[Company]],31)</f>
        <v/>
      </c>
      <c r="J143" s="192" t="str" cm="1">
        <f t="array" ref="J143">Common_InputFunctions.Utility_DisplayArrayInTable(Fertiliser_SourceData.Fertiliser_Products_Data2(), FertiliserProducts[[#Headers],[Company]],31)</f>
        <v/>
      </c>
      <c r="K143" s="192" cm="1">
        <f t="array" ref="K143">Common_InputFunctions.Utility_DisplayArrayInTable(Fertiliser_SourceData.Fertiliser_Products_Data2(), FertiliserProducts[[#Headers],[Company]],31)</f>
        <v>9</v>
      </c>
      <c r="L143" s="192" t="str" cm="1">
        <f t="array" ref="L143">Common_InputFunctions.Utility_DisplayArrayInTable(Fertiliser_SourceData.Fertiliser_Products_Data2(), FertiliserProducts[[#Headers],[Company]],31)</f>
        <v/>
      </c>
      <c r="M143" s="192" cm="1">
        <f t="array" ref="M143">Common_InputFunctions.Utility_DisplayArrayInTable(Fertiliser_SourceData.Fertiliser_Products_Data2(), FertiliserProducts[[#Headers],[Company]],31)</f>
        <v>30</v>
      </c>
      <c r="N143" s="192" cm="1">
        <f t="array" ref="N143">Common_InputFunctions.Utility_DisplayArrayInTable(Fertiliser_SourceData.Fertiliser_Products_Data2(), FertiliserProducts[[#Headers],[Company]],31)</f>
        <v>14</v>
      </c>
      <c r="O143" s="192" t="str" cm="1">
        <f t="array" ref="O143">Common_InputFunctions.Utility_DisplayArrayInTable(Fertiliser_SourceData.Fertiliser_Products_Data2(), FertiliserProducts[[#Headers],[Company]],31)</f>
        <v>Potassium - Generic</v>
      </c>
      <c r="P143" s="192" cm="1">
        <f t="array" ref="P143">Common_InputFunctions.Utility_DisplayArrayInTable(Fertiliser_SourceData.Fertiliser_Products_Data2(), FertiliserProducts[[#Headers],[Company]],31)</f>
        <v>0.3</v>
      </c>
      <c r="Q143" s="192" t="str" cm="1">
        <f t="array" ref="Q143">Common_InputFunctions.Utility_DisplayArrayInTable(Fertiliser_SourceData.Fertiliser_Products_Data2(), FertiliserProducts[[#Headers],[Company]],31)</f>
        <v>Sulfur - Generic</v>
      </c>
      <c r="R143" s="192" cm="1">
        <f t="array" ref="R143">Common_InputFunctions.Utility_DisplayArrayInTable(Fertiliser_SourceData.Fertiliser_Products_Data2(), FertiliserProducts[[#Headers],[Company]],31)</f>
        <v>0.14000000000000001</v>
      </c>
      <c r="S143" s="192" t="str" cm="1">
        <f t="array" ref="S143">Common_InputFunctions.Utility_DisplayArrayInTable(Fertiliser_SourceData.Fertiliser_Products_Data2(), FertiliserProducts[[#Headers],[Company]],31)</f>
        <v>Nitrogen - Nitrate</v>
      </c>
      <c r="T143" s="192" cm="1">
        <f t="array" ref="T143">Common_InputFunctions.Utility_DisplayArrayInTable(Fertiliser_SourceData.Fertiliser_Products_Data2(), FertiliserProducts[[#Headers],[Company]],31)</f>
        <v>4.4999999999999998E-2</v>
      </c>
      <c r="U143" s="192" t="str" cm="1">
        <f t="array" ref="U143">Common_InputFunctions.Utility_DisplayArrayInTable(Fertiliser_SourceData.Fertiliser_Products_Data2(), FertiliserProducts[[#Headers],[Company]],31)</f>
        <v>Nitrogen - Ammoniacal</v>
      </c>
      <c r="V143" s="192" cm="1">
        <f t="array" ref="V143">Common_InputFunctions.Utility_DisplayArrayInTable(Fertiliser_SourceData.Fertiliser_Products_Data2(), FertiliserProducts[[#Headers],[Company]],31)</f>
        <v>4.4999999999999998E-2</v>
      </c>
      <c r="W143" s="192" t="str" cm="1">
        <f t="array" ref="W143">Common_InputFunctions.Utility_DisplayArrayInTable(Fertiliser_SourceData.Fertiliser_Products_Data2(), FertiliserProducts[[#Headers],[Company]],31)</f>
        <v/>
      </c>
      <c r="X143" s="192" t="str" cm="1">
        <f t="array" ref="X143">Common_InputFunctions.Utility_DisplayArrayInTable(Fertiliser_SourceData.Fertiliser_Products_Data2(), FertiliserProducts[[#Headers],[Company]],31)</f>
        <v/>
      </c>
      <c r="Y143" s="192" t="str" cm="1">
        <f t="array" ref="Y143">Common_InputFunctions.Utility_DisplayArrayInTable(Fertiliser_SourceData.Fertiliser_Products_Data2(), FertiliserProducts[[#Headers],[Company]],31)</f>
        <v/>
      </c>
      <c r="Z143" s="192" t="str" cm="1">
        <f t="array" ref="Z143">Common_InputFunctions.Utility_DisplayArrayInTable(Fertiliser_SourceData.Fertiliser_Products_Data2(), FertiliserProducts[[#Headers],[Company]],31)</f>
        <v/>
      </c>
      <c r="AA143" s="192" t="str" cm="1">
        <f t="array" ref="AA143">Common_InputFunctions.Utility_DisplayArrayInTable(Fertiliser_SourceData.Fertiliser_Products_Data2(), FertiliserProducts[[#Headers],[Company]],31)</f>
        <v/>
      </c>
      <c r="AB143" s="192" t="str" cm="1">
        <f t="array" ref="AB143">Common_InputFunctions.Utility_DisplayArrayInTable(Fertiliser_SourceData.Fertiliser_Products_Data2(), FertiliserProducts[[#Headers],[Company]],31)</f>
        <v/>
      </c>
      <c r="AC143" s="192" t="str" cm="1">
        <f t="array" ref="AC143">Common_InputFunctions.Utility_DisplayArrayInTable(Fertiliser_SourceData.Fertiliser_Products_Data2(), FertiliserProducts[[#Headers],[Company]],31)</f>
        <v/>
      </c>
      <c r="AD143" s="192" t="str" cm="1">
        <f t="array" ref="AD143">Common_InputFunctions.Utility_DisplayArrayInTable(Fertiliser_SourceData.Fertiliser_Products_Data2(), FertiliserProducts[[#Headers],[Company]],31)</f>
        <v/>
      </c>
      <c r="AE143" s="192" t="str" cm="1">
        <f t="array" ref="AE143">Common_InputFunctions.Utility_DisplayArrayInTable(Fertiliser_SourceData.Fertiliser_Products_Data2(), FertiliserProducts[[#Headers],[Company]],31)</f>
        <v/>
      </c>
      <c r="AF143" s="192" t="str" cm="1">
        <f t="array" ref="AF143">Common_InputFunctions.Utility_DisplayArrayInTable(Fertiliser_SourceData.Fertiliser_Products_Data2(), FertiliserProducts[[#Headers],[Company]],31)</f>
        <v/>
      </c>
      <c r="AG143" s="192" t="str" cm="1">
        <f t="array" ref="AG143">Common_InputFunctions.Utility_DisplayArrayInTable(Fertiliser_SourceData.Fertiliser_Products_Data2(), FertiliserProducts[[#Headers],[Company]],31)</f>
        <v/>
      </c>
      <c r="AH143" s="192" t="str" cm="1">
        <f t="array" ref="AH143">Common_InputFunctions.Utility_DisplayArrayInTable(Fertiliser_SourceData.Fertiliser_Products_Data2(), FertiliserProducts[[#Headers],[Company]],31)</f>
        <v/>
      </c>
      <c r="AK143" s="1"/>
      <c r="AL143" s="1"/>
      <c r="AM143" s="1"/>
    </row>
    <row r="144" spans="4:39" ht="20.100000000000001" customHeight="1" x14ac:dyDescent="0.25">
      <c r="D144" s="192" t="str" cm="1">
        <f t="array" ref="D144">Common_InputFunctions.Utility_DisplayArrayInTable(Fertiliser_SourceData.Fertiliser_Products_Data2(), FertiliserProducts[[#Headers],[Company]],31)</f>
        <v>Yara Australia</v>
      </c>
      <c r="E144" s="192" t="str" cm="1">
        <f t="array" ref="E144">Common_InputFunctions.Utility_DisplayArrayInTable(Fertiliser_SourceData.Fertiliser_Products_Data2(), FertiliserProducts[[#Headers],[Company]],31)</f>
        <v>YaraRega 13-2-21</v>
      </c>
      <c r="F144" s="192" t="str" cm="1">
        <f t="array" ref="F144">Common_InputFunctions.Utility_DisplayArrayInTable(Fertiliser_SourceData.Fertiliser_Products_Data2(), FertiliserProducts[[#Headers],[Company]],31)</f>
        <v>kg</v>
      </c>
      <c r="G144" s="192" cm="1">
        <f t="array" ref="G144">Common_InputFunctions.Utility_DisplayArrayInTable(Fertiliser_SourceData.Fertiliser_Products_Data2(), FertiliserProducts[[#Headers],[Company]],31)</f>
        <v>1</v>
      </c>
      <c r="H144" s="192" t="str" cm="1">
        <f t="array" ref="H144">Common_InputFunctions.Utility_DisplayArrayInTable(Fertiliser_SourceData.Fertiliser_Products_Data2(), FertiliserProducts[[#Headers],[Company]],31)</f>
        <v/>
      </c>
      <c r="I144" s="192" t="str" cm="1">
        <f t="array" ref="I144">Common_InputFunctions.Utility_DisplayArrayInTable(Fertiliser_SourceData.Fertiliser_Products_Data2(), FertiliserProducts[[#Headers],[Company]],31)</f>
        <v/>
      </c>
      <c r="J144" s="192" t="str" cm="1">
        <f t="array" ref="J144">Common_InputFunctions.Utility_DisplayArrayInTable(Fertiliser_SourceData.Fertiliser_Products_Data2(), FertiliserProducts[[#Headers],[Company]],31)</f>
        <v/>
      </c>
      <c r="K144" s="192" cm="1">
        <f t="array" ref="K144">Common_InputFunctions.Utility_DisplayArrayInTable(Fertiliser_SourceData.Fertiliser_Products_Data2(), FertiliserProducts[[#Headers],[Company]],31)</f>
        <v>13</v>
      </c>
      <c r="L144" s="192" cm="1">
        <f t="array" ref="L144">Common_InputFunctions.Utility_DisplayArrayInTable(Fertiliser_SourceData.Fertiliser_Products_Data2(), FertiliserProducts[[#Headers],[Company]],31)</f>
        <v>1.75</v>
      </c>
      <c r="M144" s="192" cm="1">
        <f t="array" ref="M144">Common_InputFunctions.Utility_DisplayArrayInTable(Fertiliser_SourceData.Fertiliser_Products_Data2(), FertiliserProducts[[#Headers],[Company]],31)</f>
        <v>21</v>
      </c>
      <c r="N144" s="192" cm="1">
        <f t="array" ref="N144">Common_InputFunctions.Utility_DisplayArrayInTable(Fertiliser_SourceData.Fertiliser_Products_Data2(), FertiliserProducts[[#Headers],[Company]],31)</f>
        <v>10.8</v>
      </c>
      <c r="O144" s="192" t="str" cm="1">
        <f t="array" ref="O144">Common_InputFunctions.Utility_DisplayArrayInTable(Fertiliser_SourceData.Fertiliser_Products_Data2(), FertiliserProducts[[#Headers],[Company]],31)</f>
        <v>Potassium - Generic</v>
      </c>
      <c r="P144" s="192" cm="1">
        <f t="array" ref="P144">Common_InputFunctions.Utility_DisplayArrayInTable(Fertiliser_SourceData.Fertiliser_Products_Data2(), FertiliserProducts[[#Headers],[Company]],31)</f>
        <v>0.21</v>
      </c>
      <c r="Q144" s="192" t="str" cm="1">
        <f t="array" ref="Q144">Common_InputFunctions.Utility_DisplayArrayInTable(Fertiliser_SourceData.Fertiliser_Products_Data2(), FertiliserProducts[[#Headers],[Company]],31)</f>
        <v>Sulfur - Generic</v>
      </c>
      <c r="R144" s="192" cm="1">
        <f t="array" ref="R144">Common_InputFunctions.Utility_DisplayArrayInTable(Fertiliser_SourceData.Fertiliser_Products_Data2(), FertiliserProducts[[#Headers],[Company]],31)</f>
        <v>0.108</v>
      </c>
      <c r="S144" s="192" t="str" cm="1">
        <f t="array" ref="S144">Common_InputFunctions.Utility_DisplayArrayInTable(Fertiliser_SourceData.Fertiliser_Products_Data2(), FertiliserProducts[[#Headers],[Company]],31)</f>
        <v>Nitrogen - Ammoniacal</v>
      </c>
      <c r="T144" s="192" cm="1">
        <f t="array" ref="T144">Common_InputFunctions.Utility_DisplayArrayInTable(Fertiliser_SourceData.Fertiliser_Products_Data2(), FertiliserProducts[[#Headers],[Company]],31)</f>
        <v>7.6999999999999999E-2</v>
      </c>
      <c r="U144" s="192" t="str" cm="1">
        <f t="array" ref="U144">Common_InputFunctions.Utility_DisplayArrayInTable(Fertiliser_SourceData.Fertiliser_Products_Data2(), FertiliserProducts[[#Headers],[Company]],31)</f>
        <v>Nitrogen - Nitrate</v>
      </c>
      <c r="V144" s="192" cm="1">
        <f t="array" ref="V144">Common_InputFunctions.Utility_DisplayArrayInTable(Fertiliser_SourceData.Fertiliser_Products_Data2(), FertiliserProducts[[#Headers],[Company]],31)</f>
        <v>5.2999999999999999E-2</v>
      </c>
      <c r="W144" s="192" t="str" cm="1">
        <f t="array" ref="W144">Common_InputFunctions.Utility_DisplayArrayInTable(Fertiliser_SourceData.Fertiliser_Products_Data2(), FertiliserProducts[[#Headers],[Company]],31)</f>
        <v>Phosphorus - Generic</v>
      </c>
      <c r="X144" s="192" cm="1">
        <f t="array" ref="X144">Common_InputFunctions.Utility_DisplayArrayInTable(Fertiliser_SourceData.Fertiliser_Products_Data2(), FertiliserProducts[[#Headers],[Company]],31)</f>
        <v>1.7500000000000002E-2</v>
      </c>
      <c r="Y144" s="192" t="str" cm="1">
        <f t="array" ref="Y144">Common_InputFunctions.Utility_DisplayArrayInTable(Fertiliser_SourceData.Fertiliser_Products_Data2(), FertiliserProducts[[#Headers],[Company]],31)</f>
        <v>Magnesium</v>
      </c>
      <c r="Z144" s="192" cm="1">
        <f t="array" ref="Z144">Common_InputFunctions.Utility_DisplayArrayInTable(Fertiliser_SourceData.Fertiliser_Products_Data2(), FertiliserProducts[[#Headers],[Company]],31)</f>
        <v>4.0000000000000001E-3</v>
      </c>
      <c r="AA144" s="192" t="str" cm="1">
        <f t="array" ref="AA144">Common_InputFunctions.Utility_DisplayArrayInTable(Fertiliser_SourceData.Fertiliser_Products_Data2(), FertiliserProducts[[#Headers],[Company]],31)</f>
        <v>Zinc</v>
      </c>
      <c r="AB144" s="192" cm="1">
        <f t="array" ref="AB144">Common_InputFunctions.Utility_DisplayArrayInTable(Fertiliser_SourceData.Fertiliser_Products_Data2(), FertiliserProducts[[#Headers],[Company]],31)</f>
        <v>8.0000000000000004E-4</v>
      </c>
      <c r="AC144" s="192" t="str" cm="1">
        <f t="array" ref="AC144">Common_InputFunctions.Utility_DisplayArrayInTable(Fertiliser_SourceData.Fertiliser_Products_Data2(), FertiliserProducts[[#Headers],[Company]],31)</f>
        <v>Boron</v>
      </c>
      <c r="AD144" s="192" cm="1">
        <f t="array" ref="AD144">Common_InputFunctions.Utility_DisplayArrayInTable(Fertiliser_SourceData.Fertiliser_Products_Data2(), FertiliserProducts[[#Headers],[Company]],31)</f>
        <v>8.0000000000000004E-4</v>
      </c>
      <c r="AE144" s="192" t="str" cm="1">
        <f t="array" ref="AE144">Common_InputFunctions.Utility_DisplayArrayInTable(Fertiliser_SourceData.Fertiliser_Products_Data2(), FertiliserProducts[[#Headers],[Company]],31)</f>
        <v/>
      </c>
      <c r="AF144" s="192" t="str" cm="1">
        <f t="array" ref="AF144">Common_InputFunctions.Utility_DisplayArrayInTable(Fertiliser_SourceData.Fertiliser_Products_Data2(), FertiliserProducts[[#Headers],[Company]],31)</f>
        <v/>
      </c>
      <c r="AG144" s="192" t="str" cm="1">
        <f t="array" ref="AG144">Common_InputFunctions.Utility_DisplayArrayInTable(Fertiliser_SourceData.Fertiliser_Products_Data2(), FertiliserProducts[[#Headers],[Company]],31)</f>
        <v/>
      </c>
      <c r="AH144" s="192" t="str" cm="1">
        <f t="array" ref="AH144">Common_InputFunctions.Utility_DisplayArrayInTable(Fertiliser_SourceData.Fertiliser_Products_Data2(), FertiliserProducts[[#Headers],[Company]],31)</f>
        <v/>
      </c>
      <c r="AK144" s="1"/>
      <c r="AL144" s="1"/>
      <c r="AM144" s="1"/>
    </row>
    <row r="145" spans="4:39" ht="20.100000000000001" customHeight="1" x14ac:dyDescent="0.25">
      <c r="D145" s="192" t="str" cm="1">
        <f t="array" ref="D145">Common_InputFunctions.Utility_DisplayArrayInTable(Fertiliser_SourceData.Fertiliser_Products_Data2(), FertiliserProducts[[#Headers],[Company]],31)</f>
        <v>Yara Australia</v>
      </c>
      <c r="E145" s="192" t="str" cm="1">
        <f t="array" ref="E145">Common_InputFunctions.Utility_DisplayArrayInTable(Fertiliser_SourceData.Fertiliser_Products_Data2(), FertiliserProducts[[#Headers],[Company]],31)</f>
        <v>YaraRega 15-7-13 (7S)</v>
      </c>
      <c r="F145" s="192" t="str" cm="1">
        <f t="array" ref="F145">Common_InputFunctions.Utility_DisplayArrayInTable(Fertiliser_SourceData.Fertiliser_Products_Data2(), FertiliserProducts[[#Headers],[Company]],31)</f>
        <v>kg</v>
      </c>
      <c r="G145" s="192" cm="1">
        <f t="array" ref="G145">Common_InputFunctions.Utility_DisplayArrayInTable(Fertiliser_SourceData.Fertiliser_Products_Data2(), FertiliserProducts[[#Headers],[Company]],31)</f>
        <v>1</v>
      </c>
      <c r="H145" s="192" t="str" cm="1">
        <f t="array" ref="H145">Common_InputFunctions.Utility_DisplayArrayInTable(Fertiliser_SourceData.Fertiliser_Products_Data2(), FertiliserProducts[[#Headers],[Company]],31)</f>
        <v/>
      </c>
      <c r="I145" s="192" t="str" cm="1">
        <f t="array" ref="I145">Common_InputFunctions.Utility_DisplayArrayInTable(Fertiliser_SourceData.Fertiliser_Products_Data2(), FertiliserProducts[[#Headers],[Company]],31)</f>
        <v/>
      </c>
      <c r="J145" s="192" t="str" cm="1">
        <f t="array" ref="J145">Common_InputFunctions.Utility_DisplayArrayInTable(Fertiliser_SourceData.Fertiliser_Products_Data2(), FertiliserProducts[[#Headers],[Company]],31)</f>
        <v/>
      </c>
      <c r="K145" s="192" cm="1">
        <f t="array" ref="K145">Common_InputFunctions.Utility_DisplayArrayInTable(Fertiliser_SourceData.Fertiliser_Products_Data2(), FertiliserProducts[[#Headers],[Company]],31)</f>
        <v>15</v>
      </c>
      <c r="L145" s="192" cm="1">
        <f t="array" ref="L145">Common_InputFunctions.Utility_DisplayArrayInTable(Fertiliser_SourceData.Fertiliser_Products_Data2(), FertiliserProducts[[#Headers],[Company]],31)</f>
        <v>6.5</v>
      </c>
      <c r="M145" s="192" cm="1">
        <f t="array" ref="M145">Common_InputFunctions.Utility_DisplayArrayInTable(Fertiliser_SourceData.Fertiliser_Products_Data2(), FertiliserProducts[[#Headers],[Company]],31)</f>
        <v>12.5</v>
      </c>
      <c r="N145" s="192" cm="1">
        <f t="array" ref="N145">Common_InputFunctions.Utility_DisplayArrayInTable(Fertiliser_SourceData.Fertiliser_Products_Data2(), FertiliserProducts[[#Headers],[Company]],31)</f>
        <v>7.2</v>
      </c>
      <c r="O145" s="192" t="str" cm="1">
        <f t="array" ref="O145">Common_InputFunctions.Utility_DisplayArrayInTable(Fertiliser_SourceData.Fertiliser_Products_Data2(), FertiliserProducts[[#Headers],[Company]],31)</f>
        <v>Nitrogen - Nitrate</v>
      </c>
      <c r="P145" s="192" cm="1">
        <f t="array" ref="P145">Common_InputFunctions.Utility_DisplayArrayInTable(Fertiliser_SourceData.Fertiliser_Products_Data2(), FertiliserProducts[[#Headers],[Company]],31)</f>
        <v>9.5000000000000001E-2</v>
      </c>
      <c r="Q145" s="192" t="str" cm="1">
        <f t="array" ref="Q145">Common_InputFunctions.Utility_DisplayArrayInTable(Fertiliser_SourceData.Fertiliser_Products_Data2(), FertiliserProducts[[#Headers],[Company]],31)</f>
        <v>Potassium - Generic</v>
      </c>
      <c r="R145" s="192" cm="1">
        <f t="array" ref="R145">Common_InputFunctions.Utility_DisplayArrayInTable(Fertiliser_SourceData.Fertiliser_Products_Data2(), FertiliserProducts[[#Headers],[Company]],31)</f>
        <v>0.125</v>
      </c>
      <c r="S145" s="192" t="str" cm="1">
        <f t="array" ref="S145">Common_InputFunctions.Utility_DisplayArrayInTable(Fertiliser_SourceData.Fertiliser_Products_Data2(), FertiliserProducts[[#Headers],[Company]],31)</f>
        <v>Sulfur - Generic</v>
      </c>
      <c r="T145" s="192" cm="1">
        <f t="array" ref="T145">Common_InputFunctions.Utility_DisplayArrayInTable(Fertiliser_SourceData.Fertiliser_Products_Data2(), FertiliserProducts[[#Headers],[Company]],31)</f>
        <v>7.1999999999999995E-2</v>
      </c>
      <c r="U145" s="192" t="str" cm="1">
        <f t="array" ref="U145">Common_InputFunctions.Utility_DisplayArrayInTable(Fertiliser_SourceData.Fertiliser_Products_Data2(), FertiliserProducts[[#Headers],[Company]],31)</f>
        <v>Phosphorus - Generic</v>
      </c>
      <c r="V145" s="192" cm="1">
        <f t="array" ref="V145">Common_InputFunctions.Utility_DisplayArrayInTable(Fertiliser_SourceData.Fertiliser_Products_Data2(), FertiliserProducts[[#Headers],[Company]],31)</f>
        <v>6.5000000000000002E-2</v>
      </c>
      <c r="W145" s="192" t="str" cm="1">
        <f t="array" ref="W145">Common_InputFunctions.Utility_DisplayArrayInTable(Fertiliser_SourceData.Fertiliser_Products_Data2(), FertiliserProducts[[#Headers],[Company]],31)</f>
        <v>Nitrogen - Ammoniacal</v>
      </c>
      <c r="X145" s="192" cm="1">
        <f t="array" ref="X145">Common_InputFunctions.Utility_DisplayArrayInTable(Fertiliser_SourceData.Fertiliser_Products_Data2(), FertiliserProducts[[#Headers],[Company]],31)</f>
        <v>5.5E-2</v>
      </c>
      <c r="Y145" s="192" t="str" cm="1">
        <f t="array" ref="Y145">Common_InputFunctions.Utility_DisplayArrayInTable(Fertiliser_SourceData.Fertiliser_Products_Data2(), FertiliserProducts[[#Headers],[Company]],31)</f>
        <v>Magnesium</v>
      </c>
      <c r="Z145" s="192" cm="1">
        <f t="array" ref="Z145">Common_InputFunctions.Utility_DisplayArrayInTable(Fertiliser_SourceData.Fertiliser_Products_Data2(), FertiliserProducts[[#Headers],[Company]],31)</f>
        <v>6.6E-3</v>
      </c>
      <c r="AA145" s="192" t="str" cm="1">
        <f t="array" ref="AA145">Common_InputFunctions.Utility_DisplayArrayInTable(Fertiliser_SourceData.Fertiliser_Products_Data2(), FertiliserProducts[[#Headers],[Company]],31)</f>
        <v>Boron</v>
      </c>
      <c r="AB145" s="192" cm="1">
        <f t="array" ref="AB145">Common_InputFunctions.Utility_DisplayArrayInTable(Fertiliser_SourceData.Fertiliser_Products_Data2(), FertiliserProducts[[#Headers],[Company]],31)</f>
        <v>1E-3</v>
      </c>
      <c r="AC145" s="192" t="str" cm="1">
        <f t="array" ref="AC145">Common_InputFunctions.Utility_DisplayArrayInTable(Fertiliser_SourceData.Fertiliser_Products_Data2(), FertiliserProducts[[#Headers],[Company]],31)</f>
        <v>Zinc</v>
      </c>
      <c r="AD145" s="192" cm="1">
        <f t="array" ref="AD145">Common_InputFunctions.Utility_DisplayArrayInTable(Fertiliser_SourceData.Fertiliser_Products_Data2(), FertiliserProducts[[#Headers],[Company]],31)</f>
        <v>5.9999999999999995E-4</v>
      </c>
      <c r="AE145" s="192" t="str" cm="1">
        <f t="array" ref="AE145">Common_InputFunctions.Utility_DisplayArrayInTable(Fertiliser_SourceData.Fertiliser_Products_Data2(), FertiliserProducts[[#Headers],[Company]],31)</f>
        <v/>
      </c>
      <c r="AF145" s="192" t="str" cm="1">
        <f t="array" ref="AF145">Common_InputFunctions.Utility_DisplayArrayInTable(Fertiliser_SourceData.Fertiliser_Products_Data2(), FertiliserProducts[[#Headers],[Company]],31)</f>
        <v/>
      </c>
      <c r="AG145" s="192" t="str" cm="1">
        <f t="array" ref="AG145">Common_InputFunctions.Utility_DisplayArrayInTable(Fertiliser_SourceData.Fertiliser_Products_Data2(), FertiliserProducts[[#Headers],[Company]],31)</f>
        <v/>
      </c>
      <c r="AH145" s="192" t="str" cm="1">
        <f t="array" ref="AH145">Common_InputFunctions.Utility_DisplayArrayInTable(Fertiliser_SourceData.Fertiliser_Products_Data2(), FertiliserProducts[[#Headers],[Company]],31)</f>
        <v/>
      </c>
      <c r="AK145" s="1"/>
      <c r="AL145" s="1"/>
      <c r="AM145" s="1"/>
    </row>
    <row r="146" spans="4:39" ht="20.100000000000001" customHeight="1" x14ac:dyDescent="0.25">
      <c r="D146" s="192" t="str" cm="1">
        <f t="array" ref="D146">Common_InputFunctions.Utility_DisplayArrayInTable(Fertiliser_SourceData.Fertiliser_Products_Data2(), FertiliserProducts[[#Headers],[Company]],31)</f>
        <v>Yara Australia</v>
      </c>
      <c r="E146" s="192" t="str" cm="1">
        <f t="array" ref="E146">Common_InputFunctions.Utility_DisplayArrayInTable(Fertiliser_SourceData.Fertiliser_Products_Data2(), FertiliserProducts[[#Headers],[Company]],31)</f>
        <v>YaraTera CALCINIT B</v>
      </c>
      <c r="F146" s="192" t="str" cm="1">
        <f t="array" ref="F146">Common_InputFunctions.Utility_DisplayArrayInTable(Fertiliser_SourceData.Fertiliser_Products_Data2(), FertiliserProducts[[#Headers],[Company]],31)</f>
        <v>kg</v>
      </c>
      <c r="G146" s="192" cm="1">
        <f t="array" ref="G146">Common_InputFunctions.Utility_DisplayArrayInTable(Fertiliser_SourceData.Fertiliser_Products_Data2(), FertiliserProducts[[#Headers],[Company]],31)</f>
        <v>1</v>
      </c>
      <c r="H146" s="192" t="str" cm="1">
        <f t="array" ref="H146">Common_InputFunctions.Utility_DisplayArrayInTable(Fertiliser_SourceData.Fertiliser_Products_Data2(), FertiliserProducts[[#Headers],[Company]],31)</f>
        <v/>
      </c>
      <c r="I146" s="192" t="str" cm="1">
        <f t="array" ref="I146">Common_InputFunctions.Utility_DisplayArrayInTable(Fertiliser_SourceData.Fertiliser_Products_Data2(), FertiliserProducts[[#Headers],[Company]],31)</f>
        <v/>
      </c>
      <c r="J146" s="192" t="str" cm="1">
        <f t="array" ref="J146">Common_InputFunctions.Utility_DisplayArrayInTable(Fertiliser_SourceData.Fertiliser_Products_Data2(), FertiliserProducts[[#Headers],[Company]],31)</f>
        <v/>
      </c>
      <c r="K146" s="192" cm="1">
        <f t="array" ref="K146">Common_InputFunctions.Utility_DisplayArrayInTable(Fertiliser_SourceData.Fertiliser_Products_Data2(), FertiliserProducts[[#Headers],[Company]],31)</f>
        <v>15.5</v>
      </c>
      <c r="L146" s="192" t="str" cm="1">
        <f t="array" ref="L146">Common_InputFunctions.Utility_DisplayArrayInTable(Fertiliser_SourceData.Fertiliser_Products_Data2(), FertiliserProducts[[#Headers],[Company]],31)</f>
        <v/>
      </c>
      <c r="M146" s="192" t="str" cm="1">
        <f t="array" ref="M146">Common_InputFunctions.Utility_DisplayArrayInTable(Fertiliser_SourceData.Fertiliser_Products_Data2(), FertiliserProducts[[#Headers],[Company]],31)</f>
        <v/>
      </c>
      <c r="N146" s="192" t="str" cm="1">
        <f t="array" ref="N146">Common_InputFunctions.Utility_DisplayArrayInTable(Fertiliser_SourceData.Fertiliser_Products_Data2(), FertiliserProducts[[#Headers],[Company]],31)</f>
        <v/>
      </c>
      <c r="O146" s="192" t="str" cm="1">
        <f t="array" ref="O146">Common_InputFunctions.Utility_DisplayArrayInTable(Fertiliser_SourceData.Fertiliser_Products_Data2(), FertiliserProducts[[#Headers],[Company]],31)</f>
        <v>Calcium nitrate</v>
      </c>
      <c r="P146" s="192" cm="1">
        <f t="array" ref="P146">Common_InputFunctions.Utility_DisplayArrayInTable(Fertiliser_SourceData.Fertiliser_Products_Data2(), FertiliserProducts[[#Headers],[Company]],31)</f>
        <v>1</v>
      </c>
      <c r="Q146" s="192" t="str" cm="1">
        <f t="array" ref="Q146">Common_InputFunctions.Utility_DisplayArrayInTable(Fertiliser_SourceData.Fertiliser_Products_Data2(), FertiliserProducts[[#Headers],[Company]],31)</f>
        <v>Boron</v>
      </c>
      <c r="R146" s="192" cm="1">
        <f t="array" ref="R146">Common_InputFunctions.Utility_DisplayArrayInTable(Fertiliser_SourceData.Fertiliser_Products_Data2(), FertiliserProducts[[#Headers],[Company]],31)</f>
        <v>1E-3</v>
      </c>
      <c r="S146" s="192" t="str" cm="1">
        <f t="array" ref="S146">Common_InputFunctions.Utility_DisplayArrayInTable(Fertiliser_SourceData.Fertiliser_Products_Data2(), FertiliserProducts[[#Headers],[Company]],31)</f>
        <v/>
      </c>
      <c r="T146" s="192" t="str" cm="1">
        <f t="array" ref="T146">Common_InputFunctions.Utility_DisplayArrayInTable(Fertiliser_SourceData.Fertiliser_Products_Data2(), FertiliserProducts[[#Headers],[Company]],31)</f>
        <v/>
      </c>
      <c r="U146" s="192" t="str" cm="1">
        <f t="array" ref="U146">Common_InputFunctions.Utility_DisplayArrayInTable(Fertiliser_SourceData.Fertiliser_Products_Data2(), FertiliserProducts[[#Headers],[Company]],31)</f>
        <v/>
      </c>
      <c r="V146" s="192" t="str" cm="1">
        <f t="array" ref="V146">Common_InputFunctions.Utility_DisplayArrayInTable(Fertiliser_SourceData.Fertiliser_Products_Data2(), FertiliserProducts[[#Headers],[Company]],31)</f>
        <v/>
      </c>
      <c r="W146" s="192" t="str" cm="1">
        <f t="array" ref="W146">Common_InputFunctions.Utility_DisplayArrayInTable(Fertiliser_SourceData.Fertiliser_Products_Data2(), FertiliserProducts[[#Headers],[Company]],31)</f>
        <v/>
      </c>
      <c r="X146" s="192" t="str" cm="1">
        <f t="array" ref="X146">Common_InputFunctions.Utility_DisplayArrayInTable(Fertiliser_SourceData.Fertiliser_Products_Data2(), FertiliserProducts[[#Headers],[Company]],31)</f>
        <v/>
      </c>
      <c r="Y146" s="192" t="str" cm="1">
        <f t="array" ref="Y146">Common_InputFunctions.Utility_DisplayArrayInTable(Fertiliser_SourceData.Fertiliser_Products_Data2(), FertiliserProducts[[#Headers],[Company]],31)</f>
        <v/>
      </c>
      <c r="Z146" s="192" t="str" cm="1">
        <f t="array" ref="Z146">Common_InputFunctions.Utility_DisplayArrayInTable(Fertiliser_SourceData.Fertiliser_Products_Data2(), FertiliserProducts[[#Headers],[Company]],31)</f>
        <v/>
      </c>
      <c r="AA146" s="192" t="str" cm="1">
        <f t="array" ref="AA146">Common_InputFunctions.Utility_DisplayArrayInTable(Fertiliser_SourceData.Fertiliser_Products_Data2(), FertiliserProducts[[#Headers],[Company]],31)</f>
        <v/>
      </c>
      <c r="AB146" s="192" t="str" cm="1">
        <f t="array" ref="AB146">Common_InputFunctions.Utility_DisplayArrayInTable(Fertiliser_SourceData.Fertiliser_Products_Data2(), FertiliserProducts[[#Headers],[Company]],31)</f>
        <v/>
      </c>
      <c r="AC146" s="192" t="str" cm="1">
        <f t="array" ref="AC146">Common_InputFunctions.Utility_DisplayArrayInTable(Fertiliser_SourceData.Fertiliser_Products_Data2(), FertiliserProducts[[#Headers],[Company]],31)</f>
        <v/>
      </c>
      <c r="AD146" s="192" t="str" cm="1">
        <f t="array" ref="AD146">Common_InputFunctions.Utility_DisplayArrayInTable(Fertiliser_SourceData.Fertiliser_Products_Data2(), FertiliserProducts[[#Headers],[Company]],31)</f>
        <v/>
      </c>
      <c r="AE146" s="192" t="str" cm="1">
        <f t="array" ref="AE146">Common_InputFunctions.Utility_DisplayArrayInTable(Fertiliser_SourceData.Fertiliser_Products_Data2(), FertiliserProducts[[#Headers],[Company]],31)</f>
        <v/>
      </c>
      <c r="AF146" s="192" t="str" cm="1">
        <f t="array" ref="AF146">Common_InputFunctions.Utility_DisplayArrayInTable(Fertiliser_SourceData.Fertiliser_Products_Data2(), FertiliserProducts[[#Headers],[Company]],31)</f>
        <v/>
      </c>
      <c r="AG146" s="192" t="str" cm="1">
        <f t="array" ref="AG146">Common_InputFunctions.Utility_DisplayArrayInTable(Fertiliser_SourceData.Fertiliser_Products_Data2(), FertiliserProducts[[#Headers],[Company]],31)</f>
        <v/>
      </c>
      <c r="AH146" s="192" t="str" cm="1">
        <f t="array" ref="AH146">Common_InputFunctions.Utility_DisplayArrayInTable(Fertiliser_SourceData.Fertiliser_Products_Data2(), FertiliserProducts[[#Headers],[Company]],31)</f>
        <v/>
      </c>
      <c r="AK146" s="1"/>
      <c r="AL146" s="1"/>
      <c r="AM146" s="1"/>
    </row>
    <row r="147" spans="4:39" ht="20.100000000000001" customHeight="1" x14ac:dyDescent="0.25">
      <c r="D147" s="192" t="str" cm="1">
        <f t="array" ref="D147">Common_InputFunctions.Utility_DisplayArrayInTable(Fertiliser_SourceData.Fertiliser_Products_Data2(), FertiliserProducts[[#Headers],[Company]],31)</f>
        <v>Yara Australia</v>
      </c>
      <c r="E147" s="192" t="str" cm="1">
        <f t="array" ref="E147">Common_InputFunctions.Utility_DisplayArrayInTable(Fertiliser_SourceData.Fertiliser_Products_Data2(), FertiliserProducts[[#Headers],[Company]],31)</f>
        <v>YaraTera KRISTA MAP</v>
      </c>
      <c r="F147" s="192" t="str" cm="1">
        <f t="array" ref="F147">Common_InputFunctions.Utility_DisplayArrayInTable(Fertiliser_SourceData.Fertiliser_Products_Data2(), FertiliserProducts[[#Headers],[Company]],31)</f>
        <v>kg</v>
      </c>
      <c r="G147" s="192" cm="1">
        <f t="array" ref="G147">Common_InputFunctions.Utility_DisplayArrayInTable(Fertiliser_SourceData.Fertiliser_Products_Data2(), FertiliserProducts[[#Headers],[Company]],31)</f>
        <v>1</v>
      </c>
      <c r="H147" s="192" t="str" cm="1">
        <f t="array" ref="H147">Common_InputFunctions.Utility_DisplayArrayInTable(Fertiliser_SourceData.Fertiliser_Products_Data2(), FertiliserProducts[[#Headers],[Company]],31)</f>
        <v/>
      </c>
      <c r="I147" s="192" t="str" cm="1">
        <f t="array" ref="I147">Common_InputFunctions.Utility_DisplayArrayInTable(Fertiliser_SourceData.Fertiliser_Products_Data2(), FertiliserProducts[[#Headers],[Company]],31)</f>
        <v/>
      </c>
      <c r="J147" s="192" t="str" cm="1">
        <f t="array" ref="J147">Common_InputFunctions.Utility_DisplayArrayInTable(Fertiliser_SourceData.Fertiliser_Products_Data2(), FertiliserProducts[[#Headers],[Company]],31)</f>
        <v/>
      </c>
      <c r="K147" s="192" cm="1">
        <f t="array" ref="K147">Common_InputFunctions.Utility_DisplayArrayInTable(Fertiliser_SourceData.Fertiliser_Products_Data2(), FertiliserProducts[[#Headers],[Company]],31)</f>
        <v>10</v>
      </c>
      <c r="L147" s="192" cm="1">
        <f t="array" ref="L147">Common_InputFunctions.Utility_DisplayArrayInTable(Fertiliser_SourceData.Fertiliser_Products_Data2(), FertiliserProducts[[#Headers],[Company]],31)</f>
        <v>21.9</v>
      </c>
      <c r="M147" s="192" t="str" cm="1">
        <f t="array" ref="M147">Common_InputFunctions.Utility_DisplayArrayInTable(Fertiliser_SourceData.Fertiliser_Products_Data2(), FertiliserProducts[[#Headers],[Company]],31)</f>
        <v/>
      </c>
      <c r="N147" s="192" t="str" cm="1">
        <f t="array" ref="N147">Common_InputFunctions.Utility_DisplayArrayInTable(Fertiliser_SourceData.Fertiliser_Products_Data2(), FertiliserProducts[[#Headers],[Company]],31)</f>
        <v/>
      </c>
      <c r="O147" s="192" t="str" cm="1">
        <f t="array" ref="O147">Common_InputFunctions.Utility_DisplayArrayInTable(Fertiliser_SourceData.Fertiliser_Products_Data2(), FertiliserProducts[[#Headers],[Company]],31)</f>
        <v>Monoammonium phosphate (MAP)</v>
      </c>
      <c r="P147" s="192" cm="1">
        <f t="array" ref="P147">Common_InputFunctions.Utility_DisplayArrayInTable(Fertiliser_SourceData.Fertiliser_Products_Data2(), FertiliserProducts[[#Headers],[Company]],31)</f>
        <v>1</v>
      </c>
      <c r="Q147" s="192" t="str" cm="1">
        <f t="array" ref="Q147">Common_InputFunctions.Utility_DisplayArrayInTable(Fertiliser_SourceData.Fertiliser_Products_Data2(), FertiliserProducts[[#Headers],[Company]],31)</f>
        <v/>
      </c>
      <c r="R147" s="192" t="str" cm="1">
        <f t="array" ref="R147">Common_InputFunctions.Utility_DisplayArrayInTable(Fertiliser_SourceData.Fertiliser_Products_Data2(), FertiliserProducts[[#Headers],[Company]],31)</f>
        <v/>
      </c>
      <c r="S147" s="192" t="str" cm="1">
        <f t="array" ref="S147">Common_InputFunctions.Utility_DisplayArrayInTable(Fertiliser_SourceData.Fertiliser_Products_Data2(), FertiliserProducts[[#Headers],[Company]],31)</f>
        <v/>
      </c>
      <c r="T147" s="192" t="str" cm="1">
        <f t="array" ref="T147">Common_InputFunctions.Utility_DisplayArrayInTable(Fertiliser_SourceData.Fertiliser_Products_Data2(), FertiliserProducts[[#Headers],[Company]],31)</f>
        <v/>
      </c>
      <c r="U147" s="192" t="str" cm="1">
        <f t="array" ref="U147">Common_InputFunctions.Utility_DisplayArrayInTable(Fertiliser_SourceData.Fertiliser_Products_Data2(), FertiliserProducts[[#Headers],[Company]],31)</f>
        <v/>
      </c>
      <c r="V147" s="192" t="str" cm="1">
        <f t="array" ref="V147">Common_InputFunctions.Utility_DisplayArrayInTable(Fertiliser_SourceData.Fertiliser_Products_Data2(), FertiliserProducts[[#Headers],[Company]],31)</f>
        <v/>
      </c>
      <c r="W147" s="192" t="str" cm="1">
        <f t="array" ref="W147">Common_InputFunctions.Utility_DisplayArrayInTable(Fertiliser_SourceData.Fertiliser_Products_Data2(), FertiliserProducts[[#Headers],[Company]],31)</f>
        <v/>
      </c>
      <c r="X147" s="192" t="str" cm="1">
        <f t="array" ref="X147">Common_InputFunctions.Utility_DisplayArrayInTable(Fertiliser_SourceData.Fertiliser_Products_Data2(), FertiliserProducts[[#Headers],[Company]],31)</f>
        <v/>
      </c>
      <c r="Y147" s="192" t="str" cm="1">
        <f t="array" ref="Y147">Common_InputFunctions.Utility_DisplayArrayInTable(Fertiliser_SourceData.Fertiliser_Products_Data2(), FertiliserProducts[[#Headers],[Company]],31)</f>
        <v/>
      </c>
      <c r="Z147" s="192" t="str" cm="1">
        <f t="array" ref="Z147">Common_InputFunctions.Utility_DisplayArrayInTable(Fertiliser_SourceData.Fertiliser_Products_Data2(), FertiliserProducts[[#Headers],[Company]],31)</f>
        <v/>
      </c>
      <c r="AA147" s="192" t="str" cm="1">
        <f t="array" ref="AA147">Common_InputFunctions.Utility_DisplayArrayInTable(Fertiliser_SourceData.Fertiliser_Products_Data2(), FertiliserProducts[[#Headers],[Company]],31)</f>
        <v/>
      </c>
      <c r="AB147" s="192" t="str" cm="1">
        <f t="array" ref="AB147">Common_InputFunctions.Utility_DisplayArrayInTable(Fertiliser_SourceData.Fertiliser_Products_Data2(), FertiliserProducts[[#Headers],[Company]],31)</f>
        <v/>
      </c>
      <c r="AC147" s="192" t="str" cm="1">
        <f t="array" ref="AC147">Common_InputFunctions.Utility_DisplayArrayInTable(Fertiliser_SourceData.Fertiliser_Products_Data2(), FertiliserProducts[[#Headers],[Company]],31)</f>
        <v/>
      </c>
      <c r="AD147" s="192" t="str" cm="1">
        <f t="array" ref="AD147">Common_InputFunctions.Utility_DisplayArrayInTable(Fertiliser_SourceData.Fertiliser_Products_Data2(), FertiliserProducts[[#Headers],[Company]],31)</f>
        <v/>
      </c>
      <c r="AE147" s="192" t="str" cm="1">
        <f t="array" ref="AE147">Common_InputFunctions.Utility_DisplayArrayInTable(Fertiliser_SourceData.Fertiliser_Products_Data2(), FertiliserProducts[[#Headers],[Company]],31)</f>
        <v/>
      </c>
      <c r="AF147" s="192" t="str" cm="1">
        <f t="array" ref="AF147">Common_InputFunctions.Utility_DisplayArrayInTable(Fertiliser_SourceData.Fertiliser_Products_Data2(), FertiliserProducts[[#Headers],[Company]],31)</f>
        <v/>
      </c>
      <c r="AG147" s="192" t="str" cm="1">
        <f t="array" ref="AG147">Common_InputFunctions.Utility_DisplayArrayInTable(Fertiliser_SourceData.Fertiliser_Products_Data2(), FertiliserProducts[[#Headers],[Company]],31)</f>
        <v/>
      </c>
      <c r="AH147" s="192" t="str" cm="1">
        <f t="array" ref="AH147">Common_InputFunctions.Utility_DisplayArrayInTable(Fertiliser_SourceData.Fertiliser_Products_Data2(), FertiliserProducts[[#Headers],[Company]],31)</f>
        <v/>
      </c>
      <c r="AK147" s="1"/>
      <c r="AL147" s="1"/>
      <c r="AM147" s="1"/>
    </row>
    <row r="148" spans="4:39" ht="20.100000000000001" customHeight="1" x14ac:dyDescent="0.25">
      <c r="D148" s="192" t="str" cm="1">
        <f t="array" ref="D148">Common_InputFunctions.Utility_DisplayArrayInTable(Fertiliser_SourceData.Fertiliser_Products_Data2(), FertiliserProducts[[#Headers],[Company]],31)</f>
        <v>Yara Australia</v>
      </c>
      <c r="E148" s="192" t="str" cm="1">
        <f t="array" ref="E148">Common_InputFunctions.Utility_DisplayArrayInTable(Fertiliser_SourceData.Fertiliser_Products_Data2(), FertiliserProducts[[#Headers],[Company]],31)</f>
        <v>YaraTera KRISTALON RED</v>
      </c>
      <c r="F148" s="192" t="str" cm="1">
        <f t="array" ref="F148">Common_InputFunctions.Utility_DisplayArrayInTable(Fertiliser_SourceData.Fertiliser_Products_Data2(), FertiliserProducts[[#Headers],[Company]],31)</f>
        <v>kg</v>
      </c>
      <c r="G148" s="192" cm="1">
        <f t="array" ref="G148">Common_InputFunctions.Utility_DisplayArrayInTable(Fertiliser_SourceData.Fertiliser_Products_Data2(), FertiliserProducts[[#Headers],[Company]],31)</f>
        <v>1</v>
      </c>
      <c r="H148" s="192" t="str" cm="1">
        <f t="array" ref="H148">Common_InputFunctions.Utility_DisplayArrayInTable(Fertiliser_SourceData.Fertiliser_Products_Data2(), FertiliserProducts[[#Headers],[Company]],31)</f>
        <v/>
      </c>
      <c r="I148" s="192" t="str" cm="1">
        <f t="array" ref="I148">Common_InputFunctions.Utility_DisplayArrayInTable(Fertiliser_SourceData.Fertiliser_Products_Data2(), FertiliserProducts[[#Headers],[Company]],31)</f>
        <v/>
      </c>
      <c r="J148" s="192" t="str" cm="1">
        <f t="array" ref="J148">Common_InputFunctions.Utility_DisplayArrayInTable(Fertiliser_SourceData.Fertiliser_Products_Data2(), FertiliserProducts[[#Headers],[Company]],31)</f>
        <v/>
      </c>
      <c r="K148" s="192" cm="1">
        <f t="array" ref="K148">Common_InputFunctions.Utility_DisplayArrayInTable(Fertiliser_SourceData.Fertiliser_Products_Data2(), FertiliserProducts[[#Headers],[Company]],31)</f>
        <v>12</v>
      </c>
      <c r="L148" s="192" cm="1">
        <f t="array" ref="L148">Common_InputFunctions.Utility_DisplayArrayInTable(Fertiliser_SourceData.Fertiliser_Products_Data2(), FertiliserProducts[[#Headers],[Company]],31)</f>
        <v>5.2</v>
      </c>
      <c r="M148" s="192" cm="1">
        <f t="array" ref="M148">Common_InputFunctions.Utility_DisplayArrayInTable(Fertiliser_SourceData.Fertiliser_Products_Data2(), FertiliserProducts[[#Headers],[Company]],31)</f>
        <v>29.9</v>
      </c>
      <c r="N148" s="192" cm="1">
        <f t="array" ref="N148">Common_InputFunctions.Utility_DisplayArrayInTable(Fertiliser_SourceData.Fertiliser_Products_Data2(), FertiliserProducts[[#Headers],[Company]],31)</f>
        <v>1</v>
      </c>
      <c r="O148" s="192" t="str" cm="1">
        <f t="array" ref="O148">Common_InputFunctions.Utility_DisplayArrayInTable(Fertiliser_SourceData.Fertiliser_Products_Data2(), FertiliserProducts[[#Headers],[Company]],31)</f>
        <v>Potassium - Generic</v>
      </c>
      <c r="P148" s="192" cm="1">
        <f t="array" ref="P148">Common_InputFunctions.Utility_DisplayArrayInTable(Fertiliser_SourceData.Fertiliser_Products_Data2(), FertiliserProducts[[#Headers],[Company]],31)</f>
        <v>0.29899999999999999</v>
      </c>
      <c r="Q148" s="192" t="str" cm="1">
        <f t="array" ref="Q148">Common_InputFunctions.Utility_DisplayArrayInTable(Fertiliser_SourceData.Fertiliser_Products_Data2(), FertiliserProducts[[#Headers],[Company]],31)</f>
        <v>Nitrogen - Nitrate</v>
      </c>
      <c r="R148" s="192" cm="1">
        <f t="array" ref="R148">Common_InputFunctions.Utility_DisplayArrayInTable(Fertiliser_SourceData.Fertiliser_Products_Data2(), FertiliserProducts[[#Headers],[Company]],31)</f>
        <v>0.10100000000000001</v>
      </c>
      <c r="S148" s="192" t="str" cm="1">
        <f t="array" ref="S148">Common_InputFunctions.Utility_DisplayArrayInTable(Fertiliser_SourceData.Fertiliser_Products_Data2(), FertiliserProducts[[#Headers],[Company]],31)</f>
        <v>Phosphorus - Generic</v>
      </c>
      <c r="T148" s="192" cm="1">
        <f t="array" ref="T148">Common_InputFunctions.Utility_DisplayArrayInTable(Fertiliser_SourceData.Fertiliser_Products_Data2(), FertiliserProducts[[#Headers],[Company]],31)</f>
        <v>5.1999999999999998E-2</v>
      </c>
      <c r="U148" s="192" t="str" cm="1">
        <f t="array" ref="U148">Common_InputFunctions.Utility_DisplayArrayInTable(Fertiliser_SourceData.Fertiliser_Products_Data2(), FertiliserProducts[[#Headers],[Company]],31)</f>
        <v>Nitrogen - Ammoniacal</v>
      </c>
      <c r="V148" s="192" cm="1">
        <f t="array" ref="V148">Common_InputFunctions.Utility_DisplayArrayInTable(Fertiliser_SourceData.Fertiliser_Products_Data2(), FertiliserProducts[[#Headers],[Company]],31)</f>
        <v>1.9E-2</v>
      </c>
      <c r="W148" s="192" t="str" cm="1">
        <f t="array" ref="W148">Common_InputFunctions.Utility_DisplayArrayInTable(Fertiliser_SourceData.Fertiliser_Products_Data2(), FertiliserProducts[[#Headers],[Company]],31)</f>
        <v>Sulfur - Generic</v>
      </c>
      <c r="X148" s="192" cm="1">
        <f t="array" ref="X148">Common_InputFunctions.Utility_DisplayArrayInTable(Fertiliser_SourceData.Fertiliser_Products_Data2(), FertiliserProducts[[#Headers],[Company]],31)</f>
        <v>0.01</v>
      </c>
      <c r="Y148" s="192" t="str" cm="1">
        <f t="array" ref="Y148">Common_InputFunctions.Utility_DisplayArrayInTable(Fertiliser_SourceData.Fertiliser_Products_Data2(), FertiliserProducts[[#Headers],[Company]],31)</f>
        <v>Magnesium</v>
      </c>
      <c r="Z148" s="192" cm="1">
        <f t="array" ref="Z148">Common_InputFunctions.Utility_DisplayArrayInTable(Fertiliser_SourceData.Fertiliser_Products_Data2(), FertiliserProducts[[#Headers],[Company]],31)</f>
        <v>6.0000000000000001E-3</v>
      </c>
      <c r="AA148" s="192" t="str" cm="1">
        <f t="array" ref="AA148">Common_InputFunctions.Utility_DisplayArrayInTable(Fertiliser_SourceData.Fertiliser_Products_Data2(), FertiliserProducts[[#Headers],[Company]],31)</f>
        <v>Iron</v>
      </c>
      <c r="AB148" s="192" cm="1">
        <f t="array" ref="AB148">Common_InputFunctions.Utility_DisplayArrayInTable(Fertiliser_SourceData.Fertiliser_Products_Data2(), FertiliserProducts[[#Headers],[Company]],31)</f>
        <v>6.9999999999999999E-4</v>
      </c>
      <c r="AC148" s="192" t="str" cm="1">
        <f t="array" ref="AC148">Common_InputFunctions.Utility_DisplayArrayInTable(Fertiliser_SourceData.Fertiliser_Products_Data2(), FertiliserProducts[[#Headers],[Company]],31)</f>
        <v>Manganese</v>
      </c>
      <c r="AD148" s="192" cm="1">
        <f t="array" ref="AD148">Common_InputFunctions.Utility_DisplayArrayInTable(Fertiliser_SourceData.Fertiliser_Products_Data2(), FertiliserProducts[[#Headers],[Company]],31)</f>
        <v>4.0000000000000002E-4</v>
      </c>
      <c r="AE148" s="192" t="str" cm="1">
        <f t="array" ref="AE148">Common_InputFunctions.Utility_DisplayArrayInTable(Fertiliser_SourceData.Fertiliser_Products_Data2(), FertiliserProducts[[#Headers],[Company]],31)</f>
        <v>Zinc</v>
      </c>
      <c r="AF148" s="192" cm="1">
        <f t="array" ref="AF148">Common_InputFunctions.Utility_DisplayArrayInTable(Fertiliser_SourceData.Fertiliser_Products_Data2(), FertiliserProducts[[#Headers],[Company]],31)</f>
        <v>2.5000000000000001E-4</v>
      </c>
      <c r="AG148" s="192" t="str" cm="1">
        <f t="array" ref="AG148">Common_InputFunctions.Utility_DisplayArrayInTable(Fertiliser_SourceData.Fertiliser_Products_Data2(), FertiliserProducts[[#Headers],[Company]],31)</f>
        <v>Boron</v>
      </c>
      <c r="AH148" s="192" cm="1">
        <f t="array" ref="AH148">Common_InputFunctions.Utility_DisplayArrayInTable(Fertiliser_SourceData.Fertiliser_Products_Data2(), FertiliserProducts[[#Headers],[Company]],31)</f>
        <v>2.5000000000000001E-4</v>
      </c>
      <c r="AK148" s="1"/>
      <c r="AL148" s="1"/>
      <c r="AM148" s="1"/>
    </row>
    <row r="149" spans="4:39" ht="20.100000000000001" customHeight="1" x14ac:dyDescent="0.25">
      <c r="D149" s="192" t="str" cm="1">
        <f t="array" ref="D149">Common_InputFunctions.Utility_DisplayArrayInTable(Fertiliser_SourceData.Fertiliser_Products_Data2(), FertiliserProducts[[#Headers],[Company]],31)</f>
        <v>Yara Australia</v>
      </c>
      <c r="E149" s="192" t="str" cm="1">
        <f t="array" ref="E149">Common_InputFunctions.Utility_DisplayArrayInTable(Fertiliser_SourceData.Fertiliser_Products_Data2(), FertiliserProducts[[#Headers],[Company]],31)</f>
        <v>YaraTera KRISTALON SPECIAL</v>
      </c>
      <c r="F149" s="192" t="str" cm="1">
        <f t="array" ref="F149">Common_InputFunctions.Utility_DisplayArrayInTable(Fertiliser_SourceData.Fertiliser_Products_Data2(), FertiliserProducts[[#Headers],[Company]],31)</f>
        <v>kg</v>
      </c>
      <c r="G149" s="192" cm="1">
        <f t="array" ref="G149">Common_InputFunctions.Utility_DisplayArrayInTable(Fertiliser_SourceData.Fertiliser_Products_Data2(), FertiliserProducts[[#Headers],[Company]],31)</f>
        <v>1</v>
      </c>
      <c r="H149" s="192" t="str" cm="1">
        <f t="array" ref="H149">Common_InputFunctions.Utility_DisplayArrayInTable(Fertiliser_SourceData.Fertiliser_Products_Data2(), FertiliserProducts[[#Headers],[Company]],31)</f>
        <v/>
      </c>
      <c r="I149" s="192" t="str" cm="1">
        <f t="array" ref="I149">Common_InputFunctions.Utility_DisplayArrayInTable(Fertiliser_SourceData.Fertiliser_Products_Data2(), FertiliserProducts[[#Headers],[Company]],31)</f>
        <v/>
      </c>
      <c r="J149" s="192" t="str" cm="1">
        <f t="array" ref="J149">Common_InputFunctions.Utility_DisplayArrayInTable(Fertiliser_SourceData.Fertiliser_Products_Data2(), FertiliserProducts[[#Headers],[Company]],31)</f>
        <v/>
      </c>
      <c r="K149" s="192" cm="1">
        <f t="array" ref="K149">Common_InputFunctions.Utility_DisplayArrayInTable(Fertiliser_SourceData.Fertiliser_Products_Data2(), FertiliserProducts[[#Headers],[Company]],31)</f>
        <v>18</v>
      </c>
      <c r="L149" s="192" cm="1">
        <f t="array" ref="L149">Common_InputFunctions.Utility_DisplayArrayInTable(Fertiliser_SourceData.Fertiliser_Products_Data2(), FertiliserProducts[[#Headers],[Company]],31)</f>
        <v>7.9</v>
      </c>
      <c r="M149" s="192" cm="1">
        <f t="array" ref="M149">Common_InputFunctions.Utility_DisplayArrayInTable(Fertiliser_SourceData.Fertiliser_Products_Data2(), FertiliserProducts[[#Headers],[Company]],31)</f>
        <v>14.9</v>
      </c>
      <c r="N149" s="192" cm="1">
        <f t="array" ref="N149">Common_InputFunctions.Utility_DisplayArrayInTable(Fertiliser_SourceData.Fertiliser_Products_Data2(), FertiliserProducts[[#Headers],[Company]],31)</f>
        <v>2</v>
      </c>
      <c r="O149" s="192" t="str" cm="1">
        <f t="array" ref="O149">Common_InputFunctions.Utility_DisplayArrayInTable(Fertiliser_SourceData.Fertiliser_Products_Data2(), FertiliserProducts[[#Headers],[Company]],31)</f>
        <v>Potassium - Generic</v>
      </c>
      <c r="P149" s="192" cm="1">
        <f t="array" ref="P149">Common_InputFunctions.Utility_DisplayArrayInTable(Fertiliser_SourceData.Fertiliser_Products_Data2(), FertiliserProducts[[#Headers],[Company]],31)</f>
        <v>0.14899999999999999</v>
      </c>
      <c r="Q149" s="192" t="str" cm="1">
        <f t="array" ref="Q149">Common_InputFunctions.Utility_DisplayArrayInTable(Fertiliser_SourceData.Fertiliser_Products_Data2(), FertiliserProducts[[#Headers],[Company]],31)</f>
        <v>Urea</v>
      </c>
      <c r="R149" s="192" cm="1">
        <f t="array" ref="R149">Common_InputFunctions.Utility_DisplayArrayInTable(Fertiliser_SourceData.Fertiliser_Products_Data2(), FertiliserProducts[[#Headers],[Company]],31)</f>
        <v>0.21304300000000001</v>
      </c>
      <c r="S149" s="192" t="str" cm="1">
        <f t="array" ref="S149">Common_InputFunctions.Utility_DisplayArrayInTable(Fertiliser_SourceData.Fertiliser_Products_Data2(), FertiliserProducts[[#Headers],[Company]],31)</f>
        <v>Phosphorus - Generic</v>
      </c>
      <c r="T149" s="192" cm="1">
        <f t="array" ref="T149">Common_InputFunctions.Utility_DisplayArrayInTable(Fertiliser_SourceData.Fertiliser_Products_Data2(), FertiliserProducts[[#Headers],[Company]],31)</f>
        <v>7.9000000000000001E-2</v>
      </c>
      <c r="U149" s="192" t="str" cm="1">
        <f t="array" ref="U149">Common_InputFunctions.Utility_DisplayArrayInTable(Fertiliser_SourceData.Fertiliser_Products_Data2(), FertiliserProducts[[#Headers],[Company]],31)</f>
        <v>Nitrogen - Nitrate</v>
      </c>
      <c r="V149" s="192" cm="1">
        <f t="array" ref="V149">Common_InputFunctions.Utility_DisplayArrayInTable(Fertiliser_SourceData.Fertiliser_Products_Data2(), FertiliserProducts[[#Headers],[Company]],31)</f>
        <v>4.9000000000000002E-2</v>
      </c>
      <c r="W149" s="192" t="str" cm="1">
        <f t="array" ref="W149">Common_InputFunctions.Utility_DisplayArrayInTable(Fertiliser_SourceData.Fertiliser_Products_Data2(), FertiliserProducts[[#Headers],[Company]],31)</f>
        <v>Nitrogen - Ammoniacal</v>
      </c>
      <c r="X149" s="192" cm="1">
        <f t="array" ref="X149">Common_InputFunctions.Utility_DisplayArrayInTable(Fertiliser_SourceData.Fertiliser_Products_Data2(), FertiliserProducts[[#Headers],[Company]],31)</f>
        <v>3.3000000000000002E-2</v>
      </c>
      <c r="Y149" s="192" t="str" cm="1">
        <f t="array" ref="Y149">Common_InputFunctions.Utility_DisplayArrayInTable(Fertiliser_SourceData.Fertiliser_Products_Data2(), FertiliserProducts[[#Headers],[Company]],31)</f>
        <v>Sulfur - Generic</v>
      </c>
      <c r="Z149" s="192" cm="1">
        <f t="array" ref="Z149">Common_InputFunctions.Utility_DisplayArrayInTable(Fertiliser_SourceData.Fertiliser_Products_Data2(), FertiliserProducts[[#Headers],[Company]],31)</f>
        <v>0.02</v>
      </c>
      <c r="AA149" s="192" t="str" cm="1">
        <f t="array" ref="AA149">Common_InputFunctions.Utility_DisplayArrayInTable(Fertiliser_SourceData.Fertiliser_Products_Data2(), FertiliserProducts[[#Headers],[Company]],31)</f>
        <v>Magnesium</v>
      </c>
      <c r="AB149" s="192" cm="1">
        <f t="array" ref="AB149">Common_InputFunctions.Utility_DisplayArrayInTable(Fertiliser_SourceData.Fertiliser_Products_Data2(), FertiliserProducts[[#Headers],[Company]],31)</f>
        <v>1.7999999999999999E-2</v>
      </c>
      <c r="AC149" s="192" t="str" cm="1">
        <f t="array" ref="AC149">Common_InputFunctions.Utility_DisplayArrayInTable(Fertiliser_SourceData.Fertiliser_Products_Data2(), FertiliserProducts[[#Headers],[Company]],31)</f>
        <v>Iron</v>
      </c>
      <c r="AD149" s="192" cm="1">
        <f t="array" ref="AD149">Common_InputFunctions.Utility_DisplayArrayInTable(Fertiliser_SourceData.Fertiliser_Products_Data2(), FertiliserProducts[[#Headers],[Company]],31)</f>
        <v>6.9999999999999999E-4</v>
      </c>
      <c r="AE149" s="192" t="str" cm="1">
        <f t="array" ref="AE149">Common_InputFunctions.Utility_DisplayArrayInTable(Fertiliser_SourceData.Fertiliser_Products_Data2(), FertiliserProducts[[#Headers],[Company]],31)</f>
        <v>Manganese</v>
      </c>
      <c r="AF149" s="192" cm="1">
        <f t="array" ref="AF149">Common_InputFunctions.Utility_DisplayArrayInTable(Fertiliser_SourceData.Fertiliser_Products_Data2(), FertiliserProducts[[#Headers],[Company]],31)</f>
        <v>4.0000000000000002E-4</v>
      </c>
      <c r="AG149" s="192" t="str" cm="1">
        <f t="array" ref="AG149">Common_InputFunctions.Utility_DisplayArrayInTable(Fertiliser_SourceData.Fertiliser_Products_Data2(), FertiliserProducts[[#Headers],[Company]],31)</f>
        <v>Zinc</v>
      </c>
      <c r="AH149" s="192" cm="1">
        <f t="array" ref="AH149">Common_InputFunctions.Utility_DisplayArrayInTable(Fertiliser_SourceData.Fertiliser_Products_Data2(), FertiliserProducts[[#Headers],[Company]],31)</f>
        <v>2.5000000000000001E-4</v>
      </c>
      <c r="AK149" s="1"/>
      <c r="AL149" s="1"/>
      <c r="AM149" s="1"/>
    </row>
    <row r="150" spans="4:39" ht="20.100000000000001" customHeight="1" x14ac:dyDescent="0.25">
      <c r="D150" s="192" t="str" cm="1">
        <f t="array" ref="D150">Common_InputFunctions.Utility_DisplayArrayInTable(Fertiliser_SourceData.Fertiliser_Products_Data3(), FertiliserProducts[[#Headers],[Company]],61)</f>
        <v>Yara Australia</v>
      </c>
      <c r="E150" s="192" t="str" cm="1">
        <f t="array" ref="E150">Common_InputFunctions.Utility_DisplayArrayInTable(Fertiliser_SourceData.Fertiliser_Products_Data3(), FertiliserProducts[[#Headers],[Company]],61)</f>
        <v>YaraMila 21-7-3(4)</v>
      </c>
      <c r="F150" s="192" t="str" cm="1">
        <f t="array" ref="F150">Common_InputFunctions.Utility_DisplayArrayInTable(Fertiliser_SourceData.Fertiliser_Products_Data3(), FertiliserProducts[[#Headers],[Company]],61)</f>
        <v>kg</v>
      </c>
      <c r="G150" s="192" cm="1">
        <f t="array" ref="G150">Common_InputFunctions.Utility_DisplayArrayInTable(Fertiliser_SourceData.Fertiliser_Products_Data3(), FertiliserProducts[[#Headers],[Company]],61)</f>
        <v>1</v>
      </c>
      <c r="H150" s="192" t="str" cm="1">
        <f t="array" ref="H150">Common_InputFunctions.Utility_DisplayArrayInTable(Fertiliser_SourceData.Fertiliser_Products_Data3(), FertiliserProducts[[#Headers],[Company]],61)</f>
        <v/>
      </c>
      <c r="I150" s="192" t="str" cm="1">
        <f t="array" ref="I150">Common_InputFunctions.Utility_DisplayArrayInTable(Fertiliser_SourceData.Fertiliser_Products_Data3(), FertiliserProducts[[#Headers],[Company]],61)</f>
        <v/>
      </c>
      <c r="J150" s="192" t="str" cm="1">
        <f t="array" ref="J150">Common_InputFunctions.Utility_DisplayArrayInTable(Fertiliser_SourceData.Fertiliser_Products_Data3(), FertiliserProducts[[#Headers],[Company]],61)</f>
        <v/>
      </c>
      <c r="K150" s="192" cm="1">
        <f t="array" ref="K150">Common_InputFunctions.Utility_DisplayArrayInTable(Fertiliser_SourceData.Fertiliser_Products_Data3(), FertiliserProducts[[#Headers],[Company]],61)</f>
        <v>21</v>
      </c>
      <c r="L150" s="192" cm="1">
        <f t="array" ref="L150">Common_InputFunctions.Utility_DisplayArrayInTable(Fertiliser_SourceData.Fertiliser_Products_Data3(), FertiliserProducts[[#Headers],[Company]],61)</f>
        <v>7.4</v>
      </c>
      <c r="M150" s="192" cm="1">
        <f t="array" ref="M150">Common_InputFunctions.Utility_DisplayArrayInTable(Fertiliser_SourceData.Fertiliser_Products_Data3(), FertiliserProducts[[#Headers],[Company]],61)</f>
        <v>2.5</v>
      </c>
      <c r="N150" s="192" cm="1">
        <f t="array" ref="N150">Common_InputFunctions.Utility_DisplayArrayInTable(Fertiliser_SourceData.Fertiliser_Products_Data3(), FertiliserProducts[[#Headers],[Company]],61)</f>
        <v>4</v>
      </c>
      <c r="O150" s="192" t="str" cm="1">
        <f t="array" ref="O150">Common_InputFunctions.Utility_DisplayArrayInTable(Fertiliser_SourceData.Fertiliser_Products_Data3(), FertiliserProducts[[#Headers],[Company]],61)</f>
        <v>Nitrogen - Nitrate</v>
      </c>
      <c r="P150" s="192" cm="1">
        <f t="array" ref="P150">Common_InputFunctions.Utility_DisplayArrayInTable(Fertiliser_SourceData.Fertiliser_Products_Data3(), FertiliserProducts[[#Headers],[Company]],61)</f>
        <v>0.105</v>
      </c>
      <c r="Q150" s="192" t="str" cm="1">
        <f t="array" ref="Q150">Common_InputFunctions.Utility_DisplayArrayInTable(Fertiliser_SourceData.Fertiliser_Products_Data3(), FertiliserProducts[[#Headers],[Company]],61)</f>
        <v>Nitrogen - Ammoniacal</v>
      </c>
      <c r="R150" s="192" cm="1">
        <f t="array" ref="R150">Common_InputFunctions.Utility_DisplayArrayInTable(Fertiliser_SourceData.Fertiliser_Products_Data3(), FertiliserProducts[[#Headers],[Company]],61)</f>
        <v>0.105</v>
      </c>
      <c r="S150" s="192" t="str" cm="1">
        <f t="array" ref="S150">Common_InputFunctions.Utility_DisplayArrayInTable(Fertiliser_SourceData.Fertiliser_Products_Data3(), FertiliserProducts[[#Headers],[Company]],61)</f>
        <v>Phosphorus - Generic</v>
      </c>
      <c r="T150" s="192" cm="1">
        <f t="array" ref="T150">Common_InputFunctions.Utility_DisplayArrayInTable(Fertiliser_SourceData.Fertiliser_Products_Data3(), FertiliserProducts[[#Headers],[Company]],61)</f>
        <v>7.3999999999999996E-2</v>
      </c>
      <c r="U150" s="192" t="str" cm="1">
        <f t="array" ref="U150">Common_InputFunctions.Utility_DisplayArrayInTable(Fertiliser_SourceData.Fertiliser_Products_Data3(), FertiliserProducts[[#Headers],[Company]],61)</f>
        <v>Sulfur - Generic</v>
      </c>
      <c r="V150" s="192" cm="1">
        <f t="array" ref="V150">Common_InputFunctions.Utility_DisplayArrayInTable(Fertiliser_SourceData.Fertiliser_Products_Data3(), FertiliserProducts[[#Headers],[Company]],61)</f>
        <v>0.04</v>
      </c>
      <c r="W150" s="192" t="str" cm="1">
        <f t="array" ref="W150">Common_InputFunctions.Utility_DisplayArrayInTable(Fertiliser_SourceData.Fertiliser_Products_Data3(), FertiliserProducts[[#Headers],[Company]],61)</f>
        <v>Potassium - Generic</v>
      </c>
      <c r="X150" s="192" cm="1">
        <f t="array" ref="X150">Common_InputFunctions.Utility_DisplayArrayInTable(Fertiliser_SourceData.Fertiliser_Products_Data3(), FertiliserProducts[[#Headers],[Company]],61)</f>
        <v>2.5000000000000001E-2</v>
      </c>
      <c r="Y150" s="192" t="str" cm="1">
        <f t="array" ref="Y150">Common_InputFunctions.Utility_DisplayArrayInTable(Fertiliser_SourceData.Fertiliser_Products_Data3(), FertiliserProducts[[#Headers],[Company]],61)</f>
        <v>Magnesium</v>
      </c>
      <c r="Z150" s="192" cm="1">
        <f t="array" ref="Z150">Common_InputFunctions.Utility_DisplayArrayInTable(Fertiliser_SourceData.Fertiliser_Products_Data3(), FertiliserProducts[[#Headers],[Company]],61)</f>
        <v>4.0000000000000001E-3</v>
      </c>
      <c r="AA150" s="192" t="str" cm="1">
        <f t="array" ref="AA150">Common_InputFunctions.Utility_DisplayArrayInTable(Fertiliser_SourceData.Fertiliser_Products_Data3(), FertiliserProducts[[#Headers],[Company]],61)</f>
        <v>Zinc</v>
      </c>
      <c r="AB150" s="192" cm="1">
        <f t="array" ref="AB150">Common_InputFunctions.Utility_DisplayArrayInTable(Fertiliser_SourceData.Fertiliser_Products_Data3(), FertiliserProducts[[#Headers],[Company]],61)</f>
        <v>1.5E-3</v>
      </c>
      <c r="AC150" s="192" t="str" cm="1">
        <f t="array" ref="AC150">Common_InputFunctions.Utility_DisplayArrayInTable(Fertiliser_SourceData.Fertiliser_Products_Data3(), FertiliserProducts[[#Headers],[Company]],61)</f>
        <v/>
      </c>
      <c r="AD150" s="192" t="str" cm="1">
        <f t="array" ref="AD150">Common_InputFunctions.Utility_DisplayArrayInTable(Fertiliser_SourceData.Fertiliser_Products_Data3(), FertiliserProducts[[#Headers],[Company]],61)</f>
        <v/>
      </c>
      <c r="AE150" s="192" t="str" cm="1">
        <f t="array" ref="AE150">Common_InputFunctions.Utility_DisplayArrayInTable(Fertiliser_SourceData.Fertiliser_Products_Data3(), FertiliserProducts[[#Headers],[Company]],61)</f>
        <v/>
      </c>
      <c r="AF150" s="192" t="str" cm="1">
        <f t="array" ref="AF150">Common_InputFunctions.Utility_DisplayArrayInTable(Fertiliser_SourceData.Fertiliser_Products_Data3(), FertiliserProducts[[#Headers],[Company]],61)</f>
        <v/>
      </c>
      <c r="AG150" s="192" t="str" cm="1">
        <f t="array" ref="AG150">Common_InputFunctions.Utility_DisplayArrayInTable(Fertiliser_SourceData.Fertiliser_Products_Data3(), FertiliserProducts[[#Headers],[Company]],61)</f>
        <v/>
      </c>
      <c r="AH150" s="192" t="str" cm="1">
        <f t="array" ref="AH150">Common_InputFunctions.Utility_DisplayArrayInTable(Fertiliser_SourceData.Fertiliser_Products_Data3(), FertiliserProducts[[#Headers],[Company]],61)</f>
        <v/>
      </c>
      <c r="AK150" s="1"/>
      <c r="AL150" s="1"/>
      <c r="AM150" s="1"/>
    </row>
    <row r="151" spans="4:39" ht="20.100000000000001" customHeight="1" x14ac:dyDescent="0.25">
      <c r="D151" s="192" t="str" cm="1">
        <f t="array" ref="D151">Common_InputFunctions.Utility_DisplayArrayInTable(Fertiliser_SourceData.Fertiliser_Products_Data3(), FertiliserProducts[[#Headers],[Company]],61)</f>
        <v>Yara Australia</v>
      </c>
      <c r="E151" s="192" t="str" cm="1">
        <f t="array" ref="E151">Common_InputFunctions.Utility_DisplayArrayInTable(Fertiliser_SourceData.Fertiliser_Products_Data3(), FertiliserProducts[[#Headers],[Company]],61)</f>
        <v>YaraTera KRISTALON SCARLET</v>
      </c>
      <c r="F151" s="192" t="str" cm="1">
        <f t="array" ref="F151">Common_InputFunctions.Utility_DisplayArrayInTable(Fertiliser_SourceData.Fertiliser_Products_Data3(), FertiliserProducts[[#Headers],[Company]],61)</f>
        <v>kg</v>
      </c>
      <c r="G151" s="192" cm="1">
        <f t="array" ref="G151">Common_InputFunctions.Utility_DisplayArrayInTable(Fertiliser_SourceData.Fertiliser_Products_Data3(), FertiliserProducts[[#Headers],[Company]],61)</f>
        <v>1</v>
      </c>
      <c r="H151" s="192" t="str" cm="1">
        <f t="array" ref="H151">Common_InputFunctions.Utility_DisplayArrayInTable(Fertiliser_SourceData.Fertiliser_Products_Data3(), FertiliserProducts[[#Headers],[Company]],61)</f>
        <v/>
      </c>
      <c r="I151" s="192" t="str" cm="1">
        <f t="array" ref="I151">Common_InputFunctions.Utility_DisplayArrayInTable(Fertiliser_SourceData.Fertiliser_Products_Data3(), FertiliserProducts[[#Headers],[Company]],61)</f>
        <v/>
      </c>
      <c r="J151" s="192" t="str" cm="1">
        <f t="array" ref="J151">Common_InputFunctions.Utility_DisplayArrayInTable(Fertiliser_SourceData.Fertiliser_Products_Data3(), FertiliserProducts[[#Headers],[Company]],61)</f>
        <v/>
      </c>
      <c r="K151" s="192" cm="1">
        <f t="array" ref="K151">Common_InputFunctions.Utility_DisplayArrayInTable(Fertiliser_SourceData.Fertiliser_Products_Data3(), FertiliserProducts[[#Headers],[Company]],61)</f>
        <v>7.5</v>
      </c>
      <c r="L151" s="192" t="str" cm="1">
        <f t="array" ref="L151">Common_InputFunctions.Utility_DisplayArrayInTable(Fertiliser_SourceData.Fertiliser_Products_Data3(), FertiliserProducts[[#Headers],[Company]],61)</f>
        <v/>
      </c>
      <c r="M151" s="192" cm="1">
        <f t="array" ref="M151">Common_InputFunctions.Utility_DisplayArrayInTable(Fertiliser_SourceData.Fertiliser_Products_Data3(), FertiliserProducts[[#Headers],[Company]],61)</f>
        <v>29.9</v>
      </c>
      <c r="N151" s="192" cm="1">
        <f t="array" ref="N151">Common_InputFunctions.Utility_DisplayArrayInTable(Fertiliser_SourceData.Fertiliser_Products_Data3(), FertiliserProducts[[#Headers],[Company]],61)</f>
        <v>4</v>
      </c>
      <c r="O151" s="192" t="str" cm="1">
        <f t="array" ref="O151">Common_InputFunctions.Utility_DisplayArrayInTable(Fertiliser_SourceData.Fertiliser_Products_Data3(), FertiliserProducts[[#Headers],[Company]],61)</f>
        <v>Potassium - Generic</v>
      </c>
      <c r="P151" s="192" cm="1">
        <f t="array" ref="P151">Common_InputFunctions.Utility_DisplayArrayInTable(Fertiliser_SourceData.Fertiliser_Products_Data3(), FertiliserProducts[[#Headers],[Company]],61)</f>
        <v>0.29899999999999999</v>
      </c>
      <c r="Q151" s="192" t="str" cm="1">
        <f t="array" ref="Q151">Common_InputFunctions.Utility_DisplayArrayInTable(Fertiliser_SourceData.Fertiliser_Products_Data3(), FertiliserProducts[[#Headers],[Company]],61)</f>
        <v>Nitrogen - Nitrate</v>
      </c>
      <c r="R151" s="192" cm="1">
        <f t="array" ref="R151">Common_InputFunctions.Utility_DisplayArrayInTable(Fertiliser_SourceData.Fertiliser_Products_Data3(), FertiliserProducts[[#Headers],[Company]],61)</f>
        <v>5.1999999999999998E-2</v>
      </c>
      <c r="S151" s="192" t="str" cm="1">
        <f t="array" ref="S151">Common_InputFunctions.Utility_DisplayArrayInTable(Fertiliser_SourceData.Fertiliser_Products_Data3(), FertiliserProducts[[#Headers],[Company]],61)</f>
        <v>Sulfur - Generic</v>
      </c>
      <c r="T151" s="192" cm="1">
        <f t="array" ref="T151">Common_InputFunctions.Utility_DisplayArrayInTable(Fertiliser_SourceData.Fertiliser_Products_Data3(), FertiliserProducts[[#Headers],[Company]],61)</f>
        <v>0.04</v>
      </c>
      <c r="U151" s="192" t="str" cm="1">
        <f t="array" ref="U151">Common_InputFunctions.Utility_DisplayArrayInTable(Fertiliser_SourceData.Fertiliser_Products_Data3(), FertiliserProducts[[#Headers],[Company]],61)</f>
        <v>Magnesium</v>
      </c>
      <c r="V151" s="192" cm="1">
        <f t="array" ref="V151">Common_InputFunctions.Utility_DisplayArrayInTable(Fertiliser_SourceData.Fertiliser_Products_Data3(), FertiliserProducts[[#Headers],[Company]],61)</f>
        <v>2.7E-2</v>
      </c>
      <c r="W151" s="192" t="str" cm="1">
        <f t="array" ref="W151">Common_InputFunctions.Utility_DisplayArrayInTable(Fertiliser_SourceData.Fertiliser_Products_Data3(), FertiliserProducts[[#Headers],[Company]],61)</f>
        <v>Nitrogen - Ammoniacal</v>
      </c>
      <c r="X151" s="192" cm="1">
        <f t="array" ref="X151">Common_InputFunctions.Utility_DisplayArrayInTable(Fertiliser_SourceData.Fertiliser_Products_Data3(), FertiliserProducts[[#Headers],[Company]],61)</f>
        <v>2.3E-2</v>
      </c>
      <c r="Y151" s="192" t="str" cm="1">
        <f t="array" ref="Y151">Common_InputFunctions.Utility_DisplayArrayInTable(Fertiliser_SourceData.Fertiliser_Products_Data3(), FertiliserProducts[[#Headers],[Company]],61)</f>
        <v/>
      </c>
      <c r="Z151" s="192" t="str" cm="1">
        <f t="array" ref="Z151">Common_InputFunctions.Utility_DisplayArrayInTable(Fertiliser_SourceData.Fertiliser_Products_Data3(), FertiliserProducts[[#Headers],[Company]],61)</f>
        <v/>
      </c>
      <c r="AA151" s="192" t="str" cm="1">
        <f t="array" ref="AA151">Common_InputFunctions.Utility_DisplayArrayInTable(Fertiliser_SourceData.Fertiliser_Products_Data3(), FertiliserProducts[[#Headers],[Company]],61)</f>
        <v/>
      </c>
      <c r="AB151" s="192" t="str" cm="1">
        <f t="array" ref="AB151">Common_InputFunctions.Utility_DisplayArrayInTable(Fertiliser_SourceData.Fertiliser_Products_Data3(), FertiliserProducts[[#Headers],[Company]],61)</f>
        <v/>
      </c>
      <c r="AC151" s="192" t="str" cm="1">
        <f t="array" ref="AC151">Common_InputFunctions.Utility_DisplayArrayInTable(Fertiliser_SourceData.Fertiliser_Products_Data3(), FertiliserProducts[[#Headers],[Company]],61)</f>
        <v/>
      </c>
      <c r="AD151" s="192" t="str" cm="1">
        <f t="array" ref="AD151">Common_InputFunctions.Utility_DisplayArrayInTable(Fertiliser_SourceData.Fertiliser_Products_Data3(), FertiliserProducts[[#Headers],[Company]],61)</f>
        <v/>
      </c>
      <c r="AE151" s="192" t="str" cm="1">
        <f t="array" ref="AE151">Common_InputFunctions.Utility_DisplayArrayInTable(Fertiliser_SourceData.Fertiliser_Products_Data3(), FertiliserProducts[[#Headers],[Company]],61)</f>
        <v/>
      </c>
      <c r="AF151" s="192" t="str" cm="1">
        <f t="array" ref="AF151">Common_InputFunctions.Utility_DisplayArrayInTable(Fertiliser_SourceData.Fertiliser_Products_Data3(), FertiliserProducts[[#Headers],[Company]],61)</f>
        <v/>
      </c>
      <c r="AG151" s="192" t="str" cm="1">
        <f t="array" ref="AG151">Common_InputFunctions.Utility_DisplayArrayInTable(Fertiliser_SourceData.Fertiliser_Products_Data3(), FertiliserProducts[[#Headers],[Company]],61)</f>
        <v/>
      </c>
      <c r="AH151" s="192" t="str" cm="1">
        <f t="array" ref="AH151">Common_InputFunctions.Utility_DisplayArrayInTable(Fertiliser_SourceData.Fertiliser_Products_Data3(), FertiliserProducts[[#Headers],[Company]],61)</f>
        <v/>
      </c>
      <c r="AK151" s="1"/>
      <c r="AL151" s="1"/>
      <c r="AM151" s="1"/>
    </row>
    <row r="152" spans="4:39" ht="20.100000000000001" customHeight="1" x14ac:dyDescent="0.25">
      <c r="D152" s="192" t="str" cm="1">
        <f t="array" ref="D152">Common_InputFunctions.Utility_DisplayArrayInTable(Fertiliser_SourceData.Fertiliser_Products_Data3(), FertiliserProducts[[#Headers],[Company]],61)</f>
        <v>Campbells fertilisers Australia</v>
      </c>
      <c r="E152" s="192" t="str" cm="1">
        <f t="array" ref="E152">Common_InputFunctions.Utility_DisplayArrayInTable(Fertiliser_SourceData.Fertiliser_Products_Data3(), FertiliserProducts[[#Headers],[Company]],61)</f>
        <v>Solu-MAP</v>
      </c>
      <c r="F152" s="192" t="str" cm="1">
        <f t="array" ref="F152">Common_InputFunctions.Utility_DisplayArrayInTable(Fertiliser_SourceData.Fertiliser_Products_Data3(), FertiliserProducts[[#Headers],[Company]],61)</f>
        <v>kg</v>
      </c>
      <c r="G152" s="192" cm="1">
        <f t="array" ref="G152">Common_InputFunctions.Utility_DisplayArrayInTable(Fertiliser_SourceData.Fertiliser_Products_Data3(), FertiliserProducts[[#Headers],[Company]],61)</f>
        <v>1</v>
      </c>
      <c r="H152" s="192" t="str" cm="1">
        <f t="array" ref="H152">Common_InputFunctions.Utility_DisplayArrayInTable(Fertiliser_SourceData.Fertiliser_Products_Data3(), FertiliserProducts[[#Headers],[Company]],61)</f>
        <v/>
      </c>
      <c r="I152" s="192" t="str" cm="1">
        <f t="array" ref="I152">Common_InputFunctions.Utility_DisplayArrayInTable(Fertiliser_SourceData.Fertiliser_Products_Data3(), FertiliserProducts[[#Headers],[Company]],61)</f>
        <v/>
      </c>
      <c r="J152" s="192" t="str" cm="1">
        <f t="array" ref="J152">Common_InputFunctions.Utility_DisplayArrayInTable(Fertiliser_SourceData.Fertiliser_Products_Data3(), FertiliserProducts[[#Headers],[Company]],61)</f>
        <v/>
      </c>
      <c r="K152" s="192" cm="1">
        <f t="array" ref="K152">Common_InputFunctions.Utility_DisplayArrayInTable(Fertiliser_SourceData.Fertiliser_Products_Data3(), FertiliserProducts[[#Headers],[Company]],61)</f>
        <v>10</v>
      </c>
      <c r="L152" s="192" cm="1">
        <f t="array" ref="L152">Common_InputFunctions.Utility_DisplayArrayInTable(Fertiliser_SourceData.Fertiliser_Products_Data3(), FertiliserProducts[[#Headers],[Company]],61)</f>
        <v>21.9</v>
      </c>
      <c r="M152" s="192" t="str" cm="1">
        <f t="array" ref="M152">Common_InputFunctions.Utility_DisplayArrayInTable(Fertiliser_SourceData.Fertiliser_Products_Data3(), FertiliserProducts[[#Headers],[Company]],61)</f>
        <v/>
      </c>
      <c r="N152" s="192" t="str" cm="1">
        <f t="array" ref="N152">Common_InputFunctions.Utility_DisplayArrayInTable(Fertiliser_SourceData.Fertiliser_Products_Data3(), FertiliserProducts[[#Headers],[Company]],61)</f>
        <v/>
      </c>
      <c r="O152" s="192" t="str" cm="1">
        <f t="array" ref="O152">Common_InputFunctions.Utility_DisplayArrayInTable(Fertiliser_SourceData.Fertiliser_Products_Data3(), FertiliserProducts[[#Headers],[Company]],61)</f>
        <v>Monoammonium phosphate (MAP)</v>
      </c>
      <c r="P152" s="192" cm="1">
        <f t="array" ref="P152">Common_InputFunctions.Utility_DisplayArrayInTable(Fertiliser_SourceData.Fertiliser_Products_Data3(), FertiliserProducts[[#Headers],[Company]],61)</f>
        <v>1</v>
      </c>
      <c r="Q152" s="192" t="str" cm="1">
        <f t="array" ref="Q152">Common_InputFunctions.Utility_DisplayArrayInTable(Fertiliser_SourceData.Fertiliser_Products_Data3(), FertiliserProducts[[#Headers],[Company]],61)</f>
        <v/>
      </c>
      <c r="R152" s="192" t="str" cm="1">
        <f t="array" ref="R152">Common_InputFunctions.Utility_DisplayArrayInTable(Fertiliser_SourceData.Fertiliser_Products_Data3(), FertiliserProducts[[#Headers],[Company]],61)</f>
        <v/>
      </c>
      <c r="S152" s="192" t="str" cm="1">
        <f t="array" ref="S152">Common_InputFunctions.Utility_DisplayArrayInTable(Fertiliser_SourceData.Fertiliser_Products_Data3(), FertiliserProducts[[#Headers],[Company]],61)</f>
        <v/>
      </c>
      <c r="T152" s="192" t="str" cm="1">
        <f t="array" ref="T152">Common_InputFunctions.Utility_DisplayArrayInTable(Fertiliser_SourceData.Fertiliser_Products_Data3(), FertiliserProducts[[#Headers],[Company]],61)</f>
        <v/>
      </c>
      <c r="U152" s="192" t="str" cm="1">
        <f t="array" ref="U152">Common_InputFunctions.Utility_DisplayArrayInTable(Fertiliser_SourceData.Fertiliser_Products_Data3(), FertiliserProducts[[#Headers],[Company]],61)</f>
        <v/>
      </c>
      <c r="V152" s="192" t="str" cm="1">
        <f t="array" ref="V152">Common_InputFunctions.Utility_DisplayArrayInTable(Fertiliser_SourceData.Fertiliser_Products_Data3(), FertiliserProducts[[#Headers],[Company]],61)</f>
        <v/>
      </c>
      <c r="W152" s="192" t="str" cm="1">
        <f t="array" ref="W152">Common_InputFunctions.Utility_DisplayArrayInTable(Fertiliser_SourceData.Fertiliser_Products_Data3(), FertiliserProducts[[#Headers],[Company]],61)</f>
        <v/>
      </c>
      <c r="X152" s="192" t="str" cm="1">
        <f t="array" ref="X152">Common_InputFunctions.Utility_DisplayArrayInTable(Fertiliser_SourceData.Fertiliser_Products_Data3(), FertiliserProducts[[#Headers],[Company]],61)</f>
        <v/>
      </c>
      <c r="Y152" s="192" t="str" cm="1">
        <f t="array" ref="Y152">Common_InputFunctions.Utility_DisplayArrayInTable(Fertiliser_SourceData.Fertiliser_Products_Data3(), FertiliserProducts[[#Headers],[Company]],61)</f>
        <v/>
      </c>
      <c r="Z152" s="192" t="str" cm="1">
        <f t="array" ref="Z152">Common_InputFunctions.Utility_DisplayArrayInTable(Fertiliser_SourceData.Fertiliser_Products_Data3(), FertiliserProducts[[#Headers],[Company]],61)</f>
        <v/>
      </c>
      <c r="AA152" s="192" t="str" cm="1">
        <f t="array" ref="AA152">Common_InputFunctions.Utility_DisplayArrayInTable(Fertiliser_SourceData.Fertiliser_Products_Data3(), FertiliserProducts[[#Headers],[Company]],61)</f>
        <v/>
      </c>
      <c r="AB152" s="192" t="str" cm="1">
        <f t="array" ref="AB152">Common_InputFunctions.Utility_DisplayArrayInTable(Fertiliser_SourceData.Fertiliser_Products_Data3(), FertiliserProducts[[#Headers],[Company]],61)</f>
        <v/>
      </c>
      <c r="AC152" s="192" t="str" cm="1">
        <f t="array" ref="AC152">Common_InputFunctions.Utility_DisplayArrayInTable(Fertiliser_SourceData.Fertiliser_Products_Data3(), FertiliserProducts[[#Headers],[Company]],61)</f>
        <v/>
      </c>
      <c r="AD152" s="192" t="str" cm="1">
        <f t="array" ref="AD152">Common_InputFunctions.Utility_DisplayArrayInTable(Fertiliser_SourceData.Fertiliser_Products_Data3(), FertiliserProducts[[#Headers],[Company]],61)</f>
        <v/>
      </c>
      <c r="AE152" s="192" t="str" cm="1">
        <f t="array" ref="AE152">Common_InputFunctions.Utility_DisplayArrayInTable(Fertiliser_SourceData.Fertiliser_Products_Data3(), FertiliserProducts[[#Headers],[Company]],61)</f>
        <v/>
      </c>
      <c r="AF152" s="192" t="str" cm="1">
        <f t="array" ref="AF152">Common_InputFunctions.Utility_DisplayArrayInTable(Fertiliser_SourceData.Fertiliser_Products_Data3(), FertiliserProducts[[#Headers],[Company]],61)</f>
        <v/>
      </c>
      <c r="AG152" s="192" t="str" cm="1">
        <f t="array" ref="AG152">Common_InputFunctions.Utility_DisplayArrayInTable(Fertiliser_SourceData.Fertiliser_Products_Data3(), FertiliserProducts[[#Headers],[Company]],61)</f>
        <v/>
      </c>
      <c r="AH152" s="192" t="str" cm="1">
        <f t="array" ref="AH152">Common_InputFunctions.Utility_DisplayArrayInTable(Fertiliser_SourceData.Fertiliser_Products_Data3(), FertiliserProducts[[#Headers],[Company]],61)</f>
        <v/>
      </c>
      <c r="AK152" s="1"/>
      <c r="AL152" s="1"/>
      <c r="AM152" s="1"/>
    </row>
    <row r="153" spans="4:39" ht="20.100000000000001" customHeight="1" x14ac:dyDescent="0.25">
      <c r="D153" s="192" t="str" cm="1">
        <f t="array" ref="D153">Common_InputFunctions.Utility_DisplayArrayInTable(Fertiliser_SourceData.Fertiliser_Products_Data3(), FertiliserProducts[[#Headers],[Company]],61)</f>
        <v>Campbells fertilisers Australia</v>
      </c>
      <c r="E153" s="192" t="str" cm="1">
        <f t="array" ref="E153">Common_InputFunctions.Utility_DisplayArrayInTable(Fertiliser_SourceData.Fertiliser_Products_Data3(), FertiliserProducts[[#Headers],[Company]],61)</f>
        <v>Solu-Sam</v>
      </c>
      <c r="F153" s="192" t="str" cm="1">
        <f t="array" ref="F153">Common_InputFunctions.Utility_DisplayArrayInTable(Fertiliser_SourceData.Fertiliser_Products_Data3(), FertiliserProducts[[#Headers],[Company]],61)</f>
        <v>kg</v>
      </c>
      <c r="G153" s="192" cm="1">
        <f t="array" ref="G153">Common_InputFunctions.Utility_DisplayArrayInTable(Fertiliser_SourceData.Fertiliser_Products_Data3(), FertiliserProducts[[#Headers],[Company]],61)</f>
        <v>1</v>
      </c>
      <c r="H153" s="192" t="str" cm="1">
        <f t="array" ref="H153">Common_InputFunctions.Utility_DisplayArrayInTable(Fertiliser_SourceData.Fertiliser_Products_Data3(), FertiliserProducts[[#Headers],[Company]],61)</f>
        <v/>
      </c>
      <c r="I153" s="192" t="str" cm="1">
        <f t="array" ref="I153">Common_InputFunctions.Utility_DisplayArrayInTable(Fertiliser_SourceData.Fertiliser_Products_Data3(), FertiliserProducts[[#Headers],[Company]],61)</f>
        <v/>
      </c>
      <c r="J153" s="192" t="str" cm="1">
        <f t="array" ref="J153">Common_InputFunctions.Utility_DisplayArrayInTable(Fertiliser_SourceData.Fertiliser_Products_Data3(), FertiliserProducts[[#Headers],[Company]],61)</f>
        <v/>
      </c>
      <c r="K153" s="192" cm="1">
        <f t="array" ref="K153">Common_InputFunctions.Utility_DisplayArrayInTable(Fertiliser_SourceData.Fertiliser_Products_Data3(), FertiliserProducts[[#Headers],[Company]],61)</f>
        <v>21</v>
      </c>
      <c r="L153" s="192" t="str" cm="1">
        <f t="array" ref="L153">Common_InputFunctions.Utility_DisplayArrayInTable(Fertiliser_SourceData.Fertiliser_Products_Data3(), FertiliserProducts[[#Headers],[Company]],61)</f>
        <v/>
      </c>
      <c r="M153" s="192" t="str" cm="1">
        <f t="array" ref="M153">Common_InputFunctions.Utility_DisplayArrayInTable(Fertiliser_SourceData.Fertiliser_Products_Data3(), FertiliserProducts[[#Headers],[Company]],61)</f>
        <v/>
      </c>
      <c r="N153" s="192" cm="1">
        <f t="array" ref="N153">Common_InputFunctions.Utility_DisplayArrayInTable(Fertiliser_SourceData.Fertiliser_Products_Data3(), FertiliserProducts[[#Headers],[Company]],61)</f>
        <v>24</v>
      </c>
      <c r="O153" s="192" t="str" cm="1">
        <f t="array" ref="O153">Common_InputFunctions.Utility_DisplayArrayInTable(Fertiliser_SourceData.Fertiliser_Products_Data3(), FertiliserProducts[[#Headers],[Company]],61)</f>
        <v>Sulphate of ammonia (SOA)</v>
      </c>
      <c r="P153" s="192" cm="1">
        <f t="array" ref="P153">Common_InputFunctions.Utility_DisplayArrayInTable(Fertiliser_SourceData.Fertiliser_Products_Data3(), FertiliserProducts[[#Headers],[Company]],61)</f>
        <v>1</v>
      </c>
      <c r="Q153" s="192" t="str" cm="1">
        <f t="array" ref="Q153">Common_InputFunctions.Utility_DisplayArrayInTable(Fertiliser_SourceData.Fertiliser_Products_Data3(), FertiliserProducts[[#Headers],[Company]],61)</f>
        <v/>
      </c>
      <c r="R153" s="192" t="str" cm="1">
        <f t="array" ref="R153">Common_InputFunctions.Utility_DisplayArrayInTable(Fertiliser_SourceData.Fertiliser_Products_Data3(), FertiliserProducts[[#Headers],[Company]],61)</f>
        <v/>
      </c>
      <c r="S153" s="192" t="str" cm="1">
        <f t="array" ref="S153">Common_InputFunctions.Utility_DisplayArrayInTable(Fertiliser_SourceData.Fertiliser_Products_Data3(), FertiliserProducts[[#Headers],[Company]],61)</f>
        <v/>
      </c>
      <c r="T153" s="192" t="str" cm="1">
        <f t="array" ref="T153">Common_InputFunctions.Utility_DisplayArrayInTable(Fertiliser_SourceData.Fertiliser_Products_Data3(), FertiliserProducts[[#Headers],[Company]],61)</f>
        <v/>
      </c>
      <c r="U153" s="192" t="str" cm="1">
        <f t="array" ref="U153">Common_InputFunctions.Utility_DisplayArrayInTable(Fertiliser_SourceData.Fertiliser_Products_Data3(), FertiliserProducts[[#Headers],[Company]],61)</f>
        <v/>
      </c>
      <c r="V153" s="192" t="str" cm="1">
        <f t="array" ref="V153">Common_InputFunctions.Utility_DisplayArrayInTable(Fertiliser_SourceData.Fertiliser_Products_Data3(), FertiliserProducts[[#Headers],[Company]],61)</f>
        <v/>
      </c>
      <c r="W153" s="192" t="str" cm="1">
        <f t="array" ref="W153">Common_InputFunctions.Utility_DisplayArrayInTable(Fertiliser_SourceData.Fertiliser_Products_Data3(), FertiliserProducts[[#Headers],[Company]],61)</f>
        <v/>
      </c>
      <c r="X153" s="192" t="str" cm="1">
        <f t="array" ref="X153">Common_InputFunctions.Utility_DisplayArrayInTable(Fertiliser_SourceData.Fertiliser_Products_Data3(), FertiliserProducts[[#Headers],[Company]],61)</f>
        <v/>
      </c>
      <c r="Y153" s="192" t="str" cm="1">
        <f t="array" ref="Y153">Common_InputFunctions.Utility_DisplayArrayInTable(Fertiliser_SourceData.Fertiliser_Products_Data3(), FertiliserProducts[[#Headers],[Company]],61)</f>
        <v/>
      </c>
      <c r="Z153" s="192" t="str" cm="1">
        <f t="array" ref="Z153">Common_InputFunctions.Utility_DisplayArrayInTable(Fertiliser_SourceData.Fertiliser_Products_Data3(), FertiliserProducts[[#Headers],[Company]],61)</f>
        <v/>
      </c>
      <c r="AA153" s="192" t="str" cm="1">
        <f t="array" ref="AA153">Common_InputFunctions.Utility_DisplayArrayInTable(Fertiliser_SourceData.Fertiliser_Products_Data3(), FertiliserProducts[[#Headers],[Company]],61)</f>
        <v/>
      </c>
      <c r="AB153" s="192" t="str" cm="1">
        <f t="array" ref="AB153">Common_InputFunctions.Utility_DisplayArrayInTable(Fertiliser_SourceData.Fertiliser_Products_Data3(), FertiliserProducts[[#Headers],[Company]],61)</f>
        <v/>
      </c>
      <c r="AC153" s="192" t="str" cm="1">
        <f t="array" ref="AC153">Common_InputFunctions.Utility_DisplayArrayInTable(Fertiliser_SourceData.Fertiliser_Products_Data3(), FertiliserProducts[[#Headers],[Company]],61)</f>
        <v/>
      </c>
      <c r="AD153" s="192" t="str" cm="1">
        <f t="array" ref="AD153">Common_InputFunctions.Utility_DisplayArrayInTable(Fertiliser_SourceData.Fertiliser_Products_Data3(), FertiliserProducts[[#Headers],[Company]],61)</f>
        <v/>
      </c>
      <c r="AE153" s="192" t="str" cm="1">
        <f t="array" ref="AE153">Common_InputFunctions.Utility_DisplayArrayInTable(Fertiliser_SourceData.Fertiliser_Products_Data3(), FertiliserProducts[[#Headers],[Company]],61)</f>
        <v/>
      </c>
      <c r="AF153" s="192" t="str" cm="1">
        <f t="array" ref="AF153">Common_InputFunctions.Utility_DisplayArrayInTable(Fertiliser_SourceData.Fertiliser_Products_Data3(), FertiliserProducts[[#Headers],[Company]],61)</f>
        <v/>
      </c>
      <c r="AG153" s="192" t="str" cm="1">
        <f t="array" ref="AG153">Common_InputFunctions.Utility_DisplayArrayInTable(Fertiliser_SourceData.Fertiliser_Products_Data3(), FertiliserProducts[[#Headers],[Company]],61)</f>
        <v/>
      </c>
      <c r="AH153" s="192" t="str" cm="1">
        <f t="array" ref="AH153">Common_InputFunctions.Utility_DisplayArrayInTable(Fertiliser_SourceData.Fertiliser_Products_Data3(), FertiliserProducts[[#Headers],[Company]],61)</f>
        <v/>
      </c>
      <c r="AK153" s="1"/>
      <c r="AL153" s="1"/>
      <c r="AM153" s="1"/>
    </row>
    <row r="154" spans="4:39" ht="20.100000000000001" customHeight="1" x14ac:dyDescent="0.25">
      <c r="D154" s="192" t="str" cm="1">
        <f t="array" ref="D154">Common_InputFunctions.Utility_DisplayArrayInTable(Fertiliser_SourceData.Fertiliser_Products_Data3(), FertiliserProducts[[#Headers],[Company]],61)</f>
        <v>Campbells fertilisers Australia</v>
      </c>
      <c r="E154" s="192" t="str" cm="1">
        <f t="array" ref="E154">Common_InputFunctions.Utility_DisplayArrayInTable(Fertiliser_SourceData.Fertiliser_Products_Data3(), FertiliserProducts[[#Headers],[Company]],61)</f>
        <v>Rustica Plus</v>
      </c>
      <c r="F154" s="192" t="str" cm="1">
        <f t="array" ref="F154">Common_InputFunctions.Utility_DisplayArrayInTable(Fertiliser_SourceData.Fertiliser_Products_Data3(), FertiliserProducts[[#Headers],[Company]],61)</f>
        <v>kg</v>
      </c>
      <c r="G154" s="192" cm="1">
        <f t="array" ref="G154">Common_InputFunctions.Utility_DisplayArrayInTable(Fertiliser_SourceData.Fertiliser_Products_Data3(), FertiliserProducts[[#Headers],[Company]],61)</f>
        <v>1</v>
      </c>
      <c r="H154" s="192" t="str" cm="1">
        <f t="array" ref="H154">Common_InputFunctions.Utility_DisplayArrayInTable(Fertiliser_SourceData.Fertiliser_Products_Data3(), FertiliserProducts[[#Headers],[Company]],61)</f>
        <v/>
      </c>
      <c r="I154" s="192" t="str" cm="1">
        <f t="array" ref="I154">Common_InputFunctions.Utility_DisplayArrayInTable(Fertiliser_SourceData.Fertiliser_Products_Data3(), FertiliserProducts[[#Headers],[Company]],61)</f>
        <v/>
      </c>
      <c r="J154" s="192" t="str" cm="1">
        <f t="array" ref="J154">Common_InputFunctions.Utility_DisplayArrayInTable(Fertiliser_SourceData.Fertiliser_Products_Data3(), FertiliserProducts[[#Headers],[Company]],61)</f>
        <v/>
      </c>
      <c r="K154" s="192" cm="1">
        <f t="array" ref="K154">Common_InputFunctions.Utility_DisplayArrayInTable(Fertiliser_SourceData.Fertiliser_Products_Data3(), FertiliserProducts[[#Headers],[Company]],61)</f>
        <v>12</v>
      </c>
      <c r="L154" s="192" cm="1">
        <f t="array" ref="L154">Common_InputFunctions.Utility_DisplayArrayInTable(Fertiliser_SourceData.Fertiliser_Products_Data3(), FertiliserProducts[[#Headers],[Company]],61)</f>
        <v>5</v>
      </c>
      <c r="M154" s="192" cm="1">
        <f t="array" ref="M154">Common_InputFunctions.Utility_DisplayArrayInTable(Fertiliser_SourceData.Fertiliser_Products_Data3(), FertiliserProducts[[#Headers],[Company]],61)</f>
        <v>14</v>
      </c>
      <c r="N154" s="192" cm="1">
        <f t="array" ref="N154">Common_InputFunctions.Utility_DisplayArrayInTable(Fertiliser_SourceData.Fertiliser_Products_Data3(), FertiliserProducts[[#Headers],[Company]],61)</f>
        <v>9.6999999999999993</v>
      </c>
      <c r="O154" s="192" t="str" cm="1">
        <f t="array" ref="O154">Common_InputFunctions.Utility_DisplayArrayInTable(Fertiliser_SourceData.Fertiliser_Products_Data3(), FertiliserProducts[[#Headers],[Company]],61)</f>
        <v>Potassium - Generic</v>
      </c>
      <c r="P154" s="192" cm="1">
        <f t="array" ref="P154">Common_InputFunctions.Utility_DisplayArrayInTable(Fertiliser_SourceData.Fertiliser_Products_Data3(), FertiliserProducts[[#Headers],[Company]],61)</f>
        <v>0.14000000000000001</v>
      </c>
      <c r="Q154" s="192" t="str" cm="1">
        <f t="array" ref="Q154">Common_InputFunctions.Utility_DisplayArrayInTable(Fertiliser_SourceData.Fertiliser_Products_Data3(), FertiliserProducts[[#Headers],[Company]],61)</f>
        <v>Sulfur - Generic</v>
      </c>
      <c r="R154" s="192" cm="1">
        <f t="array" ref="R154">Common_InputFunctions.Utility_DisplayArrayInTable(Fertiliser_SourceData.Fertiliser_Products_Data3(), FertiliserProducts[[#Headers],[Company]],61)</f>
        <v>9.7000000000000003E-2</v>
      </c>
      <c r="S154" s="192" t="str" cm="1">
        <f t="array" ref="S154">Common_InputFunctions.Utility_DisplayArrayInTable(Fertiliser_SourceData.Fertiliser_Products_Data3(), FertiliserProducts[[#Headers],[Company]],61)</f>
        <v>Nitrogen - Nitrate</v>
      </c>
      <c r="T154" s="192" cm="1">
        <f t="array" ref="T154">Common_InputFunctions.Utility_DisplayArrayInTable(Fertiliser_SourceData.Fertiliser_Products_Data3(), FertiliserProducts[[#Headers],[Company]],61)</f>
        <v>0.06</v>
      </c>
      <c r="U154" s="192" t="str" cm="1">
        <f t="array" ref="U154">Common_InputFunctions.Utility_DisplayArrayInTable(Fertiliser_SourceData.Fertiliser_Products_Data3(), FertiliserProducts[[#Headers],[Company]],61)</f>
        <v>Nitrogen - Ammoniacal</v>
      </c>
      <c r="V154" s="192" cm="1">
        <f t="array" ref="V154">Common_InputFunctions.Utility_DisplayArrayInTable(Fertiliser_SourceData.Fertiliser_Products_Data3(), FertiliserProducts[[#Headers],[Company]],61)</f>
        <v>0.06</v>
      </c>
      <c r="W154" s="192" t="str" cm="1">
        <f t="array" ref="W154">Common_InputFunctions.Utility_DisplayArrayInTable(Fertiliser_SourceData.Fertiliser_Products_Data3(), FertiliserProducts[[#Headers],[Company]],61)</f>
        <v>Phosphorus - Generic</v>
      </c>
      <c r="X154" s="192" cm="1">
        <f t="array" ref="X154">Common_InputFunctions.Utility_DisplayArrayInTable(Fertiliser_SourceData.Fertiliser_Products_Data3(), FertiliserProducts[[#Headers],[Company]],61)</f>
        <v>0.05</v>
      </c>
      <c r="Y154" s="192" t="str" cm="1">
        <f t="array" ref="Y154">Common_InputFunctions.Utility_DisplayArrayInTable(Fertiliser_SourceData.Fertiliser_Products_Data3(), FertiliserProducts[[#Headers],[Company]],61)</f>
        <v>Calcium</v>
      </c>
      <c r="Z154" s="192" cm="1">
        <f t="array" ref="Z154">Common_InputFunctions.Utility_DisplayArrayInTable(Fertiliser_SourceData.Fertiliser_Products_Data3(), FertiliserProducts[[#Headers],[Company]],61)</f>
        <v>3.1E-2</v>
      </c>
      <c r="AA154" s="192" t="str" cm="1">
        <f t="array" ref="AA154">Common_InputFunctions.Utility_DisplayArrayInTable(Fertiliser_SourceData.Fertiliser_Products_Data3(), FertiliserProducts[[#Headers],[Company]],61)</f>
        <v>Magnesium</v>
      </c>
      <c r="AB154" s="192" cm="1">
        <f t="array" ref="AB154">Common_InputFunctions.Utility_DisplayArrayInTable(Fertiliser_SourceData.Fertiliser_Products_Data3(), FertiliserProducts[[#Headers],[Company]],61)</f>
        <v>1.2E-2</v>
      </c>
      <c r="AC154" s="192" t="str" cm="1">
        <f t="array" ref="AC154">Common_InputFunctions.Utility_DisplayArrayInTable(Fertiliser_SourceData.Fertiliser_Products_Data3(), FertiliserProducts[[#Headers],[Company]],61)</f>
        <v>Zinc</v>
      </c>
      <c r="AD154" s="192" cm="1">
        <f t="array" ref="AD154">Common_InputFunctions.Utility_DisplayArrayInTable(Fertiliser_SourceData.Fertiliser_Products_Data3(), FertiliserProducts[[#Headers],[Company]],61)</f>
        <v>1E-3</v>
      </c>
      <c r="AE154" s="192" t="str" cm="1">
        <f t="array" ref="AE154">Common_InputFunctions.Utility_DisplayArrayInTable(Fertiliser_SourceData.Fertiliser_Products_Data3(), FertiliserProducts[[#Headers],[Company]],61)</f>
        <v>Boron</v>
      </c>
      <c r="AF154" s="192" cm="1">
        <f t="array" ref="AF154">Common_InputFunctions.Utility_DisplayArrayInTable(Fertiliser_SourceData.Fertiliser_Products_Data3(), FertiliserProducts[[#Headers],[Company]],61)</f>
        <v>2.0000000000000001E-4</v>
      </c>
      <c r="AG154" s="192" t="str" cm="1">
        <f t="array" ref="AG154">Common_InputFunctions.Utility_DisplayArrayInTable(Fertiliser_SourceData.Fertiliser_Products_Data3(), FertiliserProducts[[#Headers],[Company]],61)</f>
        <v/>
      </c>
      <c r="AH154" s="192" t="str" cm="1">
        <f t="array" ref="AH154">Common_InputFunctions.Utility_DisplayArrayInTable(Fertiliser_SourceData.Fertiliser_Products_Data3(), FertiliserProducts[[#Headers],[Company]],61)</f>
        <v/>
      </c>
      <c r="AK154" s="1"/>
    </row>
    <row r="155" spans="4:39" ht="20.100000000000001" customHeight="1" x14ac:dyDescent="0.25">
      <c r="D155" s="192" t="str" cm="1">
        <f t="array" ref="D155">Common_InputFunctions.Utility_DisplayArrayInTable(Fertiliser_SourceData.Fertiliser_Products_Data3(), FertiliserProducts[[#Headers],[Company]],61)</f>
        <v>Campbells fertilisers Australia</v>
      </c>
      <c r="E155" s="192" t="str" cm="1">
        <f t="array" ref="E155">Common_InputFunctions.Utility_DisplayArrayInTable(Fertiliser_SourceData.Fertiliser_Products_Data3(), FertiliserProducts[[#Headers],[Company]],61)</f>
        <v>Platinum Plus</v>
      </c>
      <c r="F155" s="192" t="str" cm="1">
        <f t="array" ref="F155">Common_InputFunctions.Utility_DisplayArrayInTable(Fertiliser_SourceData.Fertiliser_Products_Data3(), FertiliserProducts[[#Headers],[Company]],61)</f>
        <v>kg</v>
      </c>
      <c r="G155" s="192" cm="1">
        <f t="array" ref="G155">Common_InputFunctions.Utility_DisplayArrayInTable(Fertiliser_SourceData.Fertiliser_Products_Data3(), FertiliserProducts[[#Headers],[Company]],61)</f>
        <v>1</v>
      </c>
      <c r="H155" s="192" t="str" cm="1">
        <f t="array" ref="H155">Common_InputFunctions.Utility_DisplayArrayInTable(Fertiliser_SourceData.Fertiliser_Products_Data3(), FertiliserProducts[[#Headers],[Company]],61)</f>
        <v/>
      </c>
      <c r="I155" s="192" t="str" cm="1">
        <f t="array" ref="I155">Common_InputFunctions.Utility_DisplayArrayInTable(Fertiliser_SourceData.Fertiliser_Products_Data3(), FertiliserProducts[[#Headers],[Company]],61)</f>
        <v/>
      </c>
      <c r="J155" s="192" t="str" cm="1">
        <f t="array" ref="J155">Common_InputFunctions.Utility_DisplayArrayInTable(Fertiliser_SourceData.Fertiliser_Products_Data3(), FertiliserProducts[[#Headers],[Company]],61)</f>
        <v/>
      </c>
      <c r="K155" s="192" cm="1">
        <f t="array" ref="K155">Common_InputFunctions.Utility_DisplayArrayInTable(Fertiliser_SourceData.Fertiliser_Products_Data3(), FertiliserProducts[[#Headers],[Company]],61)</f>
        <v>10</v>
      </c>
      <c r="L155" s="192" cm="1">
        <f t="array" ref="L155">Common_InputFunctions.Utility_DisplayArrayInTable(Fertiliser_SourceData.Fertiliser_Products_Data3(), FertiliserProducts[[#Headers],[Company]],61)</f>
        <v>11</v>
      </c>
      <c r="M155" s="192" cm="1">
        <f t="array" ref="M155">Common_InputFunctions.Utility_DisplayArrayInTable(Fertiliser_SourceData.Fertiliser_Products_Data3(), FertiliserProducts[[#Headers],[Company]],61)</f>
        <v>10</v>
      </c>
      <c r="N155" s="192" cm="1">
        <f t="array" ref="N155">Common_InputFunctions.Utility_DisplayArrayInTable(Fertiliser_SourceData.Fertiliser_Products_Data3(), FertiliserProducts[[#Headers],[Company]],61)</f>
        <v>6</v>
      </c>
      <c r="O155" s="192" t="str" cm="1">
        <f t="array" ref="O155">Common_InputFunctions.Utility_DisplayArrayInTable(Fertiliser_SourceData.Fertiliser_Products_Data3(), FertiliserProducts[[#Headers],[Company]],61)</f>
        <v>Phosphorus - Generic</v>
      </c>
      <c r="P155" s="192" cm="1">
        <f t="array" ref="P155">Common_InputFunctions.Utility_DisplayArrayInTable(Fertiliser_SourceData.Fertiliser_Products_Data3(), FertiliserProducts[[#Headers],[Company]],61)</f>
        <v>0.11</v>
      </c>
      <c r="Q155" s="192" t="str" cm="1">
        <f t="array" ref="Q155">Common_InputFunctions.Utility_DisplayArrayInTable(Fertiliser_SourceData.Fertiliser_Products_Data3(), FertiliserProducts[[#Headers],[Company]],61)</f>
        <v>Potassium - Generic</v>
      </c>
      <c r="R155" s="192" cm="1">
        <f t="array" ref="R155">Common_InputFunctions.Utility_DisplayArrayInTable(Fertiliser_SourceData.Fertiliser_Products_Data3(), FertiliserProducts[[#Headers],[Company]],61)</f>
        <v>0.1</v>
      </c>
      <c r="S155" s="192" t="str" cm="1">
        <f t="array" ref="S155">Common_InputFunctions.Utility_DisplayArrayInTable(Fertiliser_SourceData.Fertiliser_Products_Data3(), FertiliserProducts[[#Headers],[Company]],61)</f>
        <v>Sulfur - Generic</v>
      </c>
      <c r="T155" s="192" cm="1">
        <f t="array" ref="T155">Common_InputFunctions.Utility_DisplayArrayInTable(Fertiliser_SourceData.Fertiliser_Products_Data3(), FertiliserProducts[[#Headers],[Company]],61)</f>
        <v>0.06</v>
      </c>
      <c r="U155" s="192" t="str" cm="1">
        <f t="array" ref="U155">Common_InputFunctions.Utility_DisplayArrayInTable(Fertiliser_SourceData.Fertiliser_Products_Data3(), FertiliserProducts[[#Headers],[Company]],61)</f>
        <v>Nitrogen - Nitrate</v>
      </c>
      <c r="V155" s="192" cm="1">
        <f t="array" ref="V155">Common_InputFunctions.Utility_DisplayArrayInTable(Fertiliser_SourceData.Fertiliser_Products_Data3(), FertiliserProducts[[#Headers],[Company]],61)</f>
        <v>0.05</v>
      </c>
      <c r="W155" s="192" t="str" cm="1">
        <f t="array" ref="W155">Common_InputFunctions.Utility_DisplayArrayInTable(Fertiliser_SourceData.Fertiliser_Products_Data3(), FertiliserProducts[[#Headers],[Company]],61)</f>
        <v>Nitrogen - Ammoniacal</v>
      </c>
      <c r="X155" s="192" cm="1">
        <f t="array" ref="X155">Common_InputFunctions.Utility_DisplayArrayInTable(Fertiliser_SourceData.Fertiliser_Products_Data3(), FertiliserProducts[[#Headers],[Company]],61)</f>
        <v>0.05</v>
      </c>
      <c r="Y155" s="192" t="str" cm="1">
        <f t="array" ref="Y155">Common_InputFunctions.Utility_DisplayArrayInTable(Fertiliser_SourceData.Fertiliser_Products_Data3(), FertiliserProducts[[#Headers],[Company]],61)</f>
        <v>Calcium</v>
      </c>
      <c r="Z155" s="192" cm="1">
        <f t="array" ref="Z155">Common_InputFunctions.Utility_DisplayArrayInTable(Fertiliser_SourceData.Fertiliser_Products_Data3(), FertiliserProducts[[#Headers],[Company]],61)</f>
        <v>4.2999999999999997E-2</v>
      </c>
      <c r="AA155" s="192" t="str" cm="1">
        <f t="array" ref="AA155">Common_InputFunctions.Utility_DisplayArrayInTable(Fertiliser_SourceData.Fertiliser_Products_Data3(), FertiliserProducts[[#Headers],[Company]],61)</f>
        <v>Magnesium</v>
      </c>
      <c r="AB155" s="192" cm="1">
        <f t="array" ref="AB155">Common_InputFunctions.Utility_DisplayArrayInTable(Fertiliser_SourceData.Fertiliser_Products_Data3(), FertiliserProducts[[#Headers],[Company]],61)</f>
        <v>1.2E-2</v>
      </c>
      <c r="AC155" s="192" t="str" cm="1">
        <f t="array" ref="AC155">Common_InputFunctions.Utility_DisplayArrayInTable(Fertiliser_SourceData.Fertiliser_Products_Data3(), FertiliserProducts[[#Headers],[Company]],61)</f>
        <v>Zinc</v>
      </c>
      <c r="AD155" s="192" cm="1">
        <f t="array" ref="AD155">Common_InputFunctions.Utility_DisplayArrayInTable(Fertiliser_SourceData.Fertiliser_Products_Data3(), FertiliserProducts[[#Headers],[Company]],61)</f>
        <v>3.5999999999999999E-3</v>
      </c>
      <c r="AE155" s="192" t="str" cm="1">
        <f t="array" ref="AE155">Common_InputFunctions.Utility_DisplayArrayInTable(Fertiliser_SourceData.Fertiliser_Products_Data3(), FertiliserProducts[[#Headers],[Company]],61)</f>
        <v>Boron</v>
      </c>
      <c r="AF155" s="192" cm="1">
        <f t="array" ref="AF155">Common_InputFunctions.Utility_DisplayArrayInTable(Fertiliser_SourceData.Fertiliser_Products_Data3(), FertiliserProducts[[#Headers],[Company]],61)</f>
        <v>1E-3</v>
      </c>
      <c r="AG155" s="192" t="str" cm="1">
        <f t="array" ref="AG155">Common_InputFunctions.Utility_DisplayArrayInTable(Fertiliser_SourceData.Fertiliser_Products_Data3(), FertiliserProducts[[#Headers],[Company]],61)</f>
        <v/>
      </c>
      <c r="AH155" s="192" t="str" cm="1">
        <f t="array" ref="AH155">Common_InputFunctions.Utility_DisplayArrayInTable(Fertiliser_SourceData.Fertiliser_Products_Data3(), FertiliserProducts[[#Headers],[Company]],61)</f>
        <v/>
      </c>
      <c r="AK155" s="1"/>
    </row>
    <row r="156" spans="4:39" ht="20.100000000000001" customHeight="1" x14ac:dyDescent="0.25">
      <c r="D156" s="192" t="str" cm="1">
        <f t="array" ref="D156">Common_InputFunctions.Utility_DisplayArrayInTable(Fertiliser_SourceData.Fertiliser_Products_Data3(), FertiliserProducts[[#Headers],[Company]],61)</f>
        <v>Campbells fertilisers Australia</v>
      </c>
      <c r="E156" s="192" t="str" cm="1">
        <f t="array" ref="E156">Common_InputFunctions.Utility_DisplayArrayInTable(Fertiliser_SourceData.Fertiliser_Products_Data3(), FertiliserProducts[[#Headers],[Company]],61)</f>
        <v>Tropika</v>
      </c>
      <c r="F156" s="192" t="str" cm="1">
        <f t="array" ref="F156">Common_InputFunctions.Utility_DisplayArrayInTable(Fertiliser_SourceData.Fertiliser_Products_Data3(), FertiliserProducts[[#Headers],[Company]],61)</f>
        <v>kg</v>
      </c>
      <c r="G156" s="192" cm="1">
        <f t="array" ref="G156">Common_InputFunctions.Utility_DisplayArrayInTable(Fertiliser_SourceData.Fertiliser_Products_Data3(), FertiliserProducts[[#Headers],[Company]],61)</f>
        <v>1</v>
      </c>
      <c r="H156" s="192" t="str" cm="1">
        <f t="array" ref="H156">Common_InputFunctions.Utility_DisplayArrayInTable(Fertiliser_SourceData.Fertiliser_Products_Data3(), FertiliserProducts[[#Headers],[Company]],61)</f>
        <v/>
      </c>
      <c r="I156" s="192" t="str" cm="1">
        <f t="array" ref="I156">Common_InputFunctions.Utility_DisplayArrayInTable(Fertiliser_SourceData.Fertiliser_Products_Data3(), FertiliserProducts[[#Headers],[Company]],61)</f>
        <v/>
      </c>
      <c r="J156" s="192" t="str" cm="1">
        <f t="array" ref="J156">Common_InputFunctions.Utility_DisplayArrayInTable(Fertiliser_SourceData.Fertiliser_Products_Data3(), FertiliserProducts[[#Headers],[Company]],61)</f>
        <v/>
      </c>
      <c r="K156" s="192" cm="1">
        <f t="array" ref="K156">Common_InputFunctions.Utility_DisplayArrayInTable(Fertiliser_SourceData.Fertiliser_Products_Data3(), FertiliserProducts[[#Headers],[Company]],61)</f>
        <v>11</v>
      </c>
      <c r="L156" s="192" cm="1">
        <f t="array" ref="L156">Common_InputFunctions.Utility_DisplayArrayInTable(Fertiliser_SourceData.Fertiliser_Products_Data3(), FertiliserProducts[[#Headers],[Company]],61)</f>
        <v>2.6</v>
      </c>
      <c r="M156" s="192" cm="1">
        <f t="array" ref="M156">Common_InputFunctions.Utility_DisplayArrayInTable(Fertiliser_SourceData.Fertiliser_Products_Data3(), FertiliserProducts[[#Headers],[Company]],61)</f>
        <v>20.8</v>
      </c>
      <c r="N156" s="192" cm="1">
        <f t="array" ref="N156">Common_InputFunctions.Utility_DisplayArrayInTable(Fertiliser_SourceData.Fertiliser_Products_Data3(), FertiliserProducts[[#Headers],[Company]],61)</f>
        <v>4</v>
      </c>
      <c r="O156" s="192" t="str" cm="1">
        <f t="array" ref="O156">Common_InputFunctions.Utility_DisplayArrayInTable(Fertiliser_SourceData.Fertiliser_Products_Data3(), FertiliserProducts[[#Headers],[Company]],61)</f>
        <v>Nitrogen - Nitrate</v>
      </c>
      <c r="P156" s="192" cm="1">
        <f t="array" ref="P156">Common_InputFunctions.Utility_DisplayArrayInTable(Fertiliser_SourceData.Fertiliser_Products_Data3(), FertiliserProducts[[#Headers],[Company]],61)</f>
        <v>5.5E-2</v>
      </c>
      <c r="Q156" s="192" t="str" cm="1">
        <f t="array" ref="Q156">Common_InputFunctions.Utility_DisplayArrayInTable(Fertiliser_SourceData.Fertiliser_Products_Data3(), FertiliserProducts[[#Headers],[Company]],61)</f>
        <v>Nitrogen - Ammoniacal</v>
      </c>
      <c r="R156" s="192" cm="1">
        <f t="array" ref="R156">Common_InputFunctions.Utility_DisplayArrayInTable(Fertiliser_SourceData.Fertiliser_Products_Data3(), FertiliserProducts[[#Headers],[Company]],61)</f>
        <v>5.5E-2</v>
      </c>
      <c r="S156" s="192" t="str" cm="1">
        <f t="array" ref="S156">Common_InputFunctions.Utility_DisplayArrayInTable(Fertiliser_SourceData.Fertiliser_Products_Data3(), FertiliserProducts[[#Headers],[Company]],61)</f>
        <v>Phosphorus - Generic</v>
      </c>
      <c r="T156" s="192" cm="1">
        <f t="array" ref="T156">Common_InputFunctions.Utility_DisplayArrayInTable(Fertiliser_SourceData.Fertiliser_Products_Data3(), FertiliserProducts[[#Headers],[Company]],61)</f>
        <v>2.5999999999999999E-2</v>
      </c>
      <c r="U156" s="192" t="str" cm="1">
        <f t="array" ref="U156">Common_InputFunctions.Utility_DisplayArrayInTable(Fertiliser_SourceData.Fertiliser_Products_Data3(), FertiliserProducts[[#Headers],[Company]],61)</f>
        <v>Potassium - Generic</v>
      </c>
      <c r="V156" s="192" cm="1">
        <f t="array" ref="V156">Common_InputFunctions.Utility_DisplayArrayInTable(Fertiliser_SourceData.Fertiliser_Products_Data3(), FertiliserProducts[[#Headers],[Company]],61)</f>
        <v>0.20799999999999999</v>
      </c>
      <c r="W156" s="192" t="str" cm="1">
        <f t="array" ref="W156">Common_InputFunctions.Utility_DisplayArrayInTable(Fertiliser_SourceData.Fertiliser_Products_Data3(), FertiliserProducts[[#Headers],[Company]],61)</f>
        <v>Sulfur - Generic</v>
      </c>
      <c r="X156" s="192" cm="1">
        <f t="array" ref="X156">Common_InputFunctions.Utility_DisplayArrayInTable(Fertiliser_SourceData.Fertiliser_Products_Data3(), FertiliserProducts[[#Headers],[Company]],61)</f>
        <v>0.04</v>
      </c>
      <c r="Y156" s="192" t="str" cm="1">
        <f t="array" ref="Y156">Common_InputFunctions.Utility_DisplayArrayInTable(Fertiliser_SourceData.Fertiliser_Products_Data3(), FertiliserProducts[[#Headers],[Company]],61)</f>
        <v>Magnesium</v>
      </c>
      <c r="Z156" s="192" cm="1">
        <f t="array" ref="Z156">Common_InputFunctions.Utility_DisplayArrayInTable(Fertiliser_SourceData.Fertiliser_Products_Data3(), FertiliserProducts[[#Headers],[Company]],61)</f>
        <v>2.4E-2</v>
      </c>
      <c r="AA156" s="192" t="str" cm="1">
        <f t="array" ref="AA156">Common_InputFunctions.Utility_DisplayArrayInTable(Fertiliser_SourceData.Fertiliser_Products_Data3(), FertiliserProducts[[#Headers],[Company]],61)</f>
        <v/>
      </c>
      <c r="AB156" s="192" t="str" cm="1">
        <f t="array" ref="AB156">Common_InputFunctions.Utility_DisplayArrayInTable(Fertiliser_SourceData.Fertiliser_Products_Data3(), FertiliserProducts[[#Headers],[Company]],61)</f>
        <v/>
      </c>
      <c r="AC156" s="192" t="str" cm="1">
        <f t="array" ref="AC156">Common_InputFunctions.Utility_DisplayArrayInTable(Fertiliser_SourceData.Fertiliser_Products_Data3(), FertiliserProducts[[#Headers],[Company]],61)</f>
        <v/>
      </c>
      <c r="AD156" s="192" t="str" cm="1">
        <f t="array" ref="AD156">Common_InputFunctions.Utility_DisplayArrayInTable(Fertiliser_SourceData.Fertiliser_Products_Data3(), FertiliserProducts[[#Headers],[Company]],61)</f>
        <v/>
      </c>
      <c r="AE156" s="192" t="str" cm="1">
        <f t="array" ref="AE156">Common_InputFunctions.Utility_DisplayArrayInTable(Fertiliser_SourceData.Fertiliser_Products_Data3(), FertiliserProducts[[#Headers],[Company]],61)</f>
        <v/>
      </c>
      <c r="AF156" s="192" t="str" cm="1">
        <f t="array" ref="AF156">Common_InputFunctions.Utility_DisplayArrayInTable(Fertiliser_SourceData.Fertiliser_Products_Data3(), FertiliserProducts[[#Headers],[Company]],61)</f>
        <v/>
      </c>
      <c r="AG156" s="192" t="str" cm="1">
        <f t="array" ref="AG156">Common_InputFunctions.Utility_DisplayArrayInTable(Fertiliser_SourceData.Fertiliser_Products_Data3(), FertiliserProducts[[#Headers],[Company]],61)</f>
        <v/>
      </c>
      <c r="AH156" s="192" t="str" cm="1">
        <f t="array" ref="AH156">Common_InputFunctions.Utility_DisplayArrayInTable(Fertiliser_SourceData.Fertiliser_Products_Data3(), FertiliserProducts[[#Headers],[Company]],61)</f>
        <v/>
      </c>
      <c r="AK156" s="1"/>
    </row>
    <row r="157" spans="4:39" ht="20.100000000000001" customHeight="1" x14ac:dyDescent="0.25">
      <c r="D157" s="192" t="str" cm="1">
        <f t="array" ref="D157">Common_InputFunctions.Utility_DisplayArrayInTable(Fertiliser_SourceData.Fertiliser_Products_Data3(), FertiliserProducts[[#Headers],[Company]],61)</f>
        <v>Campbells fertilisers Australia</v>
      </c>
      <c r="E157" s="192" t="str" cm="1">
        <f t="array" ref="E157">Common_InputFunctions.Utility_DisplayArrayInTable(Fertiliser_SourceData.Fertiliser_Products_Data3(), FertiliserProducts[[#Headers],[Company]],61)</f>
        <v>Rustica Nergetic</v>
      </c>
      <c r="F157" s="192" t="str" cm="1">
        <f t="array" ref="F157">Common_InputFunctions.Utility_DisplayArrayInTable(Fertiliser_SourceData.Fertiliser_Products_Data3(), FertiliserProducts[[#Headers],[Company]],61)</f>
        <v>kg</v>
      </c>
      <c r="G157" s="192" cm="1">
        <f t="array" ref="G157">Common_InputFunctions.Utility_DisplayArrayInTable(Fertiliser_SourceData.Fertiliser_Products_Data3(), FertiliserProducts[[#Headers],[Company]],61)</f>
        <v>1</v>
      </c>
      <c r="H157" s="192" t="str" cm="1">
        <f t="array" ref="H157">Common_InputFunctions.Utility_DisplayArrayInTable(Fertiliser_SourceData.Fertiliser_Products_Data3(), FertiliserProducts[[#Headers],[Company]],61)</f>
        <v/>
      </c>
      <c r="I157" s="192" t="str" cm="1">
        <f t="array" ref="I157">Common_InputFunctions.Utility_DisplayArrayInTable(Fertiliser_SourceData.Fertiliser_Products_Data3(), FertiliserProducts[[#Headers],[Company]],61)</f>
        <v/>
      </c>
      <c r="J157" s="192" t="str" cm="1">
        <f t="array" ref="J157">Common_InputFunctions.Utility_DisplayArrayInTable(Fertiliser_SourceData.Fertiliser_Products_Data3(), FertiliserProducts[[#Headers],[Company]],61)</f>
        <v/>
      </c>
      <c r="K157" s="192" cm="1">
        <f t="array" ref="K157">Common_InputFunctions.Utility_DisplayArrayInTable(Fertiliser_SourceData.Fertiliser_Products_Data3(), FertiliserProducts[[#Headers],[Company]],61)</f>
        <v>12</v>
      </c>
      <c r="L157" s="192" cm="1">
        <f t="array" ref="L157">Common_InputFunctions.Utility_DisplayArrayInTable(Fertiliser_SourceData.Fertiliser_Products_Data3(), FertiliserProducts[[#Headers],[Company]],61)</f>
        <v>5.2</v>
      </c>
      <c r="M157" s="192" cm="1">
        <f t="array" ref="M157">Common_InputFunctions.Utility_DisplayArrayInTable(Fertiliser_SourceData.Fertiliser_Products_Data3(), FertiliserProducts[[#Headers],[Company]],61)</f>
        <v>14.1</v>
      </c>
      <c r="N157" s="192" cm="1">
        <f t="array" ref="N157">Common_InputFunctions.Utility_DisplayArrayInTable(Fertiliser_SourceData.Fertiliser_Products_Data3(), FertiliserProducts[[#Headers],[Company]],61)</f>
        <v>9.6</v>
      </c>
      <c r="O157" s="192" t="str" cm="1">
        <f t="array" ref="O157">Common_InputFunctions.Utility_DisplayArrayInTable(Fertiliser_SourceData.Fertiliser_Products_Data3(), FertiliserProducts[[#Headers],[Company]],61)</f>
        <v>Potassium - Generic</v>
      </c>
      <c r="P157" s="192" cm="1">
        <f t="array" ref="P157">Common_InputFunctions.Utility_DisplayArrayInTable(Fertiliser_SourceData.Fertiliser_Products_Data3(), FertiliserProducts[[#Headers],[Company]],61)</f>
        <v>0.14099999999999999</v>
      </c>
      <c r="Q157" s="192" t="str" cm="1">
        <f t="array" ref="Q157">Common_InputFunctions.Utility_DisplayArrayInTable(Fertiliser_SourceData.Fertiliser_Products_Data3(), FertiliserProducts[[#Headers],[Company]],61)</f>
        <v>Sulfur - Generic</v>
      </c>
      <c r="R157" s="192" cm="1">
        <f t="array" ref="R157">Common_InputFunctions.Utility_DisplayArrayInTable(Fertiliser_SourceData.Fertiliser_Products_Data3(), FertiliserProducts[[#Headers],[Company]],61)</f>
        <v>9.6000000000000002E-2</v>
      </c>
      <c r="S157" s="192" t="str" cm="1">
        <f t="array" ref="S157">Common_InputFunctions.Utility_DisplayArrayInTable(Fertiliser_SourceData.Fertiliser_Products_Data3(), FertiliserProducts[[#Headers],[Company]],61)</f>
        <v>Nitrogen - Nitrate</v>
      </c>
      <c r="T157" s="192" cm="1">
        <f t="array" ref="T157">Common_InputFunctions.Utility_DisplayArrayInTable(Fertiliser_SourceData.Fertiliser_Products_Data3(), FertiliserProducts[[#Headers],[Company]],61)</f>
        <v>0.06</v>
      </c>
      <c r="U157" s="192" t="str" cm="1">
        <f t="array" ref="U157">Common_InputFunctions.Utility_DisplayArrayInTable(Fertiliser_SourceData.Fertiliser_Products_Data3(), FertiliserProducts[[#Headers],[Company]],61)</f>
        <v>Nitrogen - Ammoniacal</v>
      </c>
      <c r="V157" s="192" cm="1">
        <f t="array" ref="V157">Common_InputFunctions.Utility_DisplayArrayInTable(Fertiliser_SourceData.Fertiliser_Products_Data3(), FertiliserProducts[[#Headers],[Company]],61)</f>
        <v>0.06</v>
      </c>
      <c r="W157" s="192" t="str" cm="1">
        <f t="array" ref="W157">Common_InputFunctions.Utility_DisplayArrayInTable(Fertiliser_SourceData.Fertiliser_Products_Data3(), FertiliserProducts[[#Headers],[Company]],61)</f>
        <v>Phosphorus - Generic</v>
      </c>
      <c r="X157" s="192" cm="1">
        <f t="array" ref="X157">Common_InputFunctions.Utility_DisplayArrayInTable(Fertiliser_SourceData.Fertiliser_Products_Data3(), FertiliserProducts[[#Headers],[Company]],61)</f>
        <v>5.1999999999999998E-2</v>
      </c>
      <c r="Y157" s="192" t="str" cm="1">
        <f t="array" ref="Y157">Common_InputFunctions.Utility_DisplayArrayInTable(Fertiliser_SourceData.Fertiliser_Products_Data3(), FertiliserProducts[[#Headers],[Company]],61)</f>
        <v>Magnesium</v>
      </c>
      <c r="Z157" s="192" cm="1">
        <f t="array" ref="Z157">Common_InputFunctions.Utility_DisplayArrayInTable(Fertiliser_SourceData.Fertiliser_Products_Data3(), FertiliserProducts[[#Headers],[Company]],61)</f>
        <v>1.2E-2</v>
      </c>
      <c r="AA157" s="192" t="str" cm="1">
        <f t="array" ref="AA157">Common_InputFunctions.Utility_DisplayArrayInTable(Fertiliser_SourceData.Fertiliser_Products_Data3(), FertiliserProducts[[#Headers],[Company]],61)</f>
        <v>Zinc</v>
      </c>
      <c r="AB157" s="192" cm="1">
        <f t="array" ref="AB157">Common_InputFunctions.Utility_DisplayArrayInTable(Fertiliser_SourceData.Fertiliser_Products_Data3(), FertiliserProducts[[#Headers],[Company]],61)</f>
        <v>8.0000000000000004E-4</v>
      </c>
      <c r="AC157" s="192" t="str" cm="1">
        <f t="array" ref="AC157">Common_InputFunctions.Utility_DisplayArrayInTable(Fertiliser_SourceData.Fertiliser_Products_Data3(), FertiliserProducts[[#Headers],[Company]],61)</f>
        <v>Iron</v>
      </c>
      <c r="AD157" s="192" cm="1">
        <f t="array" ref="AD157">Common_InputFunctions.Utility_DisplayArrayInTable(Fertiliser_SourceData.Fertiliser_Products_Data3(), FertiliserProducts[[#Headers],[Company]],61)</f>
        <v>6.9999999999999999E-4</v>
      </c>
      <c r="AE157" s="192" t="str" cm="1">
        <f t="array" ref="AE157">Common_InputFunctions.Utility_DisplayArrayInTable(Fertiliser_SourceData.Fertiliser_Products_Data3(), FertiliserProducts[[#Headers],[Company]],61)</f>
        <v>Manganese</v>
      </c>
      <c r="AF157" s="192" cm="1">
        <f t="array" ref="AF157">Common_InputFunctions.Utility_DisplayArrayInTable(Fertiliser_SourceData.Fertiliser_Products_Data3(), FertiliserProducts[[#Headers],[Company]],61)</f>
        <v>5.9999999999999995E-4</v>
      </c>
      <c r="AG157" s="192" t="str" cm="1">
        <f t="array" ref="AG157">Common_InputFunctions.Utility_DisplayArrayInTable(Fertiliser_SourceData.Fertiliser_Products_Data3(), FertiliserProducts[[#Headers],[Company]],61)</f>
        <v>Boron</v>
      </c>
      <c r="AH157" s="192" cm="1">
        <f t="array" ref="AH157">Common_InputFunctions.Utility_DisplayArrayInTable(Fertiliser_SourceData.Fertiliser_Products_Data3(), FertiliserProducts[[#Headers],[Company]],61)</f>
        <v>2.0000000000000001E-4</v>
      </c>
      <c r="AK157" s="1"/>
    </row>
    <row r="158" spans="4:39" ht="20.100000000000001" customHeight="1" x14ac:dyDescent="0.25">
      <c r="D158" s="192" t="str" cm="1">
        <f t="array" ref="D158">Common_InputFunctions.Utility_DisplayArrayInTable(Fertiliser_SourceData.Fertiliser_Products_Data3(), FertiliserProducts[[#Headers],[Company]],61)</f>
        <v>Campbells fertilisers Australia</v>
      </c>
      <c r="E158" s="192" t="str" cm="1">
        <f t="array" ref="E158">Common_InputFunctions.Utility_DisplayArrayInTable(Fertiliser_SourceData.Fertiliser_Products_Data3(), FertiliserProducts[[#Headers],[Company]],61)</f>
        <v>Quick-N Nergetic</v>
      </c>
      <c r="F158" s="192" t="str" cm="1">
        <f t="array" ref="F158">Common_InputFunctions.Utility_DisplayArrayInTable(Fertiliser_SourceData.Fertiliser_Products_Data3(), FertiliserProducts[[#Headers],[Company]],61)</f>
        <v>kg</v>
      </c>
      <c r="G158" s="192" cm="1">
        <f t="array" ref="G158">Common_InputFunctions.Utility_DisplayArrayInTable(Fertiliser_SourceData.Fertiliser_Products_Data3(), FertiliserProducts[[#Headers],[Company]],61)</f>
        <v>1</v>
      </c>
      <c r="H158" s="192" t="str" cm="1">
        <f t="array" ref="H158">Common_InputFunctions.Utility_DisplayArrayInTable(Fertiliser_SourceData.Fertiliser_Products_Data3(), FertiliserProducts[[#Headers],[Company]],61)</f>
        <v/>
      </c>
      <c r="I158" s="192" t="str" cm="1">
        <f t="array" ref="I158">Common_InputFunctions.Utility_DisplayArrayInTable(Fertiliser_SourceData.Fertiliser_Products_Data3(), FertiliserProducts[[#Headers],[Company]],61)</f>
        <v/>
      </c>
      <c r="J158" s="192" t="str" cm="1">
        <f t="array" ref="J158">Common_InputFunctions.Utility_DisplayArrayInTable(Fertiliser_SourceData.Fertiliser_Products_Data3(), FertiliserProducts[[#Headers],[Company]],61)</f>
        <v/>
      </c>
      <c r="K158" s="192" cm="1">
        <f t="array" ref="K158">Common_InputFunctions.Utility_DisplayArrayInTable(Fertiliser_SourceData.Fertiliser_Products_Data3(), FertiliserProducts[[#Headers],[Company]],61)</f>
        <v>25</v>
      </c>
      <c r="L158" s="192" t="str" cm="1">
        <f t="array" ref="L158">Common_InputFunctions.Utility_DisplayArrayInTable(Fertiliser_SourceData.Fertiliser_Products_Data3(), FertiliserProducts[[#Headers],[Company]],61)</f>
        <v/>
      </c>
      <c r="M158" s="192" t="str" cm="1">
        <f t="array" ref="M158">Common_InputFunctions.Utility_DisplayArrayInTable(Fertiliser_SourceData.Fertiliser_Products_Data3(), FertiliserProducts[[#Headers],[Company]],61)</f>
        <v/>
      </c>
      <c r="N158" s="192" cm="1">
        <f t="array" ref="N158">Common_InputFunctions.Utility_DisplayArrayInTable(Fertiliser_SourceData.Fertiliser_Products_Data3(), FertiliserProducts[[#Headers],[Company]],61)</f>
        <v>12.8</v>
      </c>
      <c r="O158" s="192" t="str" cm="1">
        <f t="array" ref="O158">Common_InputFunctions.Utility_DisplayArrayInTable(Fertiliser_SourceData.Fertiliser_Products_Data3(), FertiliserProducts[[#Headers],[Company]],61)</f>
        <v>Sulphate of ammonia (SOA)</v>
      </c>
      <c r="P158" s="192" cm="1">
        <f t="array" ref="P158">Common_InputFunctions.Utility_DisplayArrayInTable(Fertiliser_SourceData.Fertiliser_Products_Data3(), FertiliserProducts[[#Headers],[Company]],61)</f>
        <v>0.53333299999999995</v>
      </c>
      <c r="Q158" s="192" t="str" cm="1">
        <f t="array" ref="Q158">Common_InputFunctions.Utility_DisplayArrayInTable(Fertiliser_SourceData.Fertiliser_Products_Data3(), FertiliserProducts[[#Headers],[Company]],61)</f>
        <v>Ammonium nitrate (AN)</v>
      </c>
      <c r="R158" s="192" cm="1">
        <f t="array" ref="R158">Common_InputFunctions.Utility_DisplayArrayInTable(Fertiliser_SourceData.Fertiliser_Products_Data3(), FertiliserProducts[[#Headers],[Company]],61)</f>
        <v>0.40949600000000003</v>
      </c>
      <c r="S158" s="192" t="str" cm="1">
        <f t="array" ref="S158">Common_InputFunctions.Utility_DisplayArrayInTable(Fertiliser_SourceData.Fertiliser_Products_Data3(), FertiliserProducts[[#Headers],[Company]],61)</f>
        <v>Zinc</v>
      </c>
      <c r="T158" s="192" cm="1">
        <f t="array" ref="T158">Common_InputFunctions.Utility_DisplayArrayInTable(Fertiliser_SourceData.Fertiliser_Products_Data3(), FertiliserProducts[[#Headers],[Company]],61)</f>
        <v>1E-3</v>
      </c>
      <c r="U158" s="192" t="str" cm="1">
        <f t="array" ref="U158">Common_InputFunctions.Utility_DisplayArrayInTable(Fertiliser_SourceData.Fertiliser_Products_Data3(), FertiliserProducts[[#Headers],[Company]],61)</f>
        <v>Manganese</v>
      </c>
      <c r="V158" s="192" cm="1">
        <f t="array" ref="V158">Common_InputFunctions.Utility_DisplayArrayInTable(Fertiliser_SourceData.Fertiliser_Products_Data3(), FertiliserProducts[[#Headers],[Company]],61)</f>
        <v>1E-3</v>
      </c>
      <c r="W158" s="192" t="str" cm="1">
        <f t="array" ref="W158">Common_InputFunctions.Utility_DisplayArrayInTable(Fertiliser_SourceData.Fertiliser_Products_Data3(), FertiliserProducts[[#Headers],[Company]],61)</f>
        <v>Boron</v>
      </c>
      <c r="X158" s="192" cm="1">
        <f t="array" ref="X158">Common_InputFunctions.Utility_DisplayArrayInTable(Fertiliser_SourceData.Fertiliser_Products_Data3(), FertiliserProducts[[#Headers],[Company]],61)</f>
        <v>1E-4</v>
      </c>
      <c r="Y158" s="192" t="str" cm="1">
        <f t="array" ref="Y158">Common_InputFunctions.Utility_DisplayArrayInTable(Fertiliser_SourceData.Fertiliser_Products_Data3(), FertiliserProducts[[#Headers],[Company]],61)</f>
        <v>Molybdenum</v>
      </c>
      <c r="Z158" s="192" cm="1">
        <f t="array" ref="Z158">Common_InputFunctions.Utility_DisplayArrayInTable(Fertiliser_SourceData.Fertiliser_Products_Data3(), FertiliserProducts[[#Headers],[Company]],61)</f>
        <v>1.0000000000000001E-5</v>
      </c>
      <c r="AA158" s="192" t="str" cm="1">
        <f t="array" ref="AA158">Common_InputFunctions.Utility_DisplayArrayInTable(Fertiliser_SourceData.Fertiliser_Products_Data3(), FertiliserProducts[[#Headers],[Company]],61)</f>
        <v/>
      </c>
      <c r="AB158" s="192" t="str" cm="1">
        <f t="array" ref="AB158">Common_InputFunctions.Utility_DisplayArrayInTable(Fertiliser_SourceData.Fertiliser_Products_Data3(), FertiliserProducts[[#Headers],[Company]],61)</f>
        <v/>
      </c>
      <c r="AC158" s="192" t="str" cm="1">
        <f t="array" ref="AC158">Common_InputFunctions.Utility_DisplayArrayInTable(Fertiliser_SourceData.Fertiliser_Products_Data3(), FertiliserProducts[[#Headers],[Company]],61)</f>
        <v/>
      </c>
      <c r="AD158" s="192" t="str" cm="1">
        <f t="array" ref="AD158">Common_InputFunctions.Utility_DisplayArrayInTable(Fertiliser_SourceData.Fertiliser_Products_Data3(), FertiliserProducts[[#Headers],[Company]],61)</f>
        <v/>
      </c>
      <c r="AE158" s="192" t="str" cm="1">
        <f t="array" ref="AE158">Common_InputFunctions.Utility_DisplayArrayInTable(Fertiliser_SourceData.Fertiliser_Products_Data3(), FertiliserProducts[[#Headers],[Company]],61)</f>
        <v/>
      </c>
      <c r="AF158" s="192" t="str" cm="1">
        <f t="array" ref="AF158">Common_InputFunctions.Utility_DisplayArrayInTable(Fertiliser_SourceData.Fertiliser_Products_Data3(), FertiliserProducts[[#Headers],[Company]],61)</f>
        <v/>
      </c>
      <c r="AG158" s="192" t="str" cm="1">
        <f t="array" ref="AG158">Common_InputFunctions.Utility_DisplayArrayInTable(Fertiliser_SourceData.Fertiliser_Products_Data3(), FertiliserProducts[[#Headers],[Company]],61)</f>
        <v/>
      </c>
      <c r="AH158" s="192" t="str" cm="1">
        <f t="array" ref="AH158">Common_InputFunctions.Utility_DisplayArrayInTable(Fertiliser_SourceData.Fertiliser_Products_Data3(), FertiliserProducts[[#Headers],[Company]],61)</f>
        <v/>
      </c>
      <c r="AK158" s="1"/>
    </row>
    <row r="159" spans="4:39" ht="20.100000000000001" customHeight="1" x14ac:dyDescent="0.25">
      <c r="D159" s="192" t="str" cm="1">
        <f t="array" ref="D159">Common_InputFunctions.Utility_DisplayArrayInTable(Fertiliser_SourceData.Fertiliser_Products_Data3(), FertiliserProducts[[#Headers],[Company]],61)</f>
        <v>FertPro Manufacturing Pty. Ltd.</v>
      </c>
      <c r="E159" s="192" t="str" cm="1">
        <f t="array" ref="E159">Common_InputFunctions.Utility_DisplayArrayInTable(Fertiliser_SourceData.Fertiliser_Products_Data3(), FertiliserProducts[[#Headers],[Company]],61)</f>
        <v>(SSP) Single Super Fertiliser</v>
      </c>
      <c r="F159" s="192" t="str" cm="1">
        <f t="array" ref="F159">Common_InputFunctions.Utility_DisplayArrayInTable(Fertiliser_SourceData.Fertiliser_Products_Data3(), FertiliserProducts[[#Headers],[Company]],61)</f>
        <v>kg</v>
      </c>
      <c r="G159" s="192" cm="1">
        <f t="array" ref="G159">Common_InputFunctions.Utility_DisplayArrayInTable(Fertiliser_SourceData.Fertiliser_Products_Data3(), FertiliserProducts[[#Headers],[Company]],61)</f>
        <v>1</v>
      </c>
      <c r="H159" s="192" t="str" cm="1">
        <f t="array" ref="H159">Common_InputFunctions.Utility_DisplayArrayInTable(Fertiliser_SourceData.Fertiliser_Products_Data3(), FertiliserProducts[[#Headers],[Company]],61)</f>
        <v/>
      </c>
      <c r="I159" s="192" t="str" cm="1">
        <f t="array" ref="I159">Common_InputFunctions.Utility_DisplayArrayInTable(Fertiliser_SourceData.Fertiliser_Products_Data3(), FertiliserProducts[[#Headers],[Company]],61)</f>
        <v/>
      </c>
      <c r="J159" s="192" t="str" cm="1">
        <f t="array" ref="J159">Common_InputFunctions.Utility_DisplayArrayInTable(Fertiliser_SourceData.Fertiliser_Products_Data3(), FertiliserProducts[[#Headers],[Company]],61)</f>
        <v/>
      </c>
      <c r="K159" s="192" t="str" cm="1">
        <f t="array" ref="K159">Common_InputFunctions.Utility_DisplayArrayInTable(Fertiliser_SourceData.Fertiliser_Products_Data3(), FertiliserProducts[[#Headers],[Company]],61)</f>
        <v/>
      </c>
      <c r="L159" s="192" cm="1">
        <f t="array" ref="L159">Common_InputFunctions.Utility_DisplayArrayInTable(Fertiliser_SourceData.Fertiliser_Products_Data3(), FertiliserProducts[[#Headers],[Company]],61)</f>
        <v>8.8000000000000007</v>
      </c>
      <c r="M159" s="192" t="str" cm="1">
        <f t="array" ref="M159">Common_InputFunctions.Utility_DisplayArrayInTable(Fertiliser_SourceData.Fertiliser_Products_Data3(), FertiliserProducts[[#Headers],[Company]],61)</f>
        <v/>
      </c>
      <c r="N159" s="192" cm="1">
        <f t="array" ref="N159">Common_InputFunctions.Utility_DisplayArrayInTable(Fertiliser_SourceData.Fertiliser_Products_Data3(), FertiliserProducts[[#Headers],[Company]],61)</f>
        <v>11</v>
      </c>
      <c r="O159" s="192" t="str" cm="1">
        <f t="array" ref="O159">Common_InputFunctions.Utility_DisplayArrayInTable(Fertiliser_SourceData.Fertiliser_Products_Data3(), FertiliserProducts[[#Headers],[Company]],61)</f>
        <v>Single superphosphate (SSP)</v>
      </c>
      <c r="P159" s="192" cm="1">
        <f t="array" ref="P159">Common_InputFunctions.Utility_DisplayArrayInTable(Fertiliser_SourceData.Fertiliser_Products_Data3(), FertiliserProducts[[#Headers],[Company]],61)</f>
        <v>1</v>
      </c>
      <c r="Q159" s="192" t="str" cm="1">
        <f t="array" ref="Q159">Common_InputFunctions.Utility_DisplayArrayInTable(Fertiliser_SourceData.Fertiliser_Products_Data3(), FertiliserProducts[[#Headers],[Company]],61)</f>
        <v/>
      </c>
      <c r="R159" s="192" t="str" cm="1">
        <f t="array" ref="R159">Common_InputFunctions.Utility_DisplayArrayInTable(Fertiliser_SourceData.Fertiliser_Products_Data3(), FertiliserProducts[[#Headers],[Company]],61)</f>
        <v/>
      </c>
      <c r="S159" s="192" t="str" cm="1">
        <f t="array" ref="S159">Common_InputFunctions.Utility_DisplayArrayInTable(Fertiliser_SourceData.Fertiliser_Products_Data3(), FertiliserProducts[[#Headers],[Company]],61)</f>
        <v/>
      </c>
      <c r="T159" s="192" t="str" cm="1">
        <f t="array" ref="T159">Common_InputFunctions.Utility_DisplayArrayInTable(Fertiliser_SourceData.Fertiliser_Products_Data3(), FertiliserProducts[[#Headers],[Company]],61)</f>
        <v/>
      </c>
      <c r="U159" s="192" t="str" cm="1">
        <f t="array" ref="U159">Common_InputFunctions.Utility_DisplayArrayInTable(Fertiliser_SourceData.Fertiliser_Products_Data3(), FertiliserProducts[[#Headers],[Company]],61)</f>
        <v/>
      </c>
      <c r="V159" s="192" t="str" cm="1">
        <f t="array" ref="V159">Common_InputFunctions.Utility_DisplayArrayInTable(Fertiliser_SourceData.Fertiliser_Products_Data3(), FertiliserProducts[[#Headers],[Company]],61)</f>
        <v/>
      </c>
      <c r="W159" s="192" t="str" cm="1">
        <f t="array" ref="W159">Common_InputFunctions.Utility_DisplayArrayInTable(Fertiliser_SourceData.Fertiliser_Products_Data3(), FertiliserProducts[[#Headers],[Company]],61)</f>
        <v/>
      </c>
      <c r="X159" s="192" t="str" cm="1">
        <f t="array" ref="X159">Common_InputFunctions.Utility_DisplayArrayInTable(Fertiliser_SourceData.Fertiliser_Products_Data3(), FertiliserProducts[[#Headers],[Company]],61)</f>
        <v/>
      </c>
      <c r="Y159" s="192" t="str" cm="1">
        <f t="array" ref="Y159">Common_InputFunctions.Utility_DisplayArrayInTable(Fertiliser_SourceData.Fertiliser_Products_Data3(), FertiliserProducts[[#Headers],[Company]],61)</f>
        <v/>
      </c>
      <c r="Z159" s="192" t="str" cm="1">
        <f t="array" ref="Z159">Common_InputFunctions.Utility_DisplayArrayInTable(Fertiliser_SourceData.Fertiliser_Products_Data3(), FertiliserProducts[[#Headers],[Company]],61)</f>
        <v/>
      </c>
      <c r="AA159" s="192" t="str" cm="1">
        <f t="array" ref="AA159">Common_InputFunctions.Utility_DisplayArrayInTable(Fertiliser_SourceData.Fertiliser_Products_Data3(), FertiliserProducts[[#Headers],[Company]],61)</f>
        <v/>
      </c>
      <c r="AB159" s="192" t="str" cm="1">
        <f t="array" ref="AB159">Common_InputFunctions.Utility_DisplayArrayInTable(Fertiliser_SourceData.Fertiliser_Products_Data3(), FertiliserProducts[[#Headers],[Company]],61)</f>
        <v/>
      </c>
      <c r="AC159" s="192" t="str" cm="1">
        <f t="array" ref="AC159">Common_InputFunctions.Utility_DisplayArrayInTable(Fertiliser_SourceData.Fertiliser_Products_Data3(), FertiliserProducts[[#Headers],[Company]],61)</f>
        <v/>
      </c>
      <c r="AD159" s="192" t="str" cm="1">
        <f t="array" ref="AD159">Common_InputFunctions.Utility_DisplayArrayInTable(Fertiliser_SourceData.Fertiliser_Products_Data3(), FertiliserProducts[[#Headers],[Company]],61)</f>
        <v/>
      </c>
      <c r="AE159" s="192" t="str" cm="1">
        <f t="array" ref="AE159">Common_InputFunctions.Utility_DisplayArrayInTable(Fertiliser_SourceData.Fertiliser_Products_Data3(), FertiliserProducts[[#Headers],[Company]],61)</f>
        <v/>
      </c>
      <c r="AF159" s="192" t="str" cm="1">
        <f t="array" ref="AF159">Common_InputFunctions.Utility_DisplayArrayInTable(Fertiliser_SourceData.Fertiliser_Products_Data3(), FertiliserProducts[[#Headers],[Company]],61)</f>
        <v/>
      </c>
      <c r="AG159" s="192" t="str" cm="1">
        <f t="array" ref="AG159">Common_InputFunctions.Utility_DisplayArrayInTable(Fertiliser_SourceData.Fertiliser_Products_Data3(), FertiliserProducts[[#Headers],[Company]],61)</f>
        <v/>
      </c>
      <c r="AH159" s="192" t="str" cm="1">
        <f t="array" ref="AH159">Common_InputFunctions.Utility_DisplayArrayInTable(Fertiliser_SourceData.Fertiliser_Products_Data3(), FertiliserProducts[[#Headers],[Company]],61)</f>
        <v/>
      </c>
      <c r="AK159" s="1"/>
    </row>
    <row r="160" spans="4:39" ht="20.100000000000001" customHeight="1" x14ac:dyDescent="0.25">
      <c r="D160" s="192" t="str" cm="1">
        <f t="array" ref="D160">Common_InputFunctions.Utility_DisplayArrayInTable(Fertiliser_SourceData.Fertiliser_Products_Data3(), FertiliserProducts[[#Headers],[Company]],61)</f>
        <v>Impact Fertilisers</v>
      </c>
      <c r="E160" s="192" t="str" cm="1">
        <f t="array" ref="E160">Common_InputFunctions.Utility_DisplayArrayInTable(Fertiliser_SourceData.Fertiliser_Products_Data3(), FertiliserProducts[[#Headers],[Company]],61)</f>
        <v>ZincStar</v>
      </c>
      <c r="F160" s="192" t="str" cm="1">
        <f t="array" ref="F160">Common_InputFunctions.Utility_DisplayArrayInTable(Fertiliser_SourceData.Fertiliser_Products_Data3(), FertiliserProducts[[#Headers],[Company]],61)</f>
        <v>kg</v>
      </c>
      <c r="G160" s="192" cm="1">
        <f t="array" ref="G160">Common_InputFunctions.Utility_DisplayArrayInTable(Fertiliser_SourceData.Fertiliser_Products_Data3(), FertiliserProducts[[#Headers],[Company]],61)</f>
        <v>1</v>
      </c>
      <c r="H160" s="192" t="str" cm="1">
        <f t="array" ref="H160">Common_InputFunctions.Utility_DisplayArrayInTable(Fertiliser_SourceData.Fertiliser_Products_Data3(), FertiliserProducts[[#Headers],[Company]],61)</f>
        <v/>
      </c>
      <c r="I160" s="192" t="str" cm="1">
        <f t="array" ref="I160">Common_InputFunctions.Utility_DisplayArrayInTable(Fertiliser_SourceData.Fertiliser_Products_Data3(), FertiliserProducts[[#Headers],[Company]],61)</f>
        <v/>
      </c>
      <c r="J160" s="192" t="str" cm="1">
        <f t="array" ref="J160">Common_InputFunctions.Utility_DisplayArrayInTable(Fertiliser_SourceData.Fertiliser_Products_Data3(), FertiliserProducts[[#Headers],[Company]],61)</f>
        <v/>
      </c>
      <c r="K160" s="192" cm="1">
        <f t="array" ref="K160">Common_InputFunctions.Utility_DisplayArrayInTable(Fertiliser_SourceData.Fertiliser_Products_Data3(), FertiliserProducts[[#Headers],[Company]],61)</f>
        <v>10</v>
      </c>
      <c r="L160" s="192" cm="1">
        <f t="array" ref="L160">Common_InputFunctions.Utility_DisplayArrayInTable(Fertiliser_SourceData.Fertiliser_Products_Data3(), FertiliserProducts[[#Headers],[Company]],61)</f>
        <v>21.9</v>
      </c>
      <c r="M160" s="192" cm="1">
        <f t="array" ref="M160">Common_InputFunctions.Utility_DisplayArrayInTable(Fertiliser_SourceData.Fertiliser_Products_Data3(), FertiliserProducts[[#Headers],[Company]],61)</f>
        <v>0</v>
      </c>
      <c r="N160" s="192" cm="1">
        <f t="array" ref="N160">Common_InputFunctions.Utility_DisplayArrayInTable(Fertiliser_SourceData.Fertiliser_Products_Data3(), FertiliserProducts[[#Headers],[Company]],61)</f>
        <v>2</v>
      </c>
      <c r="O160" s="192" t="str" cm="1">
        <f t="array" ref="O160">Common_InputFunctions.Utility_DisplayArrayInTable(Fertiliser_SourceData.Fertiliser_Products_Data3(), FertiliserProducts[[#Headers],[Company]],61)</f>
        <v>Monoammonium phosphate (MAP)</v>
      </c>
      <c r="P160" s="192" cm="1">
        <f t="array" ref="P160">Common_InputFunctions.Utility_DisplayArrayInTable(Fertiliser_SourceData.Fertiliser_Products_Data3(), FertiliserProducts[[#Headers],[Company]],61)</f>
        <v>1</v>
      </c>
      <c r="Q160" s="192" t="str" cm="1">
        <f t="array" ref="Q160">Common_InputFunctions.Utility_DisplayArrayInTable(Fertiliser_SourceData.Fertiliser_Products_Data3(), FertiliserProducts[[#Headers],[Company]],61)</f>
        <v>Zinc</v>
      </c>
      <c r="R160" s="192" cm="1">
        <f t="array" ref="R160">Common_InputFunctions.Utility_DisplayArrayInTable(Fertiliser_SourceData.Fertiliser_Products_Data3(), FertiliserProducts[[#Headers],[Company]],61)</f>
        <v>0.01</v>
      </c>
      <c r="S160" s="192" t="str" cm="1">
        <f t="array" ref="S160">Common_InputFunctions.Utility_DisplayArrayInTable(Fertiliser_SourceData.Fertiliser_Products_Data3(), FertiliserProducts[[#Headers],[Company]],61)</f>
        <v/>
      </c>
      <c r="T160" s="192" t="str" cm="1">
        <f t="array" ref="T160">Common_InputFunctions.Utility_DisplayArrayInTable(Fertiliser_SourceData.Fertiliser_Products_Data3(), FertiliserProducts[[#Headers],[Company]],61)</f>
        <v/>
      </c>
      <c r="U160" s="192" t="str" cm="1">
        <f t="array" ref="U160">Common_InputFunctions.Utility_DisplayArrayInTable(Fertiliser_SourceData.Fertiliser_Products_Data3(), FertiliserProducts[[#Headers],[Company]],61)</f>
        <v/>
      </c>
      <c r="V160" s="192" t="str" cm="1">
        <f t="array" ref="V160">Common_InputFunctions.Utility_DisplayArrayInTable(Fertiliser_SourceData.Fertiliser_Products_Data3(), FertiliserProducts[[#Headers],[Company]],61)</f>
        <v/>
      </c>
      <c r="W160" s="192" t="str" cm="1">
        <f t="array" ref="W160">Common_InputFunctions.Utility_DisplayArrayInTable(Fertiliser_SourceData.Fertiliser_Products_Data3(), FertiliserProducts[[#Headers],[Company]],61)</f>
        <v/>
      </c>
      <c r="X160" s="192" t="str" cm="1">
        <f t="array" ref="X160">Common_InputFunctions.Utility_DisplayArrayInTable(Fertiliser_SourceData.Fertiliser_Products_Data3(), FertiliserProducts[[#Headers],[Company]],61)</f>
        <v/>
      </c>
      <c r="Y160" s="192" t="str" cm="1">
        <f t="array" ref="Y160">Common_InputFunctions.Utility_DisplayArrayInTable(Fertiliser_SourceData.Fertiliser_Products_Data3(), FertiliserProducts[[#Headers],[Company]],61)</f>
        <v/>
      </c>
      <c r="Z160" s="192" t="str" cm="1">
        <f t="array" ref="Z160">Common_InputFunctions.Utility_DisplayArrayInTable(Fertiliser_SourceData.Fertiliser_Products_Data3(), FertiliserProducts[[#Headers],[Company]],61)</f>
        <v/>
      </c>
      <c r="AA160" s="192" t="str" cm="1">
        <f t="array" ref="AA160">Common_InputFunctions.Utility_DisplayArrayInTable(Fertiliser_SourceData.Fertiliser_Products_Data3(), FertiliserProducts[[#Headers],[Company]],61)</f>
        <v/>
      </c>
      <c r="AB160" s="192" t="str" cm="1">
        <f t="array" ref="AB160">Common_InputFunctions.Utility_DisplayArrayInTable(Fertiliser_SourceData.Fertiliser_Products_Data3(), FertiliserProducts[[#Headers],[Company]],61)</f>
        <v/>
      </c>
      <c r="AC160" s="192" t="str" cm="1">
        <f t="array" ref="AC160">Common_InputFunctions.Utility_DisplayArrayInTable(Fertiliser_SourceData.Fertiliser_Products_Data3(), FertiliserProducts[[#Headers],[Company]],61)</f>
        <v/>
      </c>
      <c r="AD160" s="192" t="str" cm="1">
        <f t="array" ref="AD160">Common_InputFunctions.Utility_DisplayArrayInTable(Fertiliser_SourceData.Fertiliser_Products_Data3(), FertiliserProducts[[#Headers],[Company]],61)</f>
        <v/>
      </c>
      <c r="AE160" s="192" t="str" cm="1">
        <f t="array" ref="AE160">Common_InputFunctions.Utility_DisplayArrayInTable(Fertiliser_SourceData.Fertiliser_Products_Data3(), FertiliserProducts[[#Headers],[Company]],61)</f>
        <v/>
      </c>
      <c r="AF160" s="192" t="str" cm="1">
        <f t="array" ref="AF160">Common_InputFunctions.Utility_DisplayArrayInTable(Fertiliser_SourceData.Fertiliser_Products_Data3(), FertiliserProducts[[#Headers],[Company]],61)</f>
        <v/>
      </c>
      <c r="AG160" s="192" t="str" cm="1">
        <f t="array" ref="AG160">Common_InputFunctions.Utility_DisplayArrayInTable(Fertiliser_SourceData.Fertiliser_Products_Data3(), FertiliserProducts[[#Headers],[Company]],61)</f>
        <v/>
      </c>
      <c r="AH160" s="192" t="str" cm="1">
        <f t="array" ref="AH160">Common_InputFunctions.Utility_DisplayArrayInTable(Fertiliser_SourceData.Fertiliser_Products_Data3(), FertiliserProducts[[#Headers],[Company]],61)</f>
        <v/>
      </c>
      <c r="AK160" s="1"/>
    </row>
    <row r="161" spans="4:37" ht="20.100000000000001" customHeight="1" x14ac:dyDescent="0.25">
      <c r="D161" s="192" t="str" cm="1">
        <f t="array" ref="D161">Common_InputFunctions.Utility_DisplayArrayInTable(Fertiliser_SourceData.Fertiliser_Products_Data3(), FertiliserProducts[[#Headers],[Company]],61)</f>
        <v>Baileys (Simplot) [listed as Impact]</v>
      </c>
      <c r="E161" s="192" t="str" cm="1">
        <f t="array" ref="E161">Common_InputFunctions.Utility_DisplayArrayInTable(Fertiliser_SourceData.Fertiliser_Products_Data3(), FertiliserProducts[[#Headers],[Company]],61)</f>
        <v>Apex GaIXe Low P 21-1-6</v>
      </c>
      <c r="F161" s="192" t="str" cm="1">
        <f t="array" ref="F161">Common_InputFunctions.Utility_DisplayArrayInTable(Fertiliser_SourceData.Fertiliser_Products_Data3(), FertiliserProducts[[#Headers],[Company]],61)</f>
        <v>kg</v>
      </c>
      <c r="G161" s="192" cm="1">
        <f t="array" ref="G161">Common_InputFunctions.Utility_DisplayArrayInTable(Fertiliser_SourceData.Fertiliser_Products_Data3(), FertiliserProducts[[#Headers],[Company]],61)</f>
        <v>1</v>
      </c>
      <c r="H161" s="192" t="str" cm="1">
        <f t="array" ref="H161">Common_InputFunctions.Utility_DisplayArrayInTable(Fertiliser_SourceData.Fertiliser_Products_Data3(), FertiliserProducts[[#Headers],[Company]],61)</f>
        <v/>
      </c>
      <c r="I161" s="192" t="str" cm="1">
        <f t="array" ref="I161">Common_InputFunctions.Utility_DisplayArrayInTable(Fertiliser_SourceData.Fertiliser_Products_Data3(), FertiliserProducts[[#Headers],[Company]],61)</f>
        <v/>
      </c>
      <c r="J161" s="192" t="str" cm="1">
        <f t="array" ref="J161">Common_InputFunctions.Utility_DisplayArrayInTable(Fertiliser_SourceData.Fertiliser_Products_Data3(), FertiliserProducts[[#Headers],[Company]],61)</f>
        <v/>
      </c>
      <c r="K161" s="192" cm="1">
        <f t="array" ref="K161">Common_InputFunctions.Utility_DisplayArrayInTable(Fertiliser_SourceData.Fertiliser_Products_Data3(), FertiliserProducts[[#Headers],[Company]],61)</f>
        <v>21</v>
      </c>
      <c r="L161" s="192" cm="1">
        <f t="array" ref="L161">Common_InputFunctions.Utility_DisplayArrayInTable(Fertiliser_SourceData.Fertiliser_Products_Data3(), FertiliserProducts[[#Headers],[Company]],61)</f>
        <v>0.86</v>
      </c>
      <c r="M161" s="192" cm="1">
        <f t="array" ref="M161">Common_InputFunctions.Utility_DisplayArrayInTable(Fertiliser_SourceData.Fertiliser_Products_Data3(), FertiliserProducts[[#Headers],[Company]],61)</f>
        <v>5.8</v>
      </c>
      <c r="N161" s="192" cm="1">
        <f t="array" ref="N161">Common_InputFunctions.Utility_DisplayArrayInTable(Fertiliser_SourceData.Fertiliser_Products_Data3(), FertiliserProducts[[#Headers],[Company]],61)</f>
        <v>4.2</v>
      </c>
      <c r="O161" s="192" t="str" cm="1">
        <f t="array" ref="O161">Common_InputFunctions.Utility_DisplayArrayInTable(Fertiliser_SourceData.Fertiliser_Products_Data3(), FertiliserProducts[[#Headers],[Company]],61)</f>
        <v>Nitrogen - Generic</v>
      </c>
      <c r="P161" s="192" cm="1">
        <f t="array" ref="P161">Common_InputFunctions.Utility_DisplayArrayInTable(Fertiliser_SourceData.Fertiliser_Products_Data3(), FertiliserProducts[[#Headers],[Company]],61)</f>
        <v>0.21</v>
      </c>
      <c r="Q161" s="192" t="str" cm="1">
        <f t="array" ref="Q161">Common_InputFunctions.Utility_DisplayArrayInTable(Fertiliser_SourceData.Fertiliser_Products_Data3(), FertiliserProducts[[#Headers],[Company]],61)</f>
        <v>Potassium - Generic</v>
      </c>
      <c r="R161" s="192" cm="1">
        <f t="array" ref="R161">Common_InputFunctions.Utility_DisplayArrayInTable(Fertiliser_SourceData.Fertiliser_Products_Data3(), FertiliserProducts[[#Headers],[Company]],61)</f>
        <v>5.8000000000000003E-2</v>
      </c>
      <c r="S161" s="192" t="str" cm="1">
        <f t="array" ref="S161">Common_InputFunctions.Utility_DisplayArrayInTable(Fertiliser_SourceData.Fertiliser_Products_Data3(), FertiliserProducts[[#Headers],[Company]],61)</f>
        <v>Sulfur - Generic</v>
      </c>
      <c r="T161" s="192" cm="1">
        <f t="array" ref="T161">Common_InputFunctions.Utility_DisplayArrayInTable(Fertiliser_SourceData.Fertiliser_Products_Data3(), FertiliserProducts[[#Headers],[Company]],61)</f>
        <v>4.2000000000000003E-2</v>
      </c>
      <c r="U161" s="192" t="str" cm="1">
        <f t="array" ref="U161">Common_InputFunctions.Utility_DisplayArrayInTable(Fertiliser_SourceData.Fertiliser_Products_Data3(), FertiliserProducts[[#Headers],[Company]],61)</f>
        <v>Phosphorus - Generic</v>
      </c>
      <c r="V161" s="192" cm="1">
        <f t="array" ref="V161">Common_InputFunctions.Utility_DisplayArrayInTable(Fertiliser_SourceData.Fertiliser_Products_Data3(), FertiliserProducts[[#Headers],[Company]],61)</f>
        <v>8.6E-3</v>
      </c>
      <c r="W161" s="192" t="str" cm="1">
        <f t="array" ref="W161">Common_InputFunctions.Utility_DisplayArrayInTable(Fertiliser_SourceData.Fertiliser_Products_Data3(), FertiliserProducts[[#Headers],[Company]],61)</f>
        <v/>
      </c>
      <c r="X161" s="192" t="str" cm="1">
        <f t="array" ref="X161">Common_InputFunctions.Utility_DisplayArrayInTable(Fertiliser_SourceData.Fertiliser_Products_Data3(), FertiliserProducts[[#Headers],[Company]],61)</f>
        <v/>
      </c>
      <c r="Y161" s="192" t="str" cm="1">
        <f t="array" ref="Y161">Common_InputFunctions.Utility_DisplayArrayInTable(Fertiliser_SourceData.Fertiliser_Products_Data3(), FertiliserProducts[[#Headers],[Company]],61)</f>
        <v/>
      </c>
      <c r="Z161" s="192" t="str" cm="1">
        <f t="array" ref="Z161">Common_InputFunctions.Utility_DisplayArrayInTable(Fertiliser_SourceData.Fertiliser_Products_Data3(), FertiliserProducts[[#Headers],[Company]],61)</f>
        <v/>
      </c>
      <c r="AA161" s="192" t="str" cm="1">
        <f t="array" ref="AA161">Common_InputFunctions.Utility_DisplayArrayInTable(Fertiliser_SourceData.Fertiliser_Products_Data3(), FertiliserProducts[[#Headers],[Company]],61)</f>
        <v/>
      </c>
      <c r="AB161" s="192" t="str" cm="1">
        <f t="array" ref="AB161">Common_InputFunctions.Utility_DisplayArrayInTable(Fertiliser_SourceData.Fertiliser_Products_Data3(), FertiliserProducts[[#Headers],[Company]],61)</f>
        <v/>
      </c>
      <c r="AC161" s="192" t="str" cm="1">
        <f t="array" ref="AC161">Common_InputFunctions.Utility_DisplayArrayInTable(Fertiliser_SourceData.Fertiliser_Products_Data3(), FertiliserProducts[[#Headers],[Company]],61)</f>
        <v/>
      </c>
      <c r="AD161" s="192" t="str" cm="1">
        <f t="array" ref="AD161">Common_InputFunctions.Utility_DisplayArrayInTable(Fertiliser_SourceData.Fertiliser_Products_Data3(), FertiliserProducts[[#Headers],[Company]],61)</f>
        <v/>
      </c>
      <c r="AE161" s="192" t="str" cm="1">
        <f t="array" ref="AE161">Common_InputFunctions.Utility_DisplayArrayInTable(Fertiliser_SourceData.Fertiliser_Products_Data3(), FertiliserProducts[[#Headers],[Company]],61)</f>
        <v/>
      </c>
      <c r="AF161" s="192" t="str" cm="1">
        <f t="array" ref="AF161">Common_InputFunctions.Utility_DisplayArrayInTable(Fertiliser_SourceData.Fertiliser_Products_Data3(), FertiliserProducts[[#Headers],[Company]],61)</f>
        <v/>
      </c>
      <c r="AG161" s="192" t="str" cm="1">
        <f t="array" ref="AG161">Common_InputFunctions.Utility_DisplayArrayInTable(Fertiliser_SourceData.Fertiliser_Products_Data3(), FertiliserProducts[[#Headers],[Company]],61)</f>
        <v/>
      </c>
      <c r="AH161" s="192" t="str" cm="1">
        <f t="array" ref="AH161">Common_InputFunctions.Utility_DisplayArrayInTable(Fertiliser_SourceData.Fertiliser_Products_Data3(), FertiliserProducts[[#Headers],[Company]],61)</f>
        <v/>
      </c>
      <c r="AK161" s="1"/>
    </row>
    <row r="162" spans="4:37" ht="20.100000000000001" customHeight="1" x14ac:dyDescent="0.25">
      <c r="D162" s="192" t="str" cm="1">
        <f t="array" ref="D162">Common_InputFunctions.Utility_DisplayArrayInTable(Fertiliser_SourceData.Fertiliser_Products_Data3(), FertiliserProducts[[#Headers],[Company]],61)</f>
        <v>Incitec Pivot Fertilisers</v>
      </c>
      <c r="E162" s="192" t="str" cm="1">
        <f t="array" ref="E162">Common_InputFunctions.Utility_DisplayArrayInTable(Fertiliser_SourceData.Fertiliser_Products_Data3(), FertiliserProducts[[#Headers],[Company]],61)</f>
        <v>SuPerfect</v>
      </c>
      <c r="F162" s="192" t="str" cm="1">
        <f t="array" ref="F162">Common_InputFunctions.Utility_DisplayArrayInTable(Fertiliser_SourceData.Fertiliser_Products_Data3(), FertiliserProducts[[#Headers],[Company]],61)</f>
        <v>kg</v>
      </c>
      <c r="G162" s="192" cm="1">
        <f t="array" ref="G162">Common_InputFunctions.Utility_DisplayArrayInTable(Fertiliser_SourceData.Fertiliser_Products_Data3(), FertiliserProducts[[#Headers],[Company]],61)</f>
        <v>1</v>
      </c>
      <c r="H162" s="192" t="str" cm="1">
        <f t="array" ref="H162">Common_InputFunctions.Utility_DisplayArrayInTable(Fertiliser_SourceData.Fertiliser_Products_Data3(), FertiliserProducts[[#Headers],[Company]],61)</f>
        <v/>
      </c>
      <c r="I162" s="192" t="str" cm="1">
        <f t="array" ref="I162">Common_InputFunctions.Utility_DisplayArrayInTable(Fertiliser_SourceData.Fertiliser_Products_Data3(), FertiliserProducts[[#Headers],[Company]],61)</f>
        <v/>
      </c>
      <c r="J162" s="192" t="str" cm="1">
        <f t="array" ref="J162">Common_InputFunctions.Utility_DisplayArrayInTable(Fertiliser_SourceData.Fertiliser_Products_Data3(), FertiliserProducts[[#Headers],[Company]],61)</f>
        <v/>
      </c>
      <c r="K162" s="192" t="str" cm="1">
        <f t="array" ref="K162">Common_InputFunctions.Utility_DisplayArrayInTable(Fertiliser_SourceData.Fertiliser_Products_Data3(), FertiliserProducts[[#Headers],[Company]],61)</f>
        <v/>
      </c>
      <c r="L162" s="192" cm="1">
        <f t="array" ref="L162">Common_InputFunctions.Utility_DisplayArrayInTable(Fertiliser_SourceData.Fertiliser_Products_Data3(), FertiliserProducts[[#Headers],[Company]],61)</f>
        <v>8.8000000000000007</v>
      </c>
      <c r="M162" s="192" t="str" cm="1">
        <f t="array" ref="M162">Common_InputFunctions.Utility_DisplayArrayInTable(Fertiliser_SourceData.Fertiliser_Products_Data3(), FertiliserProducts[[#Headers],[Company]],61)</f>
        <v/>
      </c>
      <c r="N162" s="192" cm="1">
        <f t="array" ref="N162">Common_InputFunctions.Utility_DisplayArrayInTable(Fertiliser_SourceData.Fertiliser_Products_Data3(), FertiliserProducts[[#Headers],[Company]],61)</f>
        <v>11</v>
      </c>
      <c r="O162" s="192" t="str" cm="1">
        <f t="array" ref="O162">Common_InputFunctions.Utility_DisplayArrayInTable(Fertiliser_SourceData.Fertiliser_Products_Data3(), FertiliserProducts[[#Headers],[Company]],61)</f>
        <v>Single superphosphate (SSP)</v>
      </c>
      <c r="P162" s="192" cm="1">
        <f t="array" ref="P162">Common_InputFunctions.Utility_DisplayArrayInTable(Fertiliser_SourceData.Fertiliser_Products_Data3(), FertiliserProducts[[#Headers],[Company]],61)</f>
        <v>1</v>
      </c>
      <c r="Q162" s="192" t="str" cm="1">
        <f t="array" ref="Q162">Common_InputFunctions.Utility_DisplayArrayInTable(Fertiliser_SourceData.Fertiliser_Products_Data3(), FertiliserProducts[[#Headers],[Company]],61)</f>
        <v/>
      </c>
      <c r="R162" s="192" t="str" cm="1">
        <f t="array" ref="R162">Common_InputFunctions.Utility_DisplayArrayInTable(Fertiliser_SourceData.Fertiliser_Products_Data3(), FertiliserProducts[[#Headers],[Company]],61)</f>
        <v/>
      </c>
      <c r="S162" s="192" t="str" cm="1">
        <f t="array" ref="S162">Common_InputFunctions.Utility_DisplayArrayInTable(Fertiliser_SourceData.Fertiliser_Products_Data3(), FertiliserProducts[[#Headers],[Company]],61)</f>
        <v/>
      </c>
      <c r="T162" s="192" t="str" cm="1">
        <f t="array" ref="T162">Common_InputFunctions.Utility_DisplayArrayInTable(Fertiliser_SourceData.Fertiliser_Products_Data3(), FertiliserProducts[[#Headers],[Company]],61)</f>
        <v/>
      </c>
      <c r="U162" s="192" t="str" cm="1">
        <f t="array" ref="U162">Common_InputFunctions.Utility_DisplayArrayInTable(Fertiliser_SourceData.Fertiliser_Products_Data3(), FertiliserProducts[[#Headers],[Company]],61)</f>
        <v/>
      </c>
      <c r="V162" s="192" t="str" cm="1">
        <f t="array" ref="V162">Common_InputFunctions.Utility_DisplayArrayInTable(Fertiliser_SourceData.Fertiliser_Products_Data3(), FertiliserProducts[[#Headers],[Company]],61)</f>
        <v/>
      </c>
      <c r="W162" s="192" t="str" cm="1">
        <f t="array" ref="W162">Common_InputFunctions.Utility_DisplayArrayInTable(Fertiliser_SourceData.Fertiliser_Products_Data3(), FertiliserProducts[[#Headers],[Company]],61)</f>
        <v/>
      </c>
      <c r="X162" s="192" t="str" cm="1">
        <f t="array" ref="X162">Common_InputFunctions.Utility_DisplayArrayInTable(Fertiliser_SourceData.Fertiliser_Products_Data3(), FertiliserProducts[[#Headers],[Company]],61)</f>
        <v/>
      </c>
      <c r="Y162" s="192" t="str" cm="1">
        <f t="array" ref="Y162">Common_InputFunctions.Utility_DisplayArrayInTable(Fertiliser_SourceData.Fertiliser_Products_Data3(), FertiliserProducts[[#Headers],[Company]],61)</f>
        <v/>
      </c>
      <c r="Z162" s="192" t="str" cm="1">
        <f t="array" ref="Z162">Common_InputFunctions.Utility_DisplayArrayInTable(Fertiliser_SourceData.Fertiliser_Products_Data3(), FertiliserProducts[[#Headers],[Company]],61)</f>
        <v/>
      </c>
      <c r="AA162" s="192" t="str" cm="1">
        <f t="array" ref="AA162">Common_InputFunctions.Utility_DisplayArrayInTable(Fertiliser_SourceData.Fertiliser_Products_Data3(), FertiliserProducts[[#Headers],[Company]],61)</f>
        <v/>
      </c>
      <c r="AB162" s="192" t="str" cm="1">
        <f t="array" ref="AB162">Common_InputFunctions.Utility_DisplayArrayInTable(Fertiliser_SourceData.Fertiliser_Products_Data3(), FertiliserProducts[[#Headers],[Company]],61)</f>
        <v/>
      </c>
      <c r="AC162" s="192" t="str" cm="1">
        <f t="array" ref="AC162">Common_InputFunctions.Utility_DisplayArrayInTable(Fertiliser_SourceData.Fertiliser_Products_Data3(), FertiliserProducts[[#Headers],[Company]],61)</f>
        <v/>
      </c>
      <c r="AD162" s="192" t="str" cm="1">
        <f t="array" ref="AD162">Common_InputFunctions.Utility_DisplayArrayInTable(Fertiliser_SourceData.Fertiliser_Products_Data3(), FertiliserProducts[[#Headers],[Company]],61)</f>
        <v/>
      </c>
      <c r="AE162" s="192" t="str" cm="1">
        <f t="array" ref="AE162">Common_InputFunctions.Utility_DisplayArrayInTable(Fertiliser_SourceData.Fertiliser_Products_Data3(), FertiliserProducts[[#Headers],[Company]],61)</f>
        <v/>
      </c>
      <c r="AF162" s="192" t="str" cm="1">
        <f t="array" ref="AF162">Common_InputFunctions.Utility_DisplayArrayInTable(Fertiliser_SourceData.Fertiliser_Products_Data3(), FertiliserProducts[[#Headers],[Company]],61)</f>
        <v/>
      </c>
      <c r="AG162" s="192" t="str" cm="1">
        <f t="array" ref="AG162">Common_InputFunctions.Utility_DisplayArrayInTable(Fertiliser_SourceData.Fertiliser_Products_Data3(), FertiliserProducts[[#Headers],[Company]],61)</f>
        <v/>
      </c>
      <c r="AH162" s="192" t="str" cm="1">
        <f t="array" ref="AH162">Common_InputFunctions.Utility_DisplayArrayInTable(Fertiliser_SourceData.Fertiliser_Products_Data3(), FertiliserProducts[[#Headers],[Company]],61)</f>
        <v/>
      </c>
      <c r="AK162" s="1"/>
    </row>
    <row r="163" spans="4:37" ht="20.100000000000001" customHeight="1" x14ac:dyDescent="0.25">
      <c r="D163" s="192" t="str" cm="1">
        <f t="array" ref="D163">Common_InputFunctions.Utility_DisplayArrayInTable(Fertiliser_SourceData.Fertiliser_Products_Data3(), FertiliserProducts[[#Headers],[Company]],61)</f>
        <v>Incitec Pivot Fertilisers [listed as Summit]</v>
      </c>
      <c r="E163" s="192" t="str" cm="1">
        <f t="array" ref="E163">Common_InputFunctions.Utility_DisplayArrayInTable(Fertiliser_SourceData.Fertiliser_Products_Data3(), FertiliserProducts[[#Headers],[Company]],61)</f>
        <v>Big N</v>
      </c>
      <c r="F163" s="192" t="str" cm="1">
        <f t="array" ref="F163">Common_InputFunctions.Utility_DisplayArrayInTable(Fertiliser_SourceData.Fertiliser_Products_Data3(), FertiliserProducts[[#Headers],[Company]],61)</f>
        <v>kg</v>
      </c>
      <c r="G163" s="192" cm="1">
        <f t="array" ref="G163">Common_InputFunctions.Utility_DisplayArrayInTable(Fertiliser_SourceData.Fertiliser_Products_Data3(), FertiliserProducts[[#Headers],[Company]],61)</f>
        <v>1</v>
      </c>
      <c r="H163" s="192" t="str" cm="1">
        <f t="array" ref="H163">Common_InputFunctions.Utility_DisplayArrayInTable(Fertiliser_SourceData.Fertiliser_Products_Data3(), FertiliserProducts[[#Headers],[Company]],61)</f>
        <v/>
      </c>
      <c r="I163" s="192" t="str" cm="1">
        <f t="array" ref="I163">Common_InputFunctions.Utility_DisplayArrayInTable(Fertiliser_SourceData.Fertiliser_Products_Data3(), FertiliserProducts[[#Headers],[Company]],61)</f>
        <v/>
      </c>
      <c r="J163" s="192" t="str" cm="1">
        <f t="array" ref="J163">Common_InputFunctions.Utility_DisplayArrayInTable(Fertiliser_SourceData.Fertiliser_Products_Data3(), FertiliserProducts[[#Headers],[Company]],61)</f>
        <v/>
      </c>
      <c r="K163" s="192" cm="1">
        <f t="array" ref="K163">Common_InputFunctions.Utility_DisplayArrayInTable(Fertiliser_SourceData.Fertiliser_Products_Data3(), FertiliserProducts[[#Headers],[Company]],61)</f>
        <v>82.35</v>
      </c>
      <c r="L163" s="192" t="str" cm="1">
        <f t="array" ref="L163">Common_InputFunctions.Utility_DisplayArrayInTable(Fertiliser_SourceData.Fertiliser_Products_Data3(), FertiliserProducts[[#Headers],[Company]],61)</f>
        <v/>
      </c>
      <c r="M163" s="192" t="str" cm="1">
        <f t="array" ref="M163">Common_InputFunctions.Utility_DisplayArrayInTable(Fertiliser_SourceData.Fertiliser_Products_Data3(), FertiliserProducts[[#Headers],[Company]],61)</f>
        <v/>
      </c>
      <c r="N163" s="192" t="str" cm="1">
        <f t="array" ref="N163">Common_InputFunctions.Utility_DisplayArrayInTable(Fertiliser_SourceData.Fertiliser_Products_Data3(), FertiliserProducts[[#Headers],[Company]],61)</f>
        <v/>
      </c>
      <c r="O163" s="192" t="str" cm="1">
        <f t="array" ref="O163">Common_InputFunctions.Utility_DisplayArrayInTable(Fertiliser_SourceData.Fertiliser_Products_Data3(), FertiliserProducts[[#Headers],[Company]],61)</f>
        <v>Ammonia</v>
      </c>
      <c r="P163" s="192" cm="1">
        <f t="array" ref="P163">Common_InputFunctions.Utility_DisplayArrayInTable(Fertiliser_SourceData.Fertiliser_Products_Data3(), FertiliserProducts[[#Headers],[Company]],61)</f>
        <v>1</v>
      </c>
      <c r="Q163" s="192" t="str" cm="1">
        <f t="array" ref="Q163">Common_InputFunctions.Utility_DisplayArrayInTable(Fertiliser_SourceData.Fertiliser_Products_Data3(), FertiliserProducts[[#Headers],[Company]],61)</f>
        <v/>
      </c>
      <c r="R163" s="192" t="str" cm="1">
        <f t="array" ref="R163">Common_InputFunctions.Utility_DisplayArrayInTable(Fertiliser_SourceData.Fertiliser_Products_Data3(), FertiliserProducts[[#Headers],[Company]],61)</f>
        <v/>
      </c>
      <c r="S163" s="192" t="str" cm="1">
        <f t="array" ref="S163">Common_InputFunctions.Utility_DisplayArrayInTable(Fertiliser_SourceData.Fertiliser_Products_Data3(), FertiliserProducts[[#Headers],[Company]],61)</f>
        <v/>
      </c>
      <c r="T163" s="192" t="str" cm="1">
        <f t="array" ref="T163">Common_InputFunctions.Utility_DisplayArrayInTable(Fertiliser_SourceData.Fertiliser_Products_Data3(), FertiliserProducts[[#Headers],[Company]],61)</f>
        <v/>
      </c>
      <c r="U163" s="192" t="str" cm="1">
        <f t="array" ref="U163">Common_InputFunctions.Utility_DisplayArrayInTable(Fertiliser_SourceData.Fertiliser_Products_Data3(), FertiliserProducts[[#Headers],[Company]],61)</f>
        <v/>
      </c>
      <c r="V163" s="192" t="str" cm="1">
        <f t="array" ref="V163">Common_InputFunctions.Utility_DisplayArrayInTable(Fertiliser_SourceData.Fertiliser_Products_Data3(), FertiliserProducts[[#Headers],[Company]],61)</f>
        <v/>
      </c>
      <c r="W163" s="192" t="str" cm="1">
        <f t="array" ref="W163">Common_InputFunctions.Utility_DisplayArrayInTable(Fertiliser_SourceData.Fertiliser_Products_Data3(), FertiliserProducts[[#Headers],[Company]],61)</f>
        <v/>
      </c>
      <c r="X163" s="192" t="str" cm="1">
        <f t="array" ref="X163">Common_InputFunctions.Utility_DisplayArrayInTable(Fertiliser_SourceData.Fertiliser_Products_Data3(), FertiliserProducts[[#Headers],[Company]],61)</f>
        <v/>
      </c>
      <c r="Y163" s="192" t="str" cm="1">
        <f t="array" ref="Y163">Common_InputFunctions.Utility_DisplayArrayInTable(Fertiliser_SourceData.Fertiliser_Products_Data3(), FertiliserProducts[[#Headers],[Company]],61)</f>
        <v/>
      </c>
      <c r="Z163" s="192" t="str" cm="1">
        <f t="array" ref="Z163">Common_InputFunctions.Utility_DisplayArrayInTable(Fertiliser_SourceData.Fertiliser_Products_Data3(), FertiliserProducts[[#Headers],[Company]],61)</f>
        <v/>
      </c>
      <c r="AA163" s="192" t="str" cm="1">
        <f t="array" ref="AA163">Common_InputFunctions.Utility_DisplayArrayInTable(Fertiliser_SourceData.Fertiliser_Products_Data3(), FertiliserProducts[[#Headers],[Company]],61)</f>
        <v/>
      </c>
      <c r="AB163" s="192" t="str" cm="1">
        <f t="array" ref="AB163">Common_InputFunctions.Utility_DisplayArrayInTable(Fertiliser_SourceData.Fertiliser_Products_Data3(), FertiliserProducts[[#Headers],[Company]],61)</f>
        <v/>
      </c>
      <c r="AC163" s="192" t="str" cm="1">
        <f t="array" ref="AC163">Common_InputFunctions.Utility_DisplayArrayInTable(Fertiliser_SourceData.Fertiliser_Products_Data3(), FertiliserProducts[[#Headers],[Company]],61)</f>
        <v/>
      </c>
      <c r="AD163" s="192" t="str" cm="1">
        <f t="array" ref="AD163">Common_InputFunctions.Utility_DisplayArrayInTable(Fertiliser_SourceData.Fertiliser_Products_Data3(), FertiliserProducts[[#Headers],[Company]],61)</f>
        <v/>
      </c>
      <c r="AE163" s="192" t="str" cm="1">
        <f t="array" ref="AE163">Common_InputFunctions.Utility_DisplayArrayInTable(Fertiliser_SourceData.Fertiliser_Products_Data3(), FertiliserProducts[[#Headers],[Company]],61)</f>
        <v/>
      </c>
      <c r="AF163" s="192" t="str" cm="1">
        <f t="array" ref="AF163">Common_InputFunctions.Utility_DisplayArrayInTable(Fertiliser_SourceData.Fertiliser_Products_Data3(), FertiliserProducts[[#Headers],[Company]],61)</f>
        <v/>
      </c>
      <c r="AG163" s="192" t="str" cm="1">
        <f t="array" ref="AG163">Common_InputFunctions.Utility_DisplayArrayInTable(Fertiliser_SourceData.Fertiliser_Products_Data3(), FertiliserProducts[[#Headers],[Company]],61)</f>
        <v/>
      </c>
      <c r="AH163" s="192" t="str" cm="1">
        <f t="array" ref="AH163">Common_InputFunctions.Utility_DisplayArrayInTable(Fertiliser_SourceData.Fertiliser_Products_Data3(), FertiliserProducts[[#Headers],[Company]],61)</f>
        <v/>
      </c>
      <c r="AK163" s="1"/>
    </row>
    <row r="164" spans="4:37" ht="20.100000000000001" customHeight="1" x14ac:dyDescent="0.25">
      <c r="D164" s="192" t="str" cm="1">
        <f t="array" ref="D164">Common_InputFunctions.Utility_DisplayArrayInTable(Fertiliser_SourceData.Fertiliser_Products_Data3(), FertiliserProducts[[#Headers],[Company]],61)</f>
        <v>Incitec Pivot Fertilisers</v>
      </c>
      <c r="E164" s="192" t="str" cm="1">
        <f t="array" ref="E164">Common_InputFunctions.Utility_DisplayArrayInTable(Fertiliser_SourceData.Fertiliser_Products_Data3(), FertiliserProducts[[#Headers],[Company]],61)</f>
        <v>Entec Urea</v>
      </c>
      <c r="F164" s="192" t="str" cm="1">
        <f t="array" ref="F164">Common_InputFunctions.Utility_DisplayArrayInTable(Fertiliser_SourceData.Fertiliser_Products_Data3(), FertiliserProducts[[#Headers],[Company]],61)</f>
        <v>kg</v>
      </c>
      <c r="G164" s="192" cm="1">
        <f t="array" ref="G164">Common_InputFunctions.Utility_DisplayArrayInTable(Fertiliser_SourceData.Fertiliser_Products_Data3(), FertiliserProducts[[#Headers],[Company]],61)</f>
        <v>1</v>
      </c>
      <c r="H164" s="192" t="str" cm="1">
        <f t="array" ref="H164">Common_InputFunctions.Utility_DisplayArrayInTable(Fertiliser_SourceData.Fertiliser_Products_Data3(), FertiliserProducts[[#Headers],[Company]],61)</f>
        <v>Yes</v>
      </c>
      <c r="I164" s="192" t="str" cm="1">
        <f t="array" ref="I164">Common_InputFunctions.Utility_DisplayArrayInTable(Fertiliser_SourceData.Fertiliser_Products_Data3(), FertiliserProducts[[#Headers],[Company]],61)</f>
        <v/>
      </c>
      <c r="J164" s="192" t="str" cm="1">
        <f t="array" ref="J164">Common_InputFunctions.Utility_DisplayArrayInTable(Fertiliser_SourceData.Fertiliser_Products_Data3(), FertiliserProducts[[#Headers],[Company]],61)</f>
        <v/>
      </c>
      <c r="K164" s="192" cm="1">
        <f t="array" ref="K164">Common_InputFunctions.Utility_DisplayArrayInTable(Fertiliser_SourceData.Fertiliser_Products_Data3(), FertiliserProducts[[#Headers],[Company]],61)</f>
        <v>46</v>
      </c>
      <c r="L164" s="192" t="str" cm="1">
        <f t="array" ref="L164">Common_InputFunctions.Utility_DisplayArrayInTable(Fertiliser_SourceData.Fertiliser_Products_Data3(), FertiliserProducts[[#Headers],[Company]],61)</f>
        <v/>
      </c>
      <c r="M164" s="192" t="str" cm="1">
        <f t="array" ref="M164">Common_InputFunctions.Utility_DisplayArrayInTable(Fertiliser_SourceData.Fertiliser_Products_Data3(), FertiliserProducts[[#Headers],[Company]],61)</f>
        <v/>
      </c>
      <c r="N164" s="192" t="str" cm="1">
        <f t="array" ref="N164">Common_InputFunctions.Utility_DisplayArrayInTable(Fertiliser_SourceData.Fertiliser_Products_Data3(), FertiliserProducts[[#Headers],[Company]],61)</f>
        <v/>
      </c>
      <c r="O164" s="192" t="str" cm="1">
        <f t="array" ref="O164">Common_InputFunctions.Utility_DisplayArrayInTable(Fertiliser_SourceData.Fertiliser_Products_Data3(), FertiliserProducts[[#Headers],[Company]],61)</f>
        <v>Urea</v>
      </c>
      <c r="P164" s="192" cm="1">
        <f t="array" ref="P164">Common_InputFunctions.Utility_DisplayArrayInTable(Fertiliser_SourceData.Fertiliser_Products_Data3(), FertiliserProducts[[#Headers],[Company]],61)</f>
        <v>1</v>
      </c>
      <c r="Q164" s="192" t="str" cm="1">
        <f t="array" ref="Q164">Common_InputFunctions.Utility_DisplayArrayInTable(Fertiliser_SourceData.Fertiliser_Products_Data3(), FertiliserProducts[[#Headers],[Company]],61)</f>
        <v/>
      </c>
      <c r="R164" s="192" t="str" cm="1">
        <f t="array" ref="R164">Common_InputFunctions.Utility_DisplayArrayInTable(Fertiliser_SourceData.Fertiliser_Products_Data3(), FertiliserProducts[[#Headers],[Company]],61)</f>
        <v/>
      </c>
      <c r="S164" s="192" t="str" cm="1">
        <f t="array" ref="S164">Common_InputFunctions.Utility_DisplayArrayInTable(Fertiliser_SourceData.Fertiliser_Products_Data3(), FertiliserProducts[[#Headers],[Company]],61)</f>
        <v/>
      </c>
      <c r="T164" s="192" t="str" cm="1">
        <f t="array" ref="T164">Common_InputFunctions.Utility_DisplayArrayInTable(Fertiliser_SourceData.Fertiliser_Products_Data3(), FertiliserProducts[[#Headers],[Company]],61)</f>
        <v/>
      </c>
      <c r="U164" s="192" t="str" cm="1">
        <f t="array" ref="U164">Common_InputFunctions.Utility_DisplayArrayInTable(Fertiliser_SourceData.Fertiliser_Products_Data3(), FertiliserProducts[[#Headers],[Company]],61)</f>
        <v/>
      </c>
      <c r="V164" s="192" t="str" cm="1">
        <f t="array" ref="V164">Common_InputFunctions.Utility_DisplayArrayInTable(Fertiliser_SourceData.Fertiliser_Products_Data3(), FertiliserProducts[[#Headers],[Company]],61)</f>
        <v/>
      </c>
      <c r="W164" s="192" t="str" cm="1">
        <f t="array" ref="W164">Common_InputFunctions.Utility_DisplayArrayInTable(Fertiliser_SourceData.Fertiliser_Products_Data3(), FertiliserProducts[[#Headers],[Company]],61)</f>
        <v/>
      </c>
      <c r="X164" s="192" t="str" cm="1">
        <f t="array" ref="X164">Common_InputFunctions.Utility_DisplayArrayInTable(Fertiliser_SourceData.Fertiliser_Products_Data3(), FertiliserProducts[[#Headers],[Company]],61)</f>
        <v/>
      </c>
      <c r="Y164" s="192" t="str" cm="1">
        <f t="array" ref="Y164">Common_InputFunctions.Utility_DisplayArrayInTable(Fertiliser_SourceData.Fertiliser_Products_Data3(), FertiliserProducts[[#Headers],[Company]],61)</f>
        <v/>
      </c>
      <c r="Z164" s="192" t="str" cm="1">
        <f t="array" ref="Z164">Common_InputFunctions.Utility_DisplayArrayInTable(Fertiliser_SourceData.Fertiliser_Products_Data3(), FertiliserProducts[[#Headers],[Company]],61)</f>
        <v/>
      </c>
      <c r="AA164" s="192" t="str" cm="1">
        <f t="array" ref="AA164">Common_InputFunctions.Utility_DisplayArrayInTable(Fertiliser_SourceData.Fertiliser_Products_Data3(), FertiliserProducts[[#Headers],[Company]],61)</f>
        <v/>
      </c>
      <c r="AB164" s="192" t="str" cm="1">
        <f t="array" ref="AB164">Common_InputFunctions.Utility_DisplayArrayInTable(Fertiliser_SourceData.Fertiliser_Products_Data3(), FertiliserProducts[[#Headers],[Company]],61)</f>
        <v/>
      </c>
      <c r="AC164" s="192" t="str" cm="1">
        <f t="array" ref="AC164">Common_InputFunctions.Utility_DisplayArrayInTable(Fertiliser_SourceData.Fertiliser_Products_Data3(), FertiliserProducts[[#Headers],[Company]],61)</f>
        <v/>
      </c>
      <c r="AD164" s="192" t="str" cm="1">
        <f t="array" ref="AD164">Common_InputFunctions.Utility_DisplayArrayInTable(Fertiliser_SourceData.Fertiliser_Products_Data3(), FertiliserProducts[[#Headers],[Company]],61)</f>
        <v/>
      </c>
      <c r="AE164" s="192" t="str" cm="1">
        <f t="array" ref="AE164">Common_InputFunctions.Utility_DisplayArrayInTable(Fertiliser_SourceData.Fertiliser_Products_Data3(), FertiliserProducts[[#Headers],[Company]],61)</f>
        <v/>
      </c>
      <c r="AF164" s="192" t="str" cm="1">
        <f t="array" ref="AF164">Common_InputFunctions.Utility_DisplayArrayInTable(Fertiliser_SourceData.Fertiliser_Products_Data3(), FertiliserProducts[[#Headers],[Company]],61)</f>
        <v/>
      </c>
      <c r="AG164" s="192" t="str" cm="1">
        <f t="array" ref="AG164">Common_InputFunctions.Utility_DisplayArrayInTable(Fertiliser_SourceData.Fertiliser_Products_Data3(), FertiliserProducts[[#Headers],[Company]],61)</f>
        <v/>
      </c>
      <c r="AH164" s="192" t="str" cm="1">
        <f t="array" ref="AH164">Common_InputFunctions.Utility_DisplayArrayInTable(Fertiliser_SourceData.Fertiliser_Products_Data3(), FertiliserProducts[[#Headers],[Company]],61)</f>
        <v/>
      </c>
      <c r="AK164" s="1"/>
    </row>
    <row r="165" spans="4:37" ht="20.100000000000001" customHeight="1" x14ac:dyDescent="0.25">
      <c r="D165" s="192" t="str" cm="1">
        <f t="array" ref="D165">Common_InputFunctions.Utility_DisplayArrayInTable(Fertiliser_SourceData.Fertiliser_Products_Data3(), FertiliserProducts[[#Headers],[Company]],61)</f>
        <v>Incitec Pivot Fertilisers (or Ravensdown - see note)</v>
      </c>
      <c r="E165" s="192" t="str" cm="1">
        <f t="array" ref="E165">Common_InputFunctions.Utility_DisplayArrayInTable(Fertiliser_SourceData.Fertiliser_Products_Data3(), FertiliserProducts[[#Headers],[Company]],61)</f>
        <v>Flexi-N NI only</v>
      </c>
      <c r="F165" s="192" t="str" cm="1">
        <f t="array" ref="F165">Common_InputFunctions.Utility_DisplayArrayInTable(Fertiliser_SourceData.Fertiliser_Products_Data3(), FertiliserProducts[[#Headers],[Company]],61)</f>
        <v>kg</v>
      </c>
      <c r="G165" s="192" cm="1">
        <f t="array" ref="G165">Common_InputFunctions.Utility_DisplayArrayInTable(Fertiliser_SourceData.Fertiliser_Products_Data3(), FertiliserProducts[[#Headers],[Company]],61)</f>
        <v>1</v>
      </c>
      <c r="H165" s="192" t="str" cm="1">
        <f t="array" ref="H165">Common_InputFunctions.Utility_DisplayArrayInTable(Fertiliser_SourceData.Fertiliser_Products_Data3(), FertiliserProducts[[#Headers],[Company]],61)</f>
        <v>Yes</v>
      </c>
      <c r="I165" s="192" t="str" cm="1">
        <f t="array" ref="I165">Common_InputFunctions.Utility_DisplayArrayInTable(Fertiliser_SourceData.Fertiliser_Products_Data3(), FertiliserProducts[[#Headers],[Company]],61)</f>
        <v/>
      </c>
      <c r="J165" s="192" t="str" cm="1">
        <f t="array" ref="J165">Common_InputFunctions.Utility_DisplayArrayInTable(Fertiliser_SourceData.Fertiliser_Products_Data3(), FertiliserProducts[[#Headers],[Company]],61)</f>
        <v/>
      </c>
      <c r="K165" s="192" cm="1">
        <f t="array" ref="K165">Common_InputFunctions.Utility_DisplayArrayInTable(Fertiliser_SourceData.Fertiliser_Products_Data3(), FertiliserProducts[[#Headers],[Company]],61)</f>
        <v>45.54</v>
      </c>
      <c r="L165" s="192" t="str" cm="1">
        <f t="array" ref="L165">Common_InputFunctions.Utility_DisplayArrayInTable(Fertiliser_SourceData.Fertiliser_Products_Data3(), FertiliserProducts[[#Headers],[Company]],61)</f>
        <v/>
      </c>
      <c r="M165" s="192" t="str" cm="1">
        <f t="array" ref="M165">Common_InputFunctions.Utility_DisplayArrayInTable(Fertiliser_SourceData.Fertiliser_Products_Data3(), FertiliserProducts[[#Headers],[Company]],61)</f>
        <v/>
      </c>
      <c r="N165" s="192" t="str" cm="1">
        <f t="array" ref="N165">Common_InputFunctions.Utility_DisplayArrayInTable(Fertiliser_SourceData.Fertiliser_Products_Data3(), FertiliserProducts[[#Headers],[Company]],61)</f>
        <v/>
      </c>
      <c r="O165" s="192" t="str" cm="1">
        <f t="array" ref="O165">Common_InputFunctions.Utility_DisplayArrayInTable(Fertiliser_SourceData.Fertiliser_Products_Data3(), FertiliserProducts[[#Headers],[Company]],61)</f>
        <v>Urea</v>
      </c>
      <c r="P165" s="192" cm="1">
        <f t="array" ref="P165">Common_InputFunctions.Utility_DisplayArrayInTable(Fertiliser_SourceData.Fertiliser_Products_Data3(), FertiliserProducts[[#Headers],[Company]],61)</f>
        <v>0.99</v>
      </c>
      <c r="Q165" s="192" t="str" cm="1">
        <f t="array" ref="Q165">Common_InputFunctions.Utility_DisplayArrayInTable(Fertiliser_SourceData.Fertiliser_Products_Data3(), FertiliserProducts[[#Headers],[Company]],61)</f>
        <v>Urease/nitrification inhibitor</v>
      </c>
      <c r="R165" s="192" cm="1">
        <f t="array" ref="R165">Common_InputFunctions.Utility_DisplayArrayInTable(Fertiliser_SourceData.Fertiliser_Products_Data3(), FertiliserProducts[[#Headers],[Company]],61)</f>
        <v>0.01</v>
      </c>
      <c r="S165" s="192" t="str" cm="1">
        <f t="array" ref="S165">Common_InputFunctions.Utility_DisplayArrayInTable(Fertiliser_SourceData.Fertiliser_Products_Data3(), FertiliserProducts[[#Headers],[Company]],61)</f>
        <v/>
      </c>
      <c r="T165" s="192" t="str" cm="1">
        <f t="array" ref="T165">Common_InputFunctions.Utility_DisplayArrayInTable(Fertiliser_SourceData.Fertiliser_Products_Data3(), FertiliserProducts[[#Headers],[Company]],61)</f>
        <v/>
      </c>
      <c r="U165" s="192" t="str" cm="1">
        <f t="array" ref="U165">Common_InputFunctions.Utility_DisplayArrayInTable(Fertiliser_SourceData.Fertiliser_Products_Data3(), FertiliserProducts[[#Headers],[Company]],61)</f>
        <v/>
      </c>
      <c r="V165" s="192" t="str" cm="1">
        <f t="array" ref="V165">Common_InputFunctions.Utility_DisplayArrayInTable(Fertiliser_SourceData.Fertiliser_Products_Data3(), FertiliserProducts[[#Headers],[Company]],61)</f>
        <v/>
      </c>
      <c r="W165" s="192" t="str" cm="1">
        <f t="array" ref="W165">Common_InputFunctions.Utility_DisplayArrayInTable(Fertiliser_SourceData.Fertiliser_Products_Data3(), FertiliserProducts[[#Headers],[Company]],61)</f>
        <v/>
      </c>
      <c r="X165" s="192" t="str" cm="1">
        <f t="array" ref="X165">Common_InputFunctions.Utility_DisplayArrayInTable(Fertiliser_SourceData.Fertiliser_Products_Data3(), FertiliserProducts[[#Headers],[Company]],61)</f>
        <v/>
      </c>
      <c r="Y165" s="192" t="str" cm="1">
        <f t="array" ref="Y165">Common_InputFunctions.Utility_DisplayArrayInTable(Fertiliser_SourceData.Fertiliser_Products_Data3(), FertiliserProducts[[#Headers],[Company]],61)</f>
        <v/>
      </c>
      <c r="Z165" s="192" t="str" cm="1">
        <f t="array" ref="Z165">Common_InputFunctions.Utility_DisplayArrayInTable(Fertiliser_SourceData.Fertiliser_Products_Data3(), FertiliserProducts[[#Headers],[Company]],61)</f>
        <v/>
      </c>
      <c r="AA165" s="192" t="str" cm="1">
        <f t="array" ref="AA165">Common_InputFunctions.Utility_DisplayArrayInTable(Fertiliser_SourceData.Fertiliser_Products_Data3(), FertiliserProducts[[#Headers],[Company]],61)</f>
        <v/>
      </c>
      <c r="AB165" s="192" t="str" cm="1">
        <f t="array" ref="AB165">Common_InputFunctions.Utility_DisplayArrayInTable(Fertiliser_SourceData.Fertiliser_Products_Data3(), FertiliserProducts[[#Headers],[Company]],61)</f>
        <v/>
      </c>
      <c r="AC165" s="192" t="str" cm="1">
        <f t="array" ref="AC165">Common_InputFunctions.Utility_DisplayArrayInTable(Fertiliser_SourceData.Fertiliser_Products_Data3(), FertiliserProducts[[#Headers],[Company]],61)</f>
        <v/>
      </c>
      <c r="AD165" s="192" t="str" cm="1">
        <f t="array" ref="AD165">Common_InputFunctions.Utility_DisplayArrayInTable(Fertiliser_SourceData.Fertiliser_Products_Data3(), FertiliserProducts[[#Headers],[Company]],61)</f>
        <v/>
      </c>
      <c r="AE165" s="192" t="str" cm="1">
        <f t="array" ref="AE165">Common_InputFunctions.Utility_DisplayArrayInTable(Fertiliser_SourceData.Fertiliser_Products_Data3(), FertiliserProducts[[#Headers],[Company]],61)</f>
        <v/>
      </c>
      <c r="AF165" s="192" t="str" cm="1">
        <f t="array" ref="AF165">Common_InputFunctions.Utility_DisplayArrayInTable(Fertiliser_SourceData.Fertiliser_Products_Data3(), FertiliserProducts[[#Headers],[Company]],61)</f>
        <v/>
      </c>
      <c r="AG165" s="192" t="str" cm="1">
        <f t="array" ref="AG165">Common_InputFunctions.Utility_DisplayArrayInTable(Fertiliser_SourceData.Fertiliser_Products_Data3(), FertiliserProducts[[#Headers],[Company]],61)</f>
        <v/>
      </c>
      <c r="AH165" s="192" t="str" cm="1">
        <f t="array" ref="AH165">Common_InputFunctions.Utility_DisplayArrayInTable(Fertiliser_SourceData.Fertiliser_Products_Data3(), FertiliserProducts[[#Headers],[Company]],61)</f>
        <v/>
      </c>
      <c r="AK165" s="1"/>
    </row>
    <row r="166" spans="4:37" x14ac:dyDescent="0.25">
      <c r="D166" s="192" t="str" cm="1">
        <f t="array" ref="D166">Common_InputFunctions.Utility_DisplayArrayInTable(Fertiliser_SourceData.Fertiliser_Products_Data3(), FertiliserProducts[[#Headers],[Company]],61)</f>
        <v>Nutri-Tech Solutions (NTS)</v>
      </c>
      <c r="E166" s="192" t="str" cm="1">
        <f t="array" ref="E166">Common_InputFunctions.Utility_DisplayArrayInTable(Fertiliser_SourceData.Fertiliser_Products_Data3(), FertiliserProducts[[#Headers],[Company]],61)</f>
        <v>Muriate Of Potash MOP</v>
      </c>
      <c r="F166" s="192" t="str" cm="1">
        <f t="array" ref="F166">Common_InputFunctions.Utility_DisplayArrayInTable(Fertiliser_SourceData.Fertiliser_Products_Data3(), FertiliserProducts[[#Headers],[Company]],61)</f>
        <v>kg</v>
      </c>
      <c r="G166" s="192" cm="1">
        <f t="array" ref="G166">Common_InputFunctions.Utility_DisplayArrayInTable(Fertiliser_SourceData.Fertiliser_Products_Data3(), FertiliserProducts[[#Headers],[Company]],61)</f>
        <v>1</v>
      </c>
      <c r="H166" s="192" t="str" cm="1">
        <f t="array" ref="H166">Common_InputFunctions.Utility_DisplayArrayInTable(Fertiliser_SourceData.Fertiliser_Products_Data3(), FertiliserProducts[[#Headers],[Company]],61)</f>
        <v/>
      </c>
      <c r="I166" s="192" t="str" cm="1">
        <f t="array" ref="I166">Common_InputFunctions.Utility_DisplayArrayInTable(Fertiliser_SourceData.Fertiliser_Products_Data3(), FertiliserProducts[[#Headers],[Company]],61)</f>
        <v/>
      </c>
      <c r="J166" s="192" t="str" cm="1">
        <f t="array" ref="J166">Common_InputFunctions.Utility_DisplayArrayInTable(Fertiliser_SourceData.Fertiliser_Products_Data3(), FertiliserProducts[[#Headers],[Company]],61)</f>
        <v/>
      </c>
      <c r="K166" s="192" t="str" cm="1">
        <f t="array" ref="K166">Common_InputFunctions.Utility_DisplayArrayInTable(Fertiliser_SourceData.Fertiliser_Products_Data3(), FertiliserProducts[[#Headers],[Company]],61)</f>
        <v/>
      </c>
      <c r="L166" s="192" t="str" cm="1">
        <f t="array" ref="L166">Common_InputFunctions.Utility_DisplayArrayInTable(Fertiliser_SourceData.Fertiliser_Products_Data3(), FertiliserProducts[[#Headers],[Company]],61)</f>
        <v/>
      </c>
      <c r="M166" s="192" cm="1">
        <f t="array" ref="M166">Common_InputFunctions.Utility_DisplayArrayInTable(Fertiliser_SourceData.Fertiliser_Products_Data3(), FertiliserProducts[[#Headers],[Company]],61)</f>
        <v>50</v>
      </c>
      <c r="N166" s="192" t="str" cm="1">
        <f t="array" ref="N166">Common_InputFunctions.Utility_DisplayArrayInTable(Fertiliser_SourceData.Fertiliser_Products_Data3(), FertiliserProducts[[#Headers],[Company]],61)</f>
        <v/>
      </c>
      <c r="O166" s="192" t="str" cm="1">
        <f t="array" ref="O166">Common_InputFunctions.Utility_DisplayArrayInTable(Fertiliser_SourceData.Fertiliser_Products_Data3(), FertiliserProducts[[#Headers],[Company]],61)</f>
        <v>Muriate of potash (MOP)</v>
      </c>
      <c r="P166" s="192" cm="1">
        <f t="array" ref="P166">Common_InputFunctions.Utility_DisplayArrayInTable(Fertiliser_SourceData.Fertiliser_Products_Data3(), FertiliserProducts[[#Headers],[Company]],61)</f>
        <v>1</v>
      </c>
      <c r="Q166" s="192" t="str" cm="1">
        <f t="array" ref="Q166">Common_InputFunctions.Utility_DisplayArrayInTable(Fertiliser_SourceData.Fertiliser_Products_Data3(), FertiliserProducts[[#Headers],[Company]],61)</f>
        <v/>
      </c>
      <c r="R166" s="192" t="str" cm="1">
        <f t="array" ref="R166">Common_InputFunctions.Utility_DisplayArrayInTable(Fertiliser_SourceData.Fertiliser_Products_Data3(), FertiliserProducts[[#Headers],[Company]],61)</f>
        <v/>
      </c>
      <c r="S166" s="192" t="str" cm="1">
        <f t="array" ref="S166">Common_InputFunctions.Utility_DisplayArrayInTable(Fertiliser_SourceData.Fertiliser_Products_Data3(), FertiliserProducts[[#Headers],[Company]],61)</f>
        <v/>
      </c>
      <c r="T166" s="192" t="str" cm="1">
        <f t="array" ref="T166">Common_InputFunctions.Utility_DisplayArrayInTable(Fertiliser_SourceData.Fertiliser_Products_Data3(), FertiliserProducts[[#Headers],[Company]],61)</f>
        <v/>
      </c>
      <c r="U166" s="192" t="str" cm="1">
        <f t="array" ref="U166">Common_InputFunctions.Utility_DisplayArrayInTable(Fertiliser_SourceData.Fertiliser_Products_Data3(), FertiliserProducts[[#Headers],[Company]],61)</f>
        <v/>
      </c>
      <c r="V166" s="192" t="str" cm="1">
        <f t="array" ref="V166">Common_InputFunctions.Utility_DisplayArrayInTable(Fertiliser_SourceData.Fertiliser_Products_Data3(), FertiliserProducts[[#Headers],[Company]],61)</f>
        <v/>
      </c>
      <c r="W166" s="192" t="str" cm="1">
        <f t="array" ref="W166">Common_InputFunctions.Utility_DisplayArrayInTable(Fertiliser_SourceData.Fertiliser_Products_Data3(), FertiliserProducts[[#Headers],[Company]],61)</f>
        <v/>
      </c>
      <c r="X166" s="192" t="str" cm="1">
        <f t="array" ref="X166">Common_InputFunctions.Utility_DisplayArrayInTable(Fertiliser_SourceData.Fertiliser_Products_Data3(), FertiliserProducts[[#Headers],[Company]],61)</f>
        <v/>
      </c>
      <c r="Y166" s="192" t="str" cm="1">
        <f t="array" ref="Y166">Common_InputFunctions.Utility_DisplayArrayInTable(Fertiliser_SourceData.Fertiliser_Products_Data3(), FertiliserProducts[[#Headers],[Company]],61)</f>
        <v/>
      </c>
      <c r="Z166" s="192" t="str" cm="1">
        <f t="array" ref="Z166">Common_InputFunctions.Utility_DisplayArrayInTable(Fertiliser_SourceData.Fertiliser_Products_Data3(), FertiliserProducts[[#Headers],[Company]],61)</f>
        <v/>
      </c>
      <c r="AA166" s="192" t="str" cm="1">
        <f t="array" ref="AA166">Common_InputFunctions.Utility_DisplayArrayInTable(Fertiliser_SourceData.Fertiliser_Products_Data3(), FertiliserProducts[[#Headers],[Company]],61)</f>
        <v/>
      </c>
      <c r="AB166" s="192" t="str" cm="1">
        <f t="array" ref="AB166">Common_InputFunctions.Utility_DisplayArrayInTable(Fertiliser_SourceData.Fertiliser_Products_Data3(), FertiliserProducts[[#Headers],[Company]],61)</f>
        <v/>
      </c>
      <c r="AC166" s="192" t="str" cm="1">
        <f t="array" ref="AC166">Common_InputFunctions.Utility_DisplayArrayInTable(Fertiliser_SourceData.Fertiliser_Products_Data3(), FertiliserProducts[[#Headers],[Company]],61)</f>
        <v/>
      </c>
      <c r="AD166" s="192" t="str" cm="1">
        <f t="array" ref="AD166">Common_InputFunctions.Utility_DisplayArrayInTable(Fertiliser_SourceData.Fertiliser_Products_Data3(), FertiliserProducts[[#Headers],[Company]],61)</f>
        <v/>
      </c>
      <c r="AE166" s="192" t="str" cm="1">
        <f t="array" ref="AE166">Common_InputFunctions.Utility_DisplayArrayInTable(Fertiliser_SourceData.Fertiliser_Products_Data3(), FertiliserProducts[[#Headers],[Company]],61)</f>
        <v/>
      </c>
      <c r="AF166" s="192" t="str" cm="1">
        <f t="array" ref="AF166">Common_InputFunctions.Utility_DisplayArrayInTable(Fertiliser_SourceData.Fertiliser_Products_Data3(), FertiliserProducts[[#Headers],[Company]],61)</f>
        <v/>
      </c>
      <c r="AG166" s="192" t="str" cm="1">
        <f t="array" ref="AG166">Common_InputFunctions.Utility_DisplayArrayInTable(Fertiliser_SourceData.Fertiliser_Products_Data3(), FertiliserProducts[[#Headers],[Company]],61)</f>
        <v/>
      </c>
      <c r="AH166" s="192" t="str" cm="1">
        <f t="array" ref="AH166">Common_InputFunctions.Utility_DisplayArrayInTable(Fertiliser_SourceData.Fertiliser_Products_Data3(), FertiliserProducts[[#Headers],[Company]],61)</f>
        <v/>
      </c>
      <c r="AK166" s="1"/>
    </row>
    <row r="167" spans="4:37" x14ac:dyDescent="0.25">
      <c r="D167" s="192" t="str" cm="1">
        <f t="array" ref="D167">Common_InputFunctions.Utility_DisplayArrayInTable(Fertiliser_SourceData.Fertiliser_Products_Data3(), FertiliserProducts[[#Headers],[Company]],61)</f>
        <v>Nuturf</v>
      </c>
      <c r="E167" s="192" t="str" cm="1">
        <f t="array" ref="E167">Common_InputFunctions.Utility_DisplayArrayInTable(Fertiliser_SourceData.Fertiliser_Products_Data3(), FertiliserProducts[[#Headers],[Company]],61)</f>
        <v>MAP NUTURF</v>
      </c>
      <c r="F167" s="192" t="str" cm="1">
        <f t="array" ref="F167">Common_InputFunctions.Utility_DisplayArrayInTable(Fertiliser_SourceData.Fertiliser_Products_Data3(), FertiliserProducts[[#Headers],[Company]],61)</f>
        <v>kg</v>
      </c>
      <c r="G167" s="192" cm="1">
        <f t="array" ref="G167">Common_InputFunctions.Utility_DisplayArrayInTable(Fertiliser_SourceData.Fertiliser_Products_Data3(), FertiliserProducts[[#Headers],[Company]],61)</f>
        <v>1</v>
      </c>
      <c r="H167" s="192" t="str" cm="1">
        <f t="array" ref="H167">Common_InputFunctions.Utility_DisplayArrayInTable(Fertiliser_SourceData.Fertiliser_Products_Data3(), FertiliserProducts[[#Headers],[Company]],61)</f>
        <v/>
      </c>
      <c r="I167" s="192" t="str" cm="1">
        <f t="array" ref="I167">Common_InputFunctions.Utility_DisplayArrayInTable(Fertiliser_SourceData.Fertiliser_Products_Data3(), FertiliserProducts[[#Headers],[Company]],61)</f>
        <v/>
      </c>
      <c r="J167" s="192" t="str" cm="1">
        <f t="array" ref="J167">Common_InputFunctions.Utility_DisplayArrayInTable(Fertiliser_SourceData.Fertiliser_Products_Data3(), FertiliserProducts[[#Headers],[Company]],61)</f>
        <v/>
      </c>
      <c r="K167" s="192" cm="1">
        <f t="array" ref="K167">Common_InputFunctions.Utility_DisplayArrayInTable(Fertiliser_SourceData.Fertiliser_Products_Data3(), FertiliserProducts[[#Headers],[Company]],61)</f>
        <v>10</v>
      </c>
      <c r="L167" s="192" cm="1">
        <f t="array" ref="L167">Common_InputFunctions.Utility_DisplayArrayInTable(Fertiliser_SourceData.Fertiliser_Products_Data3(), FertiliserProducts[[#Headers],[Company]],61)</f>
        <v>21.9</v>
      </c>
      <c r="M167" s="192" t="str" cm="1">
        <f t="array" ref="M167">Common_InputFunctions.Utility_DisplayArrayInTable(Fertiliser_SourceData.Fertiliser_Products_Data3(), FertiliserProducts[[#Headers],[Company]],61)</f>
        <v/>
      </c>
      <c r="N167" s="192" t="str" cm="1">
        <f t="array" ref="N167">Common_InputFunctions.Utility_DisplayArrayInTable(Fertiliser_SourceData.Fertiliser_Products_Data3(), FertiliserProducts[[#Headers],[Company]],61)</f>
        <v/>
      </c>
      <c r="O167" s="192" t="str" cm="1">
        <f t="array" ref="O167">Common_InputFunctions.Utility_DisplayArrayInTable(Fertiliser_SourceData.Fertiliser_Products_Data3(), FertiliserProducts[[#Headers],[Company]],61)</f>
        <v>Monoammonium phosphate (MAP)</v>
      </c>
      <c r="P167" s="192" cm="1">
        <f t="array" ref="P167">Common_InputFunctions.Utility_DisplayArrayInTable(Fertiliser_SourceData.Fertiliser_Products_Data3(), FertiliserProducts[[#Headers],[Company]],61)</f>
        <v>1</v>
      </c>
      <c r="Q167" s="192" t="str" cm="1">
        <f t="array" ref="Q167">Common_InputFunctions.Utility_DisplayArrayInTable(Fertiliser_SourceData.Fertiliser_Products_Data3(), FertiliserProducts[[#Headers],[Company]],61)</f>
        <v/>
      </c>
      <c r="R167" s="192" t="str" cm="1">
        <f t="array" ref="R167">Common_InputFunctions.Utility_DisplayArrayInTable(Fertiliser_SourceData.Fertiliser_Products_Data3(), FertiliserProducts[[#Headers],[Company]],61)</f>
        <v/>
      </c>
      <c r="S167" s="192" t="str" cm="1">
        <f t="array" ref="S167">Common_InputFunctions.Utility_DisplayArrayInTable(Fertiliser_SourceData.Fertiliser_Products_Data3(), FertiliserProducts[[#Headers],[Company]],61)</f>
        <v/>
      </c>
      <c r="T167" s="192" t="str" cm="1">
        <f t="array" ref="T167">Common_InputFunctions.Utility_DisplayArrayInTable(Fertiliser_SourceData.Fertiliser_Products_Data3(), FertiliserProducts[[#Headers],[Company]],61)</f>
        <v/>
      </c>
      <c r="U167" s="192" t="str" cm="1">
        <f t="array" ref="U167">Common_InputFunctions.Utility_DisplayArrayInTable(Fertiliser_SourceData.Fertiliser_Products_Data3(), FertiliserProducts[[#Headers],[Company]],61)</f>
        <v/>
      </c>
      <c r="V167" s="192" t="str" cm="1">
        <f t="array" ref="V167">Common_InputFunctions.Utility_DisplayArrayInTable(Fertiliser_SourceData.Fertiliser_Products_Data3(), FertiliserProducts[[#Headers],[Company]],61)</f>
        <v/>
      </c>
      <c r="W167" s="192" t="str" cm="1">
        <f t="array" ref="W167">Common_InputFunctions.Utility_DisplayArrayInTable(Fertiliser_SourceData.Fertiliser_Products_Data3(), FertiliserProducts[[#Headers],[Company]],61)</f>
        <v/>
      </c>
      <c r="X167" s="192" t="str" cm="1">
        <f t="array" ref="X167">Common_InputFunctions.Utility_DisplayArrayInTable(Fertiliser_SourceData.Fertiliser_Products_Data3(), FertiliserProducts[[#Headers],[Company]],61)</f>
        <v/>
      </c>
      <c r="Y167" s="192" t="str" cm="1">
        <f t="array" ref="Y167">Common_InputFunctions.Utility_DisplayArrayInTable(Fertiliser_SourceData.Fertiliser_Products_Data3(), FertiliserProducts[[#Headers],[Company]],61)</f>
        <v/>
      </c>
      <c r="Z167" s="192" t="str" cm="1">
        <f t="array" ref="Z167">Common_InputFunctions.Utility_DisplayArrayInTable(Fertiliser_SourceData.Fertiliser_Products_Data3(), FertiliserProducts[[#Headers],[Company]],61)</f>
        <v/>
      </c>
      <c r="AA167" s="192" t="str" cm="1">
        <f t="array" ref="AA167">Common_InputFunctions.Utility_DisplayArrayInTable(Fertiliser_SourceData.Fertiliser_Products_Data3(), FertiliserProducts[[#Headers],[Company]],61)</f>
        <v/>
      </c>
      <c r="AB167" s="192" t="str" cm="1">
        <f t="array" ref="AB167">Common_InputFunctions.Utility_DisplayArrayInTable(Fertiliser_SourceData.Fertiliser_Products_Data3(), FertiliserProducts[[#Headers],[Company]],61)</f>
        <v/>
      </c>
      <c r="AC167" s="192" t="str" cm="1">
        <f t="array" ref="AC167">Common_InputFunctions.Utility_DisplayArrayInTable(Fertiliser_SourceData.Fertiliser_Products_Data3(), FertiliserProducts[[#Headers],[Company]],61)</f>
        <v/>
      </c>
      <c r="AD167" s="192" t="str" cm="1">
        <f t="array" ref="AD167">Common_InputFunctions.Utility_DisplayArrayInTable(Fertiliser_SourceData.Fertiliser_Products_Data3(), FertiliserProducts[[#Headers],[Company]],61)</f>
        <v/>
      </c>
      <c r="AE167" s="192" t="str" cm="1">
        <f t="array" ref="AE167">Common_InputFunctions.Utility_DisplayArrayInTable(Fertiliser_SourceData.Fertiliser_Products_Data3(), FertiliserProducts[[#Headers],[Company]],61)</f>
        <v/>
      </c>
      <c r="AF167" s="192" t="str" cm="1">
        <f t="array" ref="AF167">Common_InputFunctions.Utility_DisplayArrayInTable(Fertiliser_SourceData.Fertiliser_Products_Data3(), FertiliserProducts[[#Headers],[Company]],61)</f>
        <v/>
      </c>
      <c r="AG167" s="192" t="str" cm="1">
        <f t="array" ref="AG167">Common_InputFunctions.Utility_DisplayArrayInTable(Fertiliser_SourceData.Fertiliser_Products_Data3(), FertiliserProducts[[#Headers],[Company]],61)</f>
        <v/>
      </c>
      <c r="AH167" s="192" t="str" cm="1">
        <f t="array" ref="AH167">Common_InputFunctions.Utility_DisplayArrayInTable(Fertiliser_SourceData.Fertiliser_Products_Data3(), FertiliserProducts[[#Headers],[Company]],61)</f>
        <v/>
      </c>
      <c r="AK167" s="1"/>
    </row>
    <row r="168" spans="4:37" x14ac:dyDescent="0.25">
      <c r="D168" s="192" t="str" cm="1">
        <f t="array" ref="D168">Common_InputFunctions.Utility_DisplayArrayInTable(Fertiliser_SourceData.Fertiliser_Products_Data3(), FertiliserProducts[[#Headers],[Company]],61)</f>
        <v>Campbells fertilisers Australia</v>
      </c>
      <c r="E168" s="192" t="str" cm="1">
        <f t="array" ref="E168">Common_InputFunctions.Utility_DisplayArrayInTable(Fertiliser_SourceData.Fertiliser_Products_Data3(), FertiliserProducts[[#Headers],[Company]],61)</f>
        <v>Quick-N</v>
      </c>
      <c r="F168" s="192" t="str" cm="1">
        <f t="array" ref="F168">Common_InputFunctions.Utility_DisplayArrayInTable(Fertiliser_SourceData.Fertiliser_Products_Data3(), FertiliserProducts[[#Headers],[Company]],61)</f>
        <v>kg</v>
      </c>
      <c r="G168" s="192" cm="1">
        <f t="array" ref="G168">Common_InputFunctions.Utility_DisplayArrayInTable(Fertiliser_SourceData.Fertiliser_Products_Data3(), FertiliserProducts[[#Headers],[Company]],61)</f>
        <v>1</v>
      </c>
      <c r="H168" s="192" t="str" cm="1">
        <f t="array" ref="H168">Common_InputFunctions.Utility_DisplayArrayInTable(Fertiliser_SourceData.Fertiliser_Products_Data3(), FertiliserProducts[[#Headers],[Company]],61)</f>
        <v/>
      </c>
      <c r="I168" s="192" t="str" cm="1">
        <f t="array" ref="I168">Common_InputFunctions.Utility_DisplayArrayInTable(Fertiliser_SourceData.Fertiliser_Products_Data3(), FertiliserProducts[[#Headers],[Company]],61)</f>
        <v/>
      </c>
      <c r="J168" s="192" t="str" cm="1">
        <f t="array" ref="J168">Common_InputFunctions.Utility_DisplayArrayInTable(Fertiliser_SourceData.Fertiliser_Products_Data3(), FertiliserProducts[[#Headers],[Company]],61)</f>
        <v/>
      </c>
      <c r="K168" s="192" cm="1">
        <f t="array" ref="K168">Common_InputFunctions.Utility_DisplayArrayInTable(Fertiliser_SourceData.Fertiliser_Products_Data3(), FertiliserProducts[[#Headers],[Company]],61)</f>
        <v>26</v>
      </c>
      <c r="L168" s="192" t="str" cm="1">
        <f t="array" ref="L168">Common_InputFunctions.Utility_DisplayArrayInTable(Fertiliser_SourceData.Fertiliser_Products_Data3(), FertiliserProducts[[#Headers],[Company]],61)</f>
        <v/>
      </c>
      <c r="M168" s="192" t="str" cm="1">
        <f t="array" ref="M168">Common_InputFunctions.Utility_DisplayArrayInTable(Fertiliser_SourceData.Fertiliser_Products_Data3(), FertiliserProducts[[#Headers],[Company]],61)</f>
        <v/>
      </c>
      <c r="N168" s="192" cm="1">
        <f t="array" ref="N168">Common_InputFunctions.Utility_DisplayArrayInTable(Fertiliser_SourceData.Fertiliser_Products_Data3(), FertiliserProducts[[#Headers],[Company]],61)</f>
        <v>13</v>
      </c>
      <c r="O168" s="192" t="str" cm="1">
        <f t="array" ref="O168">Common_InputFunctions.Utility_DisplayArrayInTable(Fertiliser_SourceData.Fertiliser_Products_Data3(), FertiliserProducts[[#Headers],[Company]],61)</f>
        <v>Sulphate of ammonia (SOA)</v>
      </c>
      <c r="P168" s="192" cm="1">
        <f t="array" ref="P168">Common_InputFunctions.Utility_DisplayArrayInTable(Fertiliser_SourceData.Fertiliser_Products_Data3(), FertiliserProducts[[#Headers],[Company]],61)</f>
        <v>0.54166700000000001</v>
      </c>
      <c r="Q168" s="192" t="str" cm="1">
        <f t="array" ref="Q168">Common_InputFunctions.Utility_DisplayArrayInTable(Fertiliser_SourceData.Fertiliser_Products_Data3(), FertiliserProducts[[#Headers],[Company]],61)</f>
        <v>Ammonium nitrate (AN)</v>
      </c>
      <c r="R168" s="192" cm="1">
        <f t="array" ref="R168">Common_InputFunctions.Utility_DisplayArrayInTable(Fertiliser_SourceData.Fertiliser_Products_Data3(), FertiliserProducts[[#Headers],[Company]],61)</f>
        <v>0.43397599999999997</v>
      </c>
      <c r="S168" s="192" t="str" cm="1">
        <f t="array" ref="S168">Common_InputFunctions.Utility_DisplayArrayInTable(Fertiliser_SourceData.Fertiliser_Products_Data3(), FertiliserProducts[[#Headers],[Company]],61)</f>
        <v/>
      </c>
      <c r="T168" s="192" t="str" cm="1">
        <f t="array" ref="T168">Common_InputFunctions.Utility_DisplayArrayInTable(Fertiliser_SourceData.Fertiliser_Products_Data3(), FertiliserProducts[[#Headers],[Company]],61)</f>
        <v/>
      </c>
      <c r="U168" s="192" t="str" cm="1">
        <f t="array" ref="U168">Common_InputFunctions.Utility_DisplayArrayInTable(Fertiliser_SourceData.Fertiliser_Products_Data3(), FertiliserProducts[[#Headers],[Company]],61)</f>
        <v/>
      </c>
      <c r="V168" s="192" t="str" cm="1">
        <f t="array" ref="V168">Common_InputFunctions.Utility_DisplayArrayInTable(Fertiliser_SourceData.Fertiliser_Products_Data3(), FertiliserProducts[[#Headers],[Company]],61)</f>
        <v/>
      </c>
      <c r="W168" s="192" t="str" cm="1">
        <f t="array" ref="W168">Common_InputFunctions.Utility_DisplayArrayInTable(Fertiliser_SourceData.Fertiliser_Products_Data3(), FertiliserProducts[[#Headers],[Company]],61)</f>
        <v/>
      </c>
      <c r="X168" s="192" t="str" cm="1">
        <f t="array" ref="X168">Common_InputFunctions.Utility_DisplayArrayInTable(Fertiliser_SourceData.Fertiliser_Products_Data3(), FertiliserProducts[[#Headers],[Company]],61)</f>
        <v/>
      </c>
      <c r="Y168" s="192" t="str" cm="1">
        <f t="array" ref="Y168">Common_InputFunctions.Utility_DisplayArrayInTable(Fertiliser_SourceData.Fertiliser_Products_Data3(), FertiliserProducts[[#Headers],[Company]],61)</f>
        <v/>
      </c>
      <c r="Z168" s="192" t="str" cm="1">
        <f t="array" ref="Z168">Common_InputFunctions.Utility_DisplayArrayInTable(Fertiliser_SourceData.Fertiliser_Products_Data3(), FertiliserProducts[[#Headers],[Company]],61)</f>
        <v/>
      </c>
      <c r="AA168" s="192" t="str" cm="1">
        <f t="array" ref="AA168">Common_InputFunctions.Utility_DisplayArrayInTable(Fertiliser_SourceData.Fertiliser_Products_Data3(), FertiliserProducts[[#Headers],[Company]],61)</f>
        <v/>
      </c>
      <c r="AB168" s="192" t="str" cm="1">
        <f t="array" ref="AB168">Common_InputFunctions.Utility_DisplayArrayInTable(Fertiliser_SourceData.Fertiliser_Products_Data3(), FertiliserProducts[[#Headers],[Company]],61)</f>
        <v/>
      </c>
      <c r="AC168" s="192" t="str" cm="1">
        <f t="array" ref="AC168">Common_InputFunctions.Utility_DisplayArrayInTable(Fertiliser_SourceData.Fertiliser_Products_Data3(), FertiliserProducts[[#Headers],[Company]],61)</f>
        <v/>
      </c>
      <c r="AD168" s="192" t="str" cm="1">
        <f t="array" ref="AD168">Common_InputFunctions.Utility_DisplayArrayInTable(Fertiliser_SourceData.Fertiliser_Products_Data3(), FertiliserProducts[[#Headers],[Company]],61)</f>
        <v/>
      </c>
      <c r="AE168" s="192" t="str" cm="1">
        <f t="array" ref="AE168">Common_InputFunctions.Utility_DisplayArrayInTable(Fertiliser_SourceData.Fertiliser_Products_Data3(), FertiliserProducts[[#Headers],[Company]],61)</f>
        <v/>
      </c>
      <c r="AF168" s="192" t="str" cm="1">
        <f t="array" ref="AF168">Common_InputFunctions.Utility_DisplayArrayInTable(Fertiliser_SourceData.Fertiliser_Products_Data3(), FertiliserProducts[[#Headers],[Company]],61)</f>
        <v/>
      </c>
      <c r="AG168" s="192" t="str" cm="1">
        <f t="array" ref="AG168">Common_InputFunctions.Utility_DisplayArrayInTable(Fertiliser_SourceData.Fertiliser_Products_Data3(), FertiliserProducts[[#Headers],[Company]],61)</f>
        <v/>
      </c>
      <c r="AH168" s="192" t="str" cm="1">
        <f t="array" ref="AH168">Common_InputFunctions.Utility_DisplayArrayInTable(Fertiliser_SourceData.Fertiliser_Products_Data3(), FertiliserProducts[[#Headers],[Company]],61)</f>
        <v/>
      </c>
      <c r="AK168" s="1"/>
    </row>
    <row r="169" spans="4:37" x14ac:dyDescent="0.25">
      <c r="D169" s="192" t="str" cm="1">
        <f t="array" ref="D169">Common_InputFunctions.Utility_DisplayArrayInTable(Fertiliser_SourceData.Fertiliser_Products_Data3(), FertiliserProducts[[#Headers],[Company]],61)</f>
        <v>SLTEC Fertilizers</v>
      </c>
      <c r="E169" s="192" t="str" cm="1">
        <f t="array" ref="E169">Common_InputFunctions.Utility_DisplayArrayInTable(Fertiliser_SourceData.Fertiliser_Products_Data3(), FertiliserProducts[[#Headers],[Company]],61)</f>
        <v>UAS</v>
      </c>
      <c r="F169" s="192" t="str" cm="1">
        <f t="array" ref="F169">Common_InputFunctions.Utility_DisplayArrayInTable(Fertiliser_SourceData.Fertiliser_Products_Data3(), FertiliserProducts[[#Headers],[Company]],61)</f>
        <v>L</v>
      </c>
      <c r="G169" s="192" cm="1">
        <f t="array" ref="G169">Common_InputFunctions.Utility_DisplayArrayInTable(Fertiliser_SourceData.Fertiliser_Products_Data3(), FertiliserProducts[[#Headers],[Company]],61)</f>
        <v>1.2350000000000001</v>
      </c>
      <c r="H169" s="192" t="str" cm="1">
        <f t="array" ref="H169">Common_InputFunctions.Utility_DisplayArrayInTable(Fertiliser_SourceData.Fertiliser_Products_Data3(), FertiliserProducts[[#Headers],[Company]],61)</f>
        <v/>
      </c>
      <c r="I169" s="192" t="str" cm="1">
        <f t="array" ref="I169">Common_InputFunctions.Utility_DisplayArrayInTable(Fertiliser_SourceData.Fertiliser_Products_Data3(), FertiliserProducts[[#Headers],[Company]],61)</f>
        <v/>
      </c>
      <c r="J169" s="192" t="str" cm="1">
        <f t="array" ref="J169">Common_InputFunctions.Utility_DisplayArrayInTable(Fertiliser_SourceData.Fertiliser_Products_Data3(), FertiliserProducts[[#Headers],[Company]],61)</f>
        <v/>
      </c>
      <c r="K169" s="192" cm="1">
        <f t="array" ref="K169">Common_InputFunctions.Utility_DisplayArrayInTable(Fertiliser_SourceData.Fertiliser_Products_Data3(), FertiliserProducts[[#Headers],[Company]],61)</f>
        <v>26.6</v>
      </c>
      <c r="L169" s="192" t="str" cm="1">
        <f t="array" ref="L169">Common_InputFunctions.Utility_DisplayArrayInTable(Fertiliser_SourceData.Fertiliser_Products_Data3(), FertiliserProducts[[#Headers],[Company]],61)</f>
        <v/>
      </c>
      <c r="M169" s="192" t="str" cm="1">
        <f t="array" ref="M169">Common_InputFunctions.Utility_DisplayArrayInTable(Fertiliser_SourceData.Fertiliser_Products_Data3(), FertiliserProducts[[#Headers],[Company]],61)</f>
        <v/>
      </c>
      <c r="N169" s="192" cm="1">
        <f t="array" ref="N169">Common_InputFunctions.Utility_DisplayArrayInTable(Fertiliser_SourceData.Fertiliser_Products_Data3(), FertiliserProducts[[#Headers],[Company]],61)</f>
        <v>6.7</v>
      </c>
      <c r="O169" s="192" t="str" cm="1">
        <f t="array" ref="O169">Common_InputFunctions.Utility_DisplayArrayInTable(Fertiliser_SourceData.Fertiliser_Products_Data3(), FertiliserProducts[[#Headers],[Company]],61)</f>
        <v>Urea</v>
      </c>
      <c r="P169" s="192" cm="1">
        <f t="array" ref="P169">Common_InputFunctions.Utility_DisplayArrayInTable(Fertiliser_SourceData.Fertiliser_Products_Data3(), FertiliserProducts[[#Headers],[Company]],61)</f>
        <v>0.45081500000000002</v>
      </c>
      <c r="Q169" s="192" t="str" cm="1">
        <f t="array" ref="Q169">Common_InputFunctions.Utility_DisplayArrayInTable(Fertiliser_SourceData.Fertiliser_Products_Data3(), FertiliserProducts[[#Headers],[Company]],61)</f>
        <v>Sulphate of ammonia (SOA)</v>
      </c>
      <c r="R169" s="192" cm="1">
        <f t="array" ref="R169">Common_InputFunctions.Utility_DisplayArrayInTable(Fertiliser_SourceData.Fertiliser_Products_Data3(), FertiliserProducts[[#Headers],[Company]],61)</f>
        <v>0.279167</v>
      </c>
      <c r="S169" s="192" t="str" cm="1">
        <f t="array" ref="S169">Common_InputFunctions.Utility_DisplayArrayInTable(Fertiliser_SourceData.Fertiliser_Products_Data3(), FertiliserProducts[[#Headers],[Company]],61)</f>
        <v/>
      </c>
      <c r="T169" s="192" t="str" cm="1">
        <f t="array" ref="T169">Common_InputFunctions.Utility_DisplayArrayInTable(Fertiliser_SourceData.Fertiliser_Products_Data3(), FertiliserProducts[[#Headers],[Company]],61)</f>
        <v/>
      </c>
      <c r="U169" s="192" t="str" cm="1">
        <f t="array" ref="U169">Common_InputFunctions.Utility_DisplayArrayInTable(Fertiliser_SourceData.Fertiliser_Products_Data3(), FertiliserProducts[[#Headers],[Company]],61)</f>
        <v/>
      </c>
      <c r="V169" s="192" t="str" cm="1">
        <f t="array" ref="V169">Common_InputFunctions.Utility_DisplayArrayInTable(Fertiliser_SourceData.Fertiliser_Products_Data3(), FertiliserProducts[[#Headers],[Company]],61)</f>
        <v/>
      </c>
      <c r="W169" s="192" t="str" cm="1">
        <f t="array" ref="W169">Common_InputFunctions.Utility_DisplayArrayInTable(Fertiliser_SourceData.Fertiliser_Products_Data3(), FertiliserProducts[[#Headers],[Company]],61)</f>
        <v/>
      </c>
      <c r="X169" s="192" t="str" cm="1">
        <f t="array" ref="X169">Common_InputFunctions.Utility_DisplayArrayInTable(Fertiliser_SourceData.Fertiliser_Products_Data3(), FertiliserProducts[[#Headers],[Company]],61)</f>
        <v/>
      </c>
      <c r="Y169" s="192" t="str" cm="1">
        <f t="array" ref="Y169">Common_InputFunctions.Utility_DisplayArrayInTable(Fertiliser_SourceData.Fertiliser_Products_Data3(), FertiliserProducts[[#Headers],[Company]],61)</f>
        <v/>
      </c>
      <c r="Z169" s="192" t="str" cm="1">
        <f t="array" ref="Z169">Common_InputFunctions.Utility_DisplayArrayInTable(Fertiliser_SourceData.Fertiliser_Products_Data3(), FertiliserProducts[[#Headers],[Company]],61)</f>
        <v/>
      </c>
      <c r="AA169" s="192" t="str" cm="1">
        <f t="array" ref="AA169">Common_InputFunctions.Utility_DisplayArrayInTable(Fertiliser_SourceData.Fertiliser_Products_Data3(), FertiliserProducts[[#Headers],[Company]],61)</f>
        <v/>
      </c>
      <c r="AB169" s="192" t="str" cm="1">
        <f t="array" ref="AB169">Common_InputFunctions.Utility_DisplayArrayInTable(Fertiliser_SourceData.Fertiliser_Products_Data3(), FertiliserProducts[[#Headers],[Company]],61)</f>
        <v/>
      </c>
      <c r="AC169" s="192" t="str" cm="1">
        <f t="array" ref="AC169">Common_InputFunctions.Utility_DisplayArrayInTable(Fertiliser_SourceData.Fertiliser_Products_Data3(), FertiliserProducts[[#Headers],[Company]],61)</f>
        <v/>
      </c>
      <c r="AD169" s="192" t="str" cm="1">
        <f t="array" ref="AD169">Common_InputFunctions.Utility_DisplayArrayInTable(Fertiliser_SourceData.Fertiliser_Products_Data3(), FertiliserProducts[[#Headers],[Company]],61)</f>
        <v/>
      </c>
      <c r="AE169" s="192" t="str" cm="1">
        <f t="array" ref="AE169">Common_InputFunctions.Utility_DisplayArrayInTable(Fertiliser_SourceData.Fertiliser_Products_Data3(), FertiliserProducts[[#Headers],[Company]],61)</f>
        <v/>
      </c>
      <c r="AF169" s="192" t="str" cm="1">
        <f t="array" ref="AF169">Common_InputFunctions.Utility_DisplayArrayInTable(Fertiliser_SourceData.Fertiliser_Products_Data3(), FertiliserProducts[[#Headers],[Company]],61)</f>
        <v/>
      </c>
      <c r="AG169" s="192" t="str" cm="1">
        <f t="array" ref="AG169">Common_InputFunctions.Utility_DisplayArrayInTable(Fertiliser_SourceData.Fertiliser_Products_Data3(), FertiliserProducts[[#Headers],[Company]],61)</f>
        <v/>
      </c>
      <c r="AH169" s="192" t="str" cm="1">
        <f t="array" ref="AH169">Common_InputFunctions.Utility_DisplayArrayInTable(Fertiliser_SourceData.Fertiliser_Products_Data3(), FertiliserProducts[[#Headers],[Company]],61)</f>
        <v/>
      </c>
      <c r="AK169" s="1"/>
    </row>
    <row r="170" spans="4:37" x14ac:dyDescent="0.25">
      <c r="D170" s="192" t="str" cm="1">
        <f t="array" ref="D170">Common_InputFunctions.Utility_DisplayArrayInTable(Fertiliser_SourceData.Fertiliser_Products_Data3(), FertiliserProducts[[#Headers],[Company]],61)</f>
        <v>SLTEC Fertilizers</v>
      </c>
      <c r="E170" s="192" t="str" cm="1">
        <f t="array" ref="E170">Common_InputFunctions.Utility_DisplayArrayInTable(Fertiliser_SourceData.Fertiliser_Products_Data3(), FertiliserProducts[[#Headers],[Company]],61)</f>
        <v>Triazone Urea</v>
      </c>
      <c r="F170" s="192" t="str" cm="1">
        <f t="array" ref="F170">Common_InputFunctions.Utility_DisplayArrayInTable(Fertiliser_SourceData.Fertiliser_Products_Data3(), FertiliserProducts[[#Headers],[Company]],61)</f>
        <v>L</v>
      </c>
      <c r="G170" s="192" cm="1">
        <f t="array" ref="G170">Common_InputFunctions.Utility_DisplayArrayInTable(Fertiliser_SourceData.Fertiliser_Products_Data3(), FertiliserProducts[[#Headers],[Company]],61)</f>
        <v>1.28</v>
      </c>
      <c r="H170" s="192" t="str" cm="1">
        <f t="array" ref="H170">Common_InputFunctions.Utility_DisplayArrayInTable(Fertiliser_SourceData.Fertiliser_Products_Data3(), FertiliserProducts[[#Headers],[Company]],61)</f>
        <v/>
      </c>
      <c r="I170" s="192" t="str" cm="1">
        <f t="array" ref="I170">Common_InputFunctions.Utility_DisplayArrayInTable(Fertiliser_SourceData.Fertiliser_Products_Data3(), FertiliserProducts[[#Headers],[Company]],61)</f>
        <v/>
      </c>
      <c r="J170" s="192" t="str" cm="1">
        <f t="array" ref="J170">Common_InputFunctions.Utility_DisplayArrayInTable(Fertiliser_SourceData.Fertiliser_Products_Data3(), FertiliserProducts[[#Headers],[Company]],61)</f>
        <v/>
      </c>
      <c r="K170" s="192" cm="1">
        <f t="array" ref="K170">Common_InputFunctions.Utility_DisplayArrayInTable(Fertiliser_SourceData.Fertiliser_Products_Data3(), FertiliserProducts[[#Headers],[Company]],61)</f>
        <v>0</v>
      </c>
      <c r="L170" s="192" t="str" cm="1">
        <f t="array" ref="L170">Common_InputFunctions.Utility_DisplayArrayInTable(Fertiliser_SourceData.Fertiliser_Products_Data3(), FertiliserProducts[[#Headers],[Company]],61)</f>
        <v/>
      </c>
      <c r="M170" s="192" t="str" cm="1">
        <f t="array" ref="M170">Common_InputFunctions.Utility_DisplayArrayInTable(Fertiliser_SourceData.Fertiliser_Products_Data3(), FertiliserProducts[[#Headers],[Company]],61)</f>
        <v/>
      </c>
      <c r="N170" s="192" t="str" cm="1">
        <f t="array" ref="N170">Common_InputFunctions.Utility_DisplayArrayInTable(Fertiliser_SourceData.Fertiliser_Products_Data3(), FertiliserProducts[[#Headers],[Company]],61)</f>
        <v/>
      </c>
      <c r="O170" s="192" t="str" cm="1">
        <f t="array" ref="O170">Common_InputFunctions.Utility_DisplayArrayInTable(Fertiliser_SourceData.Fertiliser_Products_Data3(), FertiliserProducts[[#Headers],[Company]],61)</f>
        <v>Urea</v>
      </c>
      <c r="P170" s="192" cm="1">
        <f t="array" ref="P170">Common_InputFunctions.Utility_DisplayArrayInTable(Fertiliser_SourceData.Fertiliser_Products_Data3(), FertiliserProducts[[#Headers],[Company]],61)</f>
        <v>0.65217400000000003</v>
      </c>
      <c r="Q170" s="192" t="str" cm="1">
        <f t="array" ref="Q170">Common_InputFunctions.Utility_DisplayArrayInTable(Fertiliser_SourceData.Fertiliser_Products_Data3(), FertiliserProducts[[#Headers],[Company]],61)</f>
        <v/>
      </c>
      <c r="R170" s="192" t="str" cm="1">
        <f t="array" ref="R170">Common_InputFunctions.Utility_DisplayArrayInTable(Fertiliser_SourceData.Fertiliser_Products_Data3(), FertiliserProducts[[#Headers],[Company]],61)</f>
        <v/>
      </c>
      <c r="S170" s="192" t="str" cm="1">
        <f t="array" ref="S170">Common_InputFunctions.Utility_DisplayArrayInTable(Fertiliser_SourceData.Fertiliser_Products_Data3(), FertiliserProducts[[#Headers],[Company]],61)</f>
        <v/>
      </c>
      <c r="T170" s="192" t="str" cm="1">
        <f t="array" ref="T170">Common_InputFunctions.Utility_DisplayArrayInTable(Fertiliser_SourceData.Fertiliser_Products_Data3(), FertiliserProducts[[#Headers],[Company]],61)</f>
        <v/>
      </c>
      <c r="U170" s="192" t="str" cm="1">
        <f t="array" ref="U170">Common_InputFunctions.Utility_DisplayArrayInTable(Fertiliser_SourceData.Fertiliser_Products_Data3(), FertiliserProducts[[#Headers],[Company]],61)</f>
        <v/>
      </c>
      <c r="V170" s="192" t="str" cm="1">
        <f t="array" ref="V170">Common_InputFunctions.Utility_DisplayArrayInTable(Fertiliser_SourceData.Fertiliser_Products_Data3(), FertiliserProducts[[#Headers],[Company]],61)</f>
        <v/>
      </c>
      <c r="W170" s="192" t="str" cm="1">
        <f t="array" ref="W170">Common_InputFunctions.Utility_DisplayArrayInTable(Fertiliser_SourceData.Fertiliser_Products_Data3(), FertiliserProducts[[#Headers],[Company]],61)</f>
        <v/>
      </c>
      <c r="X170" s="192" t="str" cm="1">
        <f t="array" ref="X170">Common_InputFunctions.Utility_DisplayArrayInTable(Fertiliser_SourceData.Fertiliser_Products_Data3(), FertiliserProducts[[#Headers],[Company]],61)</f>
        <v/>
      </c>
      <c r="Y170" s="192" t="str" cm="1">
        <f t="array" ref="Y170">Common_InputFunctions.Utility_DisplayArrayInTable(Fertiliser_SourceData.Fertiliser_Products_Data3(), FertiliserProducts[[#Headers],[Company]],61)</f>
        <v/>
      </c>
      <c r="Z170" s="192" t="str" cm="1">
        <f t="array" ref="Z170">Common_InputFunctions.Utility_DisplayArrayInTable(Fertiliser_SourceData.Fertiliser_Products_Data3(), FertiliserProducts[[#Headers],[Company]],61)</f>
        <v/>
      </c>
      <c r="AA170" s="192" t="str" cm="1">
        <f t="array" ref="AA170">Common_InputFunctions.Utility_DisplayArrayInTable(Fertiliser_SourceData.Fertiliser_Products_Data3(), FertiliserProducts[[#Headers],[Company]],61)</f>
        <v/>
      </c>
      <c r="AB170" s="192" t="str" cm="1">
        <f t="array" ref="AB170">Common_InputFunctions.Utility_DisplayArrayInTable(Fertiliser_SourceData.Fertiliser_Products_Data3(), FertiliserProducts[[#Headers],[Company]],61)</f>
        <v/>
      </c>
      <c r="AC170" s="192" t="str" cm="1">
        <f t="array" ref="AC170">Common_InputFunctions.Utility_DisplayArrayInTable(Fertiliser_SourceData.Fertiliser_Products_Data3(), FertiliserProducts[[#Headers],[Company]],61)</f>
        <v/>
      </c>
      <c r="AD170" s="192" t="str" cm="1">
        <f t="array" ref="AD170">Common_InputFunctions.Utility_DisplayArrayInTable(Fertiliser_SourceData.Fertiliser_Products_Data3(), FertiliserProducts[[#Headers],[Company]],61)</f>
        <v/>
      </c>
      <c r="AE170" s="192" t="str" cm="1">
        <f t="array" ref="AE170">Common_InputFunctions.Utility_DisplayArrayInTable(Fertiliser_SourceData.Fertiliser_Products_Data3(), FertiliserProducts[[#Headers],[Company]],61)</f>
        <v/>
      </c>
      <c r="AF170" s="192" t="str" cm="1">
        <f t="array" ref="AF170">Common_InputFunctions.Utility_DisplayArrayInTable(Fertiliser_SourceData.Fertiliser_Products_Data3(), FertiliserProducts[[#Headers],[Company]],61)</f>
        <v/>
      </c>
      <c r="AG170" s="192" t="str" cm="1">
        <f t="array" ref="AG170">Common_InputFunctions.Utility_DisplayArrayInTable(Fertiliser_SourceData.Fertiliser_Products_Data3(), FertiliserProducts[[#Headers],[Company]],61)</f>
        <v/>
      </c>
      <c r="AH170" s="192" t="str" cm="1">
        <f t="array" ref="AH170">Common_InputFunctions.Utility_DisplayArrayInTable(Fertiliser_SourceData.Fertiliser_Products_Data3(), FertiliserProducts[[#Headers],[Company]],61)</f>
        <v/>
      </c>
      <c r="AK170" s="1"/>
    </row>
    <row r="171" spans="4:37" x14ac:dyDescent="0.25">
      <c r="D171" s="192" t="str" cm="1">
        <f t="array" ref="D171">Common_InputFunctions.Utility_DisplayArrayInTable(Fertiliser_SourceData.Fertiliser_Products_Data3(), FertiliserProducts[[#Headers],[Company]],61)</f>
        <v>Marnco [listed as SLTEC]</v>
      </c>
      <c r="E171" s="192" t="str" cm="1">
        <f t="array" ref="E171">Common_InputFunctions.Utility_DisplayArrayInTable(Fertiliser_SourceData.Fertiliser_Products_Data3(), FertiliserProducts[[#Headers],[Company]],61)</f>
        <v>Ammo 36N</v>
      </c>
      <c r="F171" s="192" t="str" cm="1">
        <f t="array" ref="F171">Common_InputFunctions.Utility_DisplayArrayInTable(Fertiliser_SourceData.Fertiliser_Products_Data3(), FertiliserProducts[[#Headers],[Company]],61)</f>
        <v>kg</v>
      </c>
      <c r="G171" s="192" cm="1">
        <f t="array" ref="G171">Common_InputFunctions.Utility_DisplayArrayInTable(Fertiliser_SourceData.Fertiliser_Products_Data3(), FertiliserProducts[[#Headers],[Company]],61)</f>
        <v>1</v>
      </c>
      <c r="H171" s="192" t="str" cm="1">
        <f t="array" ref="H171">Common_InputFunctions.Utility_DisplayArrayInTable(Fertiliser_SourceData.Fertiliser_Products_Data3(), FertiliserProducts[[#Headers],[Company]],61)</f>
        <v/>
      </c>
      <c r="I171" s="192" t="str" cm="1">
        <f t="array" ref="I171">Common_InputFunctions.Utility_DisplayArrayInTable(Fertiliser_SourceData.Fertiliser_Products_Data3(), FertiliserProducts[[#Headers],[Company]],61)</f>
        <v/>
      </c>
      <c r="J171" s="192" t="str" cm="1">
        <f t="array" ref="J171">Common_InputFunctions.Utility_DisplayArrayInTable(Fertiliser_SourceData.Fertiliser_Products_Data3(), FertiliserProducts[[#Headers],[Company]],61)</f>
        <v/>
      </c>
      <c r="K171" s="192" cm="1">
        <f t="array" ref="K171">Common_InputFunctions.Utility_DisplayArrayInTable(Fertiliser_SourceData.Fertiliser_Products_Data3(), FertiliserProducts[[#Headers],[Company]],61)</f>
        <v>36</v>
      </c>
      <c r="L171" s="192" t="str" cm="1">
        <f t="array" ref="L171">Common_InputFunctions.Utility_DisplayArrayInTable(Fertiliser_SourceData.Fertiliser_Products_Data3(), FertiliserProducts[[#Headers],[Company]],61)</f>
        <v/>
      </c>
      <c r="M171" s="192" t="str" cm="1">
        <f t="array" ref="M171">Common_InputFunctions.Utility_DisplayArrayInTable(Fertiliser_SourceData.Fertiliser_Products_Data3(), FertiliserProducts[[#Headers],[Company]],61)</f>
        <v/>
      </c>
      <c r="N171" s="192" cm="1">
        <f t="array" ref="N171">Common_InputFunctions.Utility_DisplayArrayInTable(Fertiliser_SourceData.Fertiliser_Products_Data3(), FertiliserProducts[[#Headers],[Company]],61)</f>
        <v>9.6</v>
      </c>
      <c r="O171" s="192" t="str" cm="1">
        <f t="array" ref="O171">Common_InputFunctions.Utility_DisplayArrayInTable(Fertiliser_SourceData.Fertiliser_Products_Data3(), FertiliserProducts[[#Headers],[Company]],61)</f>
        <v>Nitrogen - Generic</v>
      </c>
      <c r="P171" s="192" cm="1">
        <f t="array" ref="P171">Common_InputFunctions.Utility_DisplayArrayInTable(Fertiliser_SourceData.Fertiliser_Products_Data3(), FertiliserProducts[[#Headers],[Company]],61)</f>
        <v>0.36</v>
      </c>
      <c r="Q171" s="192" t="str" cm="1">
        <f t="array" ref="Q171">Common_InputFunctions.Utility_DisplayArrayInTable(Fertiliser_SourceData.Fertiliser_Products_Data3(), FertiliserProducts[[#Headers],[Company]],61)</f>
        <v>Sulfur - Generic</v>
      </c>
      <c r="R171" s="192" cm="1">
        <f t="array" ref="R171">Common_InputFunctions.Utility_DisplayArrayInTable(Fertiliser_SourceData.Fertiliser_Products_Data3(), FertiliserProducts[[#Headers],[Company]],61)</f>
        <v>9.6000000000000002E-2</v>
      </c>
      <c r="S171" s="192" t="str" cm="1">
        <f t="array" ref="S171">Common_InputFunctions.Utility_DisplayArrayInTable(Fertiliser_SourceData.Fertiliser_Products_Data3(), FertiliserProducts[[#Headers],[Company]],61)</f>
        <v/>
      </c>
      <c r="T171" s="192" t="str" cm="1">
        <f t="array" ref="T171">Common_InputFunctions.Utility_DisplayArrayInTable(Fertiliser_SourceData.Fertiliser_Products_Data3(), FertiliserProducts[[#Headers],[Company]],61)</f>
        <v/>
      </c>
      <c r="U171" s="192" t="str" cm="1">
        <f t="array" ref="U171">Common_InputFunctions.Utility_DisplayArrayInTable(Fertiliser_SourceData.Fertiliser_Products_Data3(), FertiliserProducts[[#Headers],[Company]],61)</f>
        <v/>
      </c>
      <c r="V171" s="192" t="str" cm="1">
        <f t="array" ref="V171">Common_InputFunctions.Utility_DisplayArrayInTable(Fertiliser_SourceData.Fertiliser_Products_Data3(), FertiliserProducts[[#Headers],[Company]],61)</f>
        <v/>
      </c>
      <c r="W171" s="192" t="str" cm="1">
        <f t="array" ref="W171">Common_InputFunctions.Utility_DisplayArrayInTable(Fertiliser_SourceData.Fertiliser_Products_Data3(), FertiliserProducts[[#Headers],[Company]],61)</f>
        <v/>
      </c>
      <c r="X171" s="192" t="str" cm="1">
        <f t="array" ref="X171">Common_InputFunctions.Utility_DisplayArrayInTable(Fertiliser_SourceData.Fertiliser_Products_Data3(), FertiliserProducts[[#Headers],[Company]],61)</f>
        <v/>
      </c>
      <c r="Y171" s="192" t="str" cm="1">
        <f t="array" ref="Y171">Common_InputFunctions.Utility_DisplayArrayInTable(Fertiliser_SourceData.Fertiliser_Products_Data3(), FertiliserProducts[[#Headers],[Company]],61)</f>
        <v/>
      </c>
      <c r="Z171" s="192" t="str" cm="1">
        <f t="array" ref="Z171">Common_InputFunctions.Utility_DisplayArrayInTable(Fertiliser_SourceData.Fertiliser_Products_Data3(), FertiliserProducts[[#Headers],[Company]],61)</f>
        <v/>
      </c>
      <c r="AA171" s="192" t="str" cm="1">
        <f t="array" ref="AA171">Common_InputFunctions.Utility_DisplayArrayInTable(Fertiliser_SourceData.Fertiliser_Products_Data3(), FertiliserProducts[[#Headers],[Company]],61)</f>
        <v/>
      </c>
      <c r="AB171" s="192" t="str" cm="1">
        <f t="array" ref="AB171">Common_InputFunctions.Utility_DisplayArrayInTable(Fertiliser_SourceData.Fertiliser_Products_Data3(), FertiliserProducts[[#Headers],[Company]],61)</f>
        <v/>
      </c>
      <c r="AC171" s="192" t="str" cm="1">
        <f t="array" ref="AC171">Common_InputFunctions.Utility_DisplayArrayInTable(Fertiliser_SourceData.Fertiliser_Products_Data3(), FertiliserProducts[[#Headers],[Company]],61)</f>
        <v/>
      </c>
      <c r="AD171" s="192" t="str" cm="1">
        <f t="array" ref="AD171">Common_InputFunctions.Utility_DisplayArrayInTable(Fertiliser_SourceData.Fertiliser_Products_Data3(), FertiliserProducts[[#Headers],[Company]],61)</f>
        <v/>
      </c>
      <c r="AE171" s="192" t="str" cm="1">
        <f t="array" ref="AE171">Common_InputFunctions.Utility_DisplayArrayInTable(Fertiliser_SourceData.Fertiliser_Products_Data3(), FertiliserProducts[[#Headers],[Company]],61)</f>
        <v/>
      </c>
      <c r="AF171" s="192" t="str" cm="1">
        <f t="array" ref="AF171">Common_InputFunctions.Utility_DisplayArrayInTable(Fertiliser_SourceData.Fertiliser_Products_Data3(), FertiliserProducts[[#Headers],[Company]],61)</f>
        <v/>
      </c>
      <c r="AG171" s="192" t="str" cm="1">
        <f t="array" ref="AG171">Common_InputFunctions.Utility_DisplayArrayInTable(Fertiliser_SourceData.Fertiliser_Products_Data3(), FertiliserProducts[[#Headers],[Company]],61)</f>
        <v/>
      </c>
      <c r="AH171" s="192" t="str" cm="1">
        <f t="array" ref="AH171">Common_InputFunctions.Utility_DisplayArrayInTable(Fertiliser_SourceData.Fertiliser_Products_Data3(), FertiliserProducts[[#Headers],[Company]],61)</f>
        <v/>
      </c>
      <c r="AK171" s="1"/>
    </row>
    <row r="172" spans="4:37" x14ac:dyDescent="0.25">
      <c r="D172" s="192" t="str" cm="1">
        <f t="array" ref="D172">Common_InputFunctions.Utility_DisplayArrayInTable(Fertiliser_SourceData.Fertiliser_Products_Data3(), FertiliserProducts[[#Headers],[Company]],61)</f>
        <v>Risso-Chemical</v>
      </c>
      <c r="E172" s="192" t="str" cm="1">
        <f t="array" ref="E172">Common_InputFunctions.Utility_DisplayArrayInTable(Fertiliser_SourceData.Fertiliser_Products_Data3(), FertiliserProducts[[#Headers],[Company]],61)</f>
        <v>Risso Liquid NPK (200-200-200)</v>
      </c>
      <c r="F172" s="192" t="str" cm="1">
        <f t="array" ref="F172">Common_InputFunctions.Utility_DisplayArrayInTable(Fertiliser_SourceData.Fertiliser_Products_Data3(), FertiliserProducts[[#Headers],[Company]],61)</f>
        <v>L</v>
      </c>
      <c r="G172" s="192" cm="1">
        <f t="array" ref="G172">Common_InputFunctions.Utility_DisplayArrayInTable(Fertiliser_SourceData.Fertiliser_Products_Data3(), FertiliserProducts[[#Headers],[Company]],61)</f>
        <v>1.3</v>
      </c>
      <c r="H172" s="192" t="str" cm="1">
        <f t="array" ref="H172">Common_InputFunctions.Utility_DisplayArrayInTable(Fertiliser_SourceData.Fertiliser_Products_Data3(), FertiliserProducts[[#Headers],[Company]],61)</f>
        <v/>
      </c>
      <c r="I172" s="192" t="str" cm="1">
        <f t="array" ref="I172">Common_InputFunctions.Utility_DisplayArrayInTable(Fertiliser_SourceData.Fertiliser_Products_Data3(), FertiliserProducts[[#Headers],[Company]],61)</f>
        <v/>
      </c>
      <c r="J172" s="192" t="str" cm="1">
        <f t="array" ref="J172">Common_InputFunctions.Utility_DisplayArrayInTable(Fertiliser_SourceData.Fertiliser_Products_Data3(), FertiliserProducts[[#Headers],[Company]],61)</f>
        <v/>
      </c>
      <c r="K172" s="192" cm="1">
        <f t="array" ref="K172">Common_InputFunctions.Utility_DisplayArrayInTable(Fertiliser_SourceData.Fertiliser_Products_Data3(), FertiliserProducts[[#Headers],[Company]],61)</f>
        <v>20</v>
      </c>
      <c r="L172" s="192" cm="1">
        <f t="array" ref="L172">Common_InputFunctions.Utility_DisplayArrayInTable(Fertiliser_SourceData.Fertiliser_Products_Data3(), FertiliserProducts[[#Headers],[Company]],61)</f>
        <v>8.73</v>
      </c>
      <c r="M172" s="192" cm="1">
        <f t="array" ref="M172">Common_InputFunctions.Utility_DisplayArrayInTable(Fertiliser_SourceData.Fertiliser_Products_Data3(), FertiliserProducts[[#Headers],[Company]],61)</f>
        <v>16.600000000000001</v>
      </c>
      <c r="N172" s="192" t="str" cm="1">
        <f t="array" ref="N172">Common_InputFunctions.Utility_DisplayArrayInTable(Fertiliser_SourceData.Fertiliser_Products_Data3(), FertiliserProducts[[#Headers],[Company]],61)</f>
        <v/>
      </c>
      <c r="O172" s="192" t="str" cm="1">
        <f t="array" ref="O172">Common_InputFunctions.Utility_DisplayArrayInTable(Fertiliser_SourceData.Fertiliser_Products_Data3(), FertiliserProducts[[#Headers],[Company]],61)</f>
        <v>Nitrogen - Generic</v>
      </c>
      <c r="P172" s="192" cm="1">
        <f t="array" ref="P172">Common_InputFunctions.Utility_DisplayArrayInTable(Fertiliser_SourceData.Fertiliser_Products_Data3(), FertiliserProducts[[#Headers],[Company]],61)</f>
        <v>0.2</v>
      </c>
      <c r="Q172" s="192" t="str" cm="1">
        <f t="array" ref="Q172">Common_InputFunctions.Utility_DisplayArrayInTable(Fertiliser_SourceData.Fertiliser_Products_Data3(), FertiliserProducts[[#Headers],[Company]],61)</f>
        <v>Phosphorus - Generic</v>
      </c>
      <c r="R172" s="192" cm="1">
        <f t="array" ref="R172">Common_InputFunctions.Utility_DisplayArrayInTable(Fertiliser_SourceData.Fertiliser_Products_Data3(), FertiliserProducts[[#Headers],[Company]],61)</f>
        <v>8.7279999999999996E-2</v>
      </c>
      <c r="S172" s="192" t="str" cm="1">
        <f t="array" ref="S172">Common_InputFunctions.Utility_DisplayArrayInTable(Fertiliser_SourceData.Fertiliser_Products_Data3(), FertiliserProducts[[#Headers],[Company]],61)</f>
        <v>Potassium - Generic</v>
      </c>
      <c r="T172" s="192" cm="1">
        <f t="array" ref="T172">Common_InputFunctions.Utility_DisplayArrayInTable(Fertiliser_SourceData.Fertiliser_Products_Data3(), FertiliserProducts[[#Headers],[Company]],61)</f>
        <v>0.16602</v>
      </c>
      <c r="U172" s="192" t="str" cm="1">
        <f t="array" ref="U172">Common_InputFunctions.Utility_DisplayArrayInTable(Fertiliser_SourceData.Fertiliser_Products_Data3(), FertiliserProducts[[#Headers],[Company]],61)</f>
        <v/>
      </c>
      <c r="V172" s="192" t="str" cm="1">
        <f t="array" ref="V172">Common_InputFunctions.Utility_DisplayArrayInTable(Fertiliser_SourceData.Fertiliser_Products_Data3(), FertiliserProducts[[#Headers],[Company]],61)</f>
        <v/>
      </c>
      <c r="W172" s="192" t="str" cm="1">
        <f t="array" ref="W172">Common_InputFunctions.Utility_DisplayArrayInTable(Fertiliser_SourceData.Fertiliser_Products_Data3(), FertiliserProducts[[#Headers],[Company]],61)</f>
        <v/>
      </c>
      <c r="X172" s="192" t="str" cm="1">
        <f t="array" ref="X172">Common_InputFunctions.Utility_DisplayArrayInTable(Fertiliser_SourceData.Fertiliser_Products_Data3(), FertiliserProducts[[#Headers],[Company]],61)</f>
        <v/>
      </c>
      <c r="Y172" s="192" t="str" cm="1">
        <f t="array" ref="Y172">Common_InputFunctions.Utility_DisplayArrayInTable(Fertiliser_SourceData.Fertiliser_Products_Data3(), FertiliserProducts[[#Headers],[Company]],61)</f>
        <v/>
      </c>
      <c r="Z172" s="192" t="str" cm="1">
        <f t="array" ref="Z172">Common_InputFunctions.Utility_DisplayArrayInTable(Fertiliser_SourceData.Fertiliser_Products_Data3(), FertiliserProducts[[#Headers],[Company]],61)</f>
        <v/>
      </c>
      <c r="AA172" s="192" t="str" cm="1">
        <f t="array" ref="AA172">Common_InputFunctions.Utility_DisplayArrayInTable(Fertiliser_SourceData.Fertiliser_Products_Data3(), FertiliserProducts[[#Headers],[Company]],61)</f>
        <v/>
      </c>
      <c r="AB172" s="192" t="str" cm="1">
        <f t="array" ref="AB172">Common_InputFunctions.Utility_DisplayArrayInTable(Fertiliser_SourceData.Fertiliser_Products_Data3(), FertiliserProducts[[#Headers],[Company]],61)</f>
        <v/>
      </c>
      <c r="AC172" s="192" t="str" cm="1">
        <f t="array" ref="AC172">Common_InputFunctions.Utility_DisplayArrayInTable(Fertiliser_SourceData.Fertiliser_Products_Data3(), FertiliserProducts[[#Headers],[Company]],61)</f>
        <v/>
      </c>
      <c r="AD172" s="192" t="str" cm="1">
        <f t="array" ref="AD172">Common_InputFunctions.Utility_DisplayArrayInTable(Fertiliser_SourceData.Fertiliser_Products_Data3(), FertiliserProducts[[#Headers],[Company]],61)</f>
        <v/>
      </c>
      <c r="AE172" s="192" t="str" cm="1">
        <f t="array" ref="AE172">Common_InputFunctions.Utility_DisplayArrayInTable(Fertiliser_SourceData.Fertiliser_Products_Data3(), FertiliserProducts[[#Headers],[Company]],61)</f>
        <v/>
      </c>
      <c r="AF172" s="192" t="str" cm="1">
        <f t="array" ref="AF172">Common_InputFunctions.Utility_DisplayArrayInTable(Fertiliser_SourceData.Fertiliser_Products_Data3(), FertiliserProducts[[#Headers],[Company]],61)</f>
        <v/>
      </c>
      <c r="AG172" s="192" t="str" cm="1">
        <f t="array" ref="AG172">Common_InputFunctions.Utility_DisplayArrayInTable(Fertiliser_SourceData.Fertiliser_Products_Data3(), FertiliserProducts[[#Headers],[Company]],61)</f>
        <v/>
      </c>
      <c r="AH172" s="192" t="str" cm="1">
        <f t="array" ref="AH172">Common_InputFunctions.Utility_DisplayArrayInTable(Fertiliser_SourceData.Fertiliser_Products_Data3(), FertiliserProducts[[#Headers],[Company]],61)</f>
        <v/>
      </c>
      <c r="AK172" s="1"/>
    </row>
    <row r="173" spans="4:37" x14ac:dyDescent="0.25">
      <c r="D173" s="192" t="str" cm="1">
        <f t="array" ref="D173">Common_InputFunctions.Utility_DisplayArrayInTable(Fertiliser_SourceData.Fertiliser_Products_Data3(), FertiliserProducts[[#Headers],[Company]],61)</f>
        <v>Turf Group Australia (Simplot)</v>
      </c>
      <c r="E173" s="192" t="str" cm="1">
        <f t="array" ref="E173">Common_InputFunctions.Utility_DisplayArrayInTable(Fertiliser_SourceData.Fertiliser_Products_Data3(), FertiliserProducts[[#Headers],[Company]],61)</f>
        <v>Super Cal 15-0-12</v>
      </c>
      <c r="F173" s="192" t="str" cm="1">
        <f t="array" ref="F173">Common_InputFunctions.Utility_DisplayArrayInTable(Fertiliser_SourceData.Fertiliser_Products_Data3(), FertiliserProducts[[#Headers],[Company]],61)</f>
        <v>kg</v>
      </c>
      <c r="G173" s="192" cm="1">
        <f t="array" ref="G173">Common_InputFunctions.Utility_DisplayArrayInTable(Fertiliser_SourceData.Fertiliser_Products_Data3(), FertiliserProducts[[#Headers],[Company]],61)</f>
        <v>1</v>
      </c>
      <c r="H173" s="192" t="str" cm="1">
        <f t="array" ref="H173">Common_InputFunctions.Utility_DisplayArrayInTable(Fertiliser_SourceData.Fertiliser_Products_Data3(), FertiliserProducts[[#Headers],[Company]],61)</f>
        <v/>
      </c>
      <c r="I173" s="192" t="str" cm="1">
        <f t="array" ref="I173">Common_InputFunctions.Utility_DisplayArrayInTable(Fertiliser_SourceData.Fertiliser_Products_Data3(), FertiliserProducts[[#Headers],[Company]],61)</f>
        <v/>
      </c>
      <c r="J173" s="192" t="str" cm="1">
        <f t="array" ref="J173">Common_InputFunctions.Utility_DisplayArrayInTable(Fertiliser_SourceData.Fertiliser_Products_Data3(), FertiliserProducts[[#Headers],[Company]],61)</f>
        <v/>
      </c>
      <c r="K173" s="192" cm="1">
        <f t="array" ref="K173">Common_InputFunctions.Utility_DisplayArrayInTable(Fertiliser_SourceData.Fertiliser_Products_Data3(), FertiliserProducts[[#Headers],[Company]],61)</f>
        <v>15</v>
      </c>
      <c r="L173" s="192" t="str" cm="1">
        <f t="array" ref="L173">Common_InputFunctions.Utility_DisplayArrayInTable(Fertiliser_SourceData.Fertiliser_Products_Data3(), FertiliserProducts[[#Headers],[Company]],61)</f>
        <v/>
      </c>
      <c r="M173" s="192" cm="1">
        <f t="array" ref="M173">Common_InputFunctions.Utility_DisplayArrayInTable(Fertiliser_SourceData.Fertiliser_Products_Data3(), FertiliserProducts[[#Headers],[Company]],61)</f>
        <v>9.9600000000000009</v>
      </c>
      <c r="N173" s="192" t="str" cm="1">
        <f t="array" ref="N173">Common_InputFunctions.Utility_DisplayArrayInTable(Fertiliser_SourceData.Fertiliser_Products_Data3(), FertiliserProducts[[#Headers],[Company]],61)</f>
        <v/>
      </c>
      <c r="O173" s="192" t="str" cm="1">
        <f t="array" ref="O173">Common_InputFunctions.Utility_DisplayArrayInTable(Fertiliser_SourceData.Fertiliser_Products_Data3(), FertiliserProducts[[#Headers],[Company]],61)</f>
        <v>Nitrogen - Nitrate</v>
      </c>
      <c r="P173" s="192" cm="1">
        <f t="array" ref="P173">Common_InputFunctions.Utility_DisplayArrayInTable(Fertiliser_SourceData.Fertiliser_Products_Data3(), FertiliserProducts[[#Headers],[Company]],61)</f>
        <v>8.4737000000000007E-2</v>
      </c>
      <c r="Q173" s="192" t="str" cm="1">
        <f t="array" ref="Q173">Common_InputFunctions.Utility_DisplayArrayInTable(Fertiliser_SourceData.Fertiliser_Products_Data3(), FertiliserProducts[[#Headers],[Company]],61)</f>
        <v>Potassium - Generic</v>
      </c>
      <c r="R173" s="192" cm="1">
        <f t="array" ref="R173">Common_InputFunctions.Utility_DisplayArrayInTable(Fertiliser_SourceData.Fertiliser_Products_Data3(), FertiliserProducts[[#Headers],[Company]],61)</f>
        <v>9.9612000000000006E-2</v>
      </c>
      <c r="S173" s="192" t="str" cm="1">
        <f t="array" ref="S173">Common_InputFunctions.Utility_DisplayArrayInTable(Fertiliser_SourceData.Fertiliser_Products_Data3(), FertiliserProducts[[#Headers],[Company]],61)</f>
        <v>Calcium nitrate</v>
      </c>
      <c r="T173" s="192" cm="1">
        <f t="array" ref="T173">Common_InputFunctions.Utility_DisplayArrayInTable(Fertiliser_SourceData.Fertiliser_Products_Data3(), FertiliserProducts[[#Headers],[Company]],61)</f>
        <v>0.42105300000000001</v>
      </c>
      <c r="U173" s="192" t="str" cm="1">
        <f t="array" ref="U173">Common_InputFunctions.Utility_DisplayArrayInTable(Fertiliser_SourceData.Fertiliser_Products_Data3(), FertiliserProducts[[#Headers],[Company]],61)</f>
        <v>Magnesium</v>
      </c>
      <c r="V173" s="192" cm="1">
        <f t="array" ref="V173">Common_InputFunctions.Utility_DisplayArrayInTable(Fertiliser_SourceData.Fertiliser_Products_Data3(), FertiliserProducts[[#Headers],[Company]],61)</f>
        <v>5.0000000000000001E-3</v>
      </c>
      <c r="W173" s="192" t="str" cm="1">
        <f t="array" ref="W173">Common_InputFunctions.Utility_DisplayArrayInTable(Fertiliser_SourceData.Fertiliser_Products_Data3(), FertiliserProducts[[#Headers],[Company]],61)</f>
        <v>Boron</v>
      </c>
      <c r="X173" s="192" cm="1">
        <f t="array" ref="X173">Common_InputFunctions.Utility_DisplayArrayInTable(Fertiliser_SourceData.Fertiliser_Products_Data3(), FertiliserProducts[[#Headers],[Company]],61)</f>
        <v>2.0000000000000001E-4</v>
      </c>
      <c r="Y173" s="192" t="str" cm="1">
        <f t="array" ref="Y173">Common_InputFunctions.Utility_DisplayArrayInTable(Fertiliser_SourceData.Fertiliser_Products_Data3(), FertiliserProducts[[#Headers],[Company]],61)</f>
        <v/>
      </c>
      <c r="Z173" s="192" t="str" cm="1">
        <f t="array" ref="Z173">Common_InputFunctions.Utility_DisplayArrayInTable(Fertiliser_SourceData.Fertiliser_Products_Data3(), FertiliserProducts[[#Headers],[Company]],61)</f>
        <v/>
      </c>
      <c r="AA173" s="192" t="str" cm="1">
        <f t="array" ref="AA173">Common_InputFunctions.Utility_DisplayArrayInTable(Fertiliser_SourceData.Fertiliser_Products_Data3(), FertiliserProducts[[#Headers],[Company]],61)</f>
        <v/>
      </c>
      <c r="AB173" s="192" t="str" cm="1">
        <f t="array" ref="AB173">Common_InputFunctions.Utility_DisplayArrayInTable(Fertiliser_SourceData.Fertiliser_Products_Data3(), FertiliserProducts[[#Headers],[Company]],61)</f>
        <v/>
      </c>
      <c r="AC173" s="192" t="str" cm="1">
        <f t="array" ref="AC173">Common_InputFunctions.Utility_DisplayArrayInTable(Fertiliser_SourceData.Fertiliser_Products_Data3(), FertiliserProducts[[#Headers],[Company]],61)</f>
        <v/>
      </c>
      <c r="AD173" s="192" t="str" cm="1">
        <f t="array" ref="AD173">Common_InputFunctions.Utility_DisplayArrayInTable(Fertiliser_SourceData.Fertiliser_Products_Data3(), FertiliserProducts[[#Headers],[Company]],61)</f>
        <v/>
      </c>
      <c r="AE173" s="192" t="str" cm="1">
        <f t="array" ref="AE173">Common_InputFunctions.Utility_DisplayArrayInTable(Fertiliser_SourceData.Fertiliser_Products_Data3(), FertiliserProducts[[#Headers],[Company]],61)</f>
        <v/>
      </c>
      <c r="AF173" s="192" t="str" cm="1">
        <f t="array" ref="AF173">Common_InputFunctions.Utility_DisplayArrayInTable(Fertiliser_SourceData.Fertiliser_Products_Data3(), FertiliserProducts[[#Headers],[Company]],61)</f>
        <v/>
      </c>
      <c r="AG173" s="192" t="str" cm="1">
        <f t="array" ref="AG173">Common_InputFunctions.Utility_DisplayArrayInTable(Fertiliser_SourceData.Fertiliser_Products_Data3(), FertiliserProducts[[#Headers],[Company]],61)</f>
        <v/>
      </c>
      <c r="AH173" s="192" t="str" cm="1">
        <f t="array" ref="AH173">Common_InputFunctions.Utility_DisplayArrayInTable(Fertiliser_SourceData.Fertiliser_Products_Data3(), FertiliserProducts[[#Headers],[Company]],61)</f>
        <v/>
      </c>
      <c r="AK173" s="1"/>
    </row>
    <row r="174" spans="4:37" x14ac:dyDescent="0.25">
      <c r="D174" s="192" t="str" cm="1">
        <f t="array" ref="D174">Common_InputFunctions.Utility_DisplayArrayInTable(Fertiliser_SourceData.Fertiliser_Products_Data3(), FertiliserProducts[[#Headers],[Company]],61)</f>
        <v>Incitec Pivot Fertilisers</v>
      </c>
      <c r="E174" s="192" t="str" cm="1">
        <f t="array" ref="E174">Common_InputFunctions.Utility_DisplayArrayInTable(Fertiliser_SourceData.Fertiliser_Products_Data3(), FertiliserProducts[[#Headers],[Company]],61)</f>
        <v>CK 88</v>
      </c>
      <c r="F174" s="192" t="str" cm="1">
        <f t="array" ref="F174">Common_InputFunctions.Utility_DisplayArrayInTable(Fertiliser_SourceData.Fertiliser_Products_Data3(), FertiliserProducts[[#Headers],[Company]],61)</f>
        <v>kg</v>
      </c>
      <c r="G174" s="192" cm="1">
        <f t="array" ref="G174">Common_InputFunctions.Utility_DisplayArrayInTable(Fertiliser_SourceData.Fertiliser_Products_Data3(), FertiliserProducts[[#Headers],[Company]],61)</f>
        <v>1</v>
      </c>
      <c r="H174" s="192" t="str" cm="1">
        <f t="array" ref="H174">Common_InputFunctions.Utility_DisplayArrayInTable(Fertiliser_SourceData.Fertiliser_Products_Data3(), FertiliserProducts[[#Headers],[Company]],61)</f>
        <v/>
      </c>
      <c r="I174" s="192" t="str" cm="1">
        <f t="array" ref="I174">Common_InputFunctions.Utility_DisplayArrayInTable(Fertiliser_SourceData.Fertiliser_Products_Data3(), FertiliserProducts[[#Headers],[Company]],61)</f>
        <v/>
      </c>
      <c r="J174" s="192" t="str" cm="1">
        <f t="array" ref="J174">Common_InputFunctions.Utility_DisplayArrayInTable(Fertiliser_SourceData.Fertiliser_Products_Data3(), FertiliserProducts[[#Headers],[Company]],61)</f>
        <v/>
      </c>
      <c r="K174" s="192" cm="1">
        <f t="array" ref="K174">Common_InputFunctions.Utility_DisplayArrayInTable(Fertiliser_SourceData.Fertiliser_Products_Data3(), FertiliserProducts[[#Headers],[Company]],61)</f>
        <v>15.1</v>
      </c>
      <c r="L174" s="192" cm="1">
        <f t="array" ref="L174">Common_InputFunctions.Utility_DisplayArrayInTable(Fertiliser_SourceData.Fertiliser_Products_Data3(), FertiliserProducts[[#Headers],[Company]],61)</f>
        <v>4.4000000000000004</v>
      </c>
      <c r="M174" s="192" cm="1">
        <f t="array" ref="M174">Common_InputFunctions.Utility_DisplayArrayInTable(Fertiliser_SourceData.Fertiliser_Products_Data3(), FertiliserProducts[[#Headers],[Company]],61)</f>
        <v>11.5</v>
      </c>
      <c r="N174" s="192" cm="1">
        <f t="array" ref="N174">Common_InputFunctions.Utility_DisplayArrayInTable(Fertiliser_SourceData.Fertiliser_Products_Data3(), FertiliserProducts[[#Headers],[Company]],61)</f>
        <v>13.6</v>
      </c>
      <c r="O174" s="192" t="str" cm="1">
        <f t="array" ref="O174">Common_InputFunctions.Utility_DisplayArrayInTable(Fertiliser_SourceData.Fertiliser_Products_Data3(), FertiliserProducts[[#Headers],[Company]],61)</f>
        <v>Nitrogen - Generic</v>
      </c>
      <c r="P174" s="192" cm="1">
        <f t="array" ref="P174">Common_InputFunctions.Utility_DisplayArrayInTable(Fertiliser_SourceData.Fertiliser_Products_Data3(), FertiliserProducts[[#Headers],[Company]],61)</f>
        <v>0.151</v>
      </c>
      <c r="Q174" s="192" t="str" cm="1">
        <f t="array" ref="Q174">Common_InputFunctions.Utility_DisplayArrayInTable(Fertiliser_SourceData.Fertiliser_Products_Data3(), FertiliserProducts[[#Headers],[Company]],61)</f>
        <v>Phosphorus - Generic</v>
      </c>
      <c r="R174" s="192" cm="1">
        <f t="array" ref="R174">Common_InputFunctions.Utility_DisplayArrayInTable(Fertiliser_SourceData.Fertiliser_Products_Data3(), FertiliserProducts[[#Headers],[Company]],61)</f>
        <v>4.3999999999999997E-2</v>
      </c>
      <c r="S174" s="192" t="str" cm="1">
        <f t="array" ref="S174">Common_InputFunctions.Utility_DisplayArrayInTable(Fertiliser_SourceData.Fertiliser_Products_Data3(), FertiliserProducts[[#Headers],[Company]],61)</f>
        <v>Potassium - Generic</v>
      </c>
      <c r="T174" s="192" cm="1">
        <f t="array" ref="T174">Common_InputFunctions.Utility_DisplayArrayInTable(Fertiliser_SourceData.Fertiliser_Products_Data3(), FertiliserProducts[[#Headers],[Company]],61)</f>
        <v>0.115</v>
      </c>
      <c r="U174" s="192" t="str" cm="1">
        <f t="array" ref="U174">Common_InputFunctions.Utility_DisplayArrayInTable(Fertiliser_SourceData.Fertiliser_Products_Data3(), FertiliserProducts[[#Headers],[Company]],61)</f>
        <v>Sulfur - Generic</v>
      </c>
      <c r="V174" s="192" cm="1">
        <f t="array" ref="V174">Common_InputFunctions.Utility_DisplayArrayInTable(Fertiliser_SourceData.Fertiliser_Products_Data3(), FertiliserProducts[[#Headers],[Company]],61)</f>
        <v>0.13600000000000001</v>
      </c>
      <c r="W174" s="192" t="str" cm="1">
        <f t="array" ref="W174">Common_InputFunctions.Utility_DisplayArrayInTable(Fertiliser_SourceData.Fertiliser_Products_Data3(), FertiliserProducts[[#Headers],[Company]],61)</f>
        <v/>
      </c>
      <c r="X174" s="192" t="str" cm="1">
        <f t="array" ref="X174">Common_InputFunctions.Utility_DisplayArrayInTable(Fertiliser_SourceData.Fertiliser_Products_Data3(), FertiliserProducts[[#Headers],[Company]],61)</f>
        <v/>
      </c>
      <c r="Y174" s="192" t="str" cm="1">
        <f t="array" ref="Y174">Common_InputFunctions.Utility_DisplayArrayInTable(Fertiliser_SourceData.Fertiliser_Products_Data3(), FertiliserProducts[[#Headers],[Company]],61)</f>
        <v/>
      </c>
      <c r="Z174" s="192" t="str" cm="1">
        <f t="array" ref="Z174">Common_InputFunctions.Utility_DisplayArrayInTable(Fertiliser_SourceData.Fertiliser_Products_Data3(), FertiliserProducts[[#Headers],[Company]],61)</f>
        <v/>
      </c>
      <c r="AA174" s="192" t="str" cm="1">
        <f t="array" ref="AA174">Common_InputFunctions.Utility_DisplayArrayInTable(Fertiliser_SourceData.Fertiliser_Products_Data3(), FertiliserProducts[[#Headers],[Company]],61)</f>
        <v/>
      </c>
      <c r="AB174" s="192" t="str" cm="1">
        <f t="array" ref="AB174">Common_InputFunctions.Utility_DisplayArrayInTable(Fertiliser_SourceData.Fertiliser_Products_Data3(), FertiliserProducts[[#Headers],[Company]],61)</f>
        <v/>
      </c>
      <c r="AC174" s="192" t="str" cm="1">
        <f t="array" ref="AC174">Common_InputFunctions.Utility_DisplayArrayInTable(Fertiliser_SourceData.Fertiliser_Products_Data3(), FertiliserProducts[[#Headers],[Company]],61)</f>
        <v/>
      </c>
      <c r="AD174" s="192" t="str" cm="1">
        <f t="array" ref="AD174">Common_InputFunctions.Utility_DisplayArrayInTable(Fertiliser_SourceData.Fertiliser_Products_Data3(), FertiliserProducts[[#Headers],[Company]],61)</f>
        <v/>
      </c>
      <c r="AE174" s="192" t="str" cm="1">
        <f t="array" ref="AE174">Common_InputFunctions.Utility_DisplayArrayInTable(Fertiliser_SourceData.Fertiliser_Products_Data3(), FertiliserProducts[[#Headers],[Company]],61)</f>
        <v/>
      </c>
      <c r="AF174" s="192" t="str" cm="1">
        <f t="array" ref="AF174">Common_InputFunctions.Utility_DisplayArrayInTable(Fertiliser_SourceData.Fertiliser_Products_Data3(), FertiliserProducts[[#Headers],[Company]],61)</f>
        <v/>
      </c>
      <c r="AG174" s="192" t="str" cm="1">
        <f t="array" ref="AG174">Common_InputFunctions.Utility_DisplayArrayInTable(Fertiliser_SourceData.Fertiliser_Products_Data3(), FertiliserProducts[[#Headers],[Company]],61)</f>
        <v/>
      </c>
      <c r="AH174" s="192" t="str" cm="1">
        <f t="array" ref="AH174">Common_InputFunctions.Utility_DisplayArrayInTable(Fertiliser_SourceData.Fertiliser_Products_Data3(), FertiliserProducts[[#Headers],[Company]],61)</f>
        <v/>
      </c>
      <c r="AK174" s="1"/>
    </row>
    <row r="175" spans="4:37" x14ac:dyDescent="0.25">
      <c r="D175" s="192" t="str" cm="1">
        <f t="array" ref="D175">Common_InputFunctions.Utility_DisplayArrayInTable(Fertiliser_SourceData.Fertiliser_Products_Data3(), FertiliserProducts[[#Headers],[Company]],61)</f>
        <v>Incitec Pivot Fertilisers</v>
      </c>
      <c r="E175" s="192" t="str" cm="1">
        <f t="array" ref="E175">Common_InputFunctions.Utility_DisplayArrayInTable(Fertiliser_SourceData.Fertiliser_Products_Data3(), FertiliserProducts[[#Headers],[Company]],61)</f>
        <v>CropLift 15</v>
      </c>
      <c r="F175" s="192" t="str" cm="1">
        <f t="array" ref="F175">Common_InputFunctions.Utility_DisplayArrayInTable(Fertiliser_SourceData.Fertiliser_Products_Data3(), FertiliserProducts[[#Headers],[Company]],61)</f>
        <v>kg</v>
      </c>
      <c r="G175" s="192" cm="1">
        <f t="array" ref="G175">Common_InputFunctions.Utility_DisplayArrayInTable(Fertiliser_SourceData.Fertiliser_Products_Data3(), FertiliserProducts[[#Headers],[Company]],61)</f>
        <v>1</v>
      </c>
      <c r="H175" s="192" t="str" cm="1">
        <f t="array" ref="H175">Common_InputFunctions.Utility_DisplayArrayInTable(Fertiliser_SourceData.Fertiliser_Products_Data3(), FertiliserProducts[[#Headers],[Company]],61)</f>
        <v/>
      </c>
      <c r="I175" s="192" t="str" cm="1">
        <f t="array" ref="I175">Common_InputFunctions.Utility_DisplayArrayInTable(Fertiliser_SourceData.Fertiliser_Products_Data3(), FertiliserProducts[[#Headers],[Company]],61)</f>
        <v/>
      </c>
      <c r="J175" s="192" t="str" cm="1">
        <f t="array" ref="J175">Common_InputFunctions.Utility_DisplayArrayInTable(Fertiliser_SourceData.Fertiliser_Products_Data3(), FertiliserProducts[[#Headers],[Company]],61)</f>
        <v/>
      </c>
      <c r="K175" s="192" cm="1">
        <f t="array" ref="K175">Common_InputFunctions.Utility_DisplayArrayInTable(Fertiliser_SourceData.Fertiliser_Products_Data3(), FertiliserProducts[[#Headers],[Company]],61)</f>
        <v>14.6</v>
      </c>
      <c r="L175" s="192" cm="1">
        <f t="array" ref="L175">Common_InputFunctions.Utility_DisplayArrayInTable(Fertiliser_SourceData.Fertiliser_Products_Data3(), FertiliserProducts[[#Headers],[Company]],61)</f>
        <v>12.1</v>
      </c>
      <c r="M175" s="192" t="str" cm="1">
        <f t="array" ref="M175">Common_InputFunctions.Utility_DisplayArrayInTable(Fertiliser_SourceData.Fertiliser_Products_Data3(), FertiliserProducts[[#Headers],[Company]],61)</f>
        <v/>
      </c>
      <c r="N175" s="192" cm="1">
        <f t="array" ref="N175">Common_InputFunctions.Utility_DisplayArrayInTable(Fertiliser_SourceData.Fertiliser_Products_Data3(), FertiliserProducts[[#Headers],[Company]],61)</f>
        <v>11.6</v>
      </c>
      <c r="O175" s="192" t="str" cm="1">
        <f t="array" ref="O175">Common_InputFunctions.Utility_DisplayArrayInTable(Fertiliser_SourceData.Fertiliser_Products_Data3(), FertiliserProducts[[#Headers],[Company]],61)</f>
        <v>Nitrogen - Generic</v>
      </c>
      <c r="P175" s="192" cm="1">
        <f t="array" ref="P175">Common_InputFunctions.Utility_DisplayArrayInTable(Fertiliser_SourceData.Fertiliser_Products_Data3(), FertiliserProducts[[#Headers],[Company]],61)</f>
        <v>0.14599999999999999</v>
      </c>
      <c r="Q175" s="192" t="str" cm="1">
        <f t="array" ref="Q175">Common_InputFunctions.Utility_DisplayArrayInTable(Fertiliser_SourceData.Fertiliser_Products_Data3(), FertiliserProducts[[#Headers],[Company]],61)</f>
        <v>Phosphorus - Generic</v>
      </c>
      <c r="R175" s="192" cm="1">
        <f t="array" ref="R175">Common_InputFunctions.Utility_DisplayArrayInTable(Fertiliser_SourceData.Fertiliser_Products_Data3(), FertiliserProducts[[#Headers],[Company]],61)</f>
        <v>0.121</v>
      </c>
      <c r="S175" s="192" t="str" cm="1">
        <f t="array" ref="S175">Common_InputFunctions.Utility_DisplayArrayInTable(Fertiliser_SourceData.Fertiliser_Products_Data3(), FertiliserProducts[[#Headers],[Company]],61)</f>
        <v>Sulfur - Generic</v>
      </c>
      <c r="T175" s="192" cm="1">
        <f t="array" ref="T175">Common_InputFunctions.Utility_DisplayArrayInTable(Fertiliser_SourceData.Fertiliser_Products_Data3(), FertiliserProducts[[#Headers],[Company]],61)</f>
        <v>0.11600000000000001</v>
      </c>
      <c r="U175" s="192" t="str" cm="1">
        <f t="array" ref="U175">Common_InputFunctions.Utility_DisplayArrayInTable(Fertiliser_SourceData.Fertiliser_Products_Data3(), FertiliserProducts[[#Headers],[Company]],61)</f>
        <v/>
      </c>
      <c r="V175" s="192" t="str" cm="1">
        <f t="array" ref="V175">Common_InputFunctions.Utility_DisplayArrayInTable(Fertiliser_SourceData.Fertiliser_Products_Data3(), FertiliserProducts[[#Headers],[Company]],61)</f>
        <v/>
      </c>
      <c r="W175" s="192" t="str" cm="1">
        <f t="array" ref="W175">Common_InputFunctions.Utility_DisplayArrayInTable(Fertiliser_SourceData.Fertiliser_Products_Data3(), FertiliserProducts[[#Headers],[Company]],61)</f>
        <v/>
      </c>
      <c r="X175" s="192" t="str" cm="1">
        <f t="array" ref="X175">Common_InputFunctions.Utility_DisplayArrayInTable(Fertiliser_SourceData.Fertiliser_Products_Data3(), FertiliserProducts[[#Headers],[Company]],61)</f>
        <v/>
      </c>
      <c r="Y175" s="192" t="str" cm="1">
        <f t="array" ref="Y175">Common_InputFunctions.Utility_DisplayArrayInTable(Fertiliser_SourceData.Fertiliser_Products_Data3(), FertiliserProducts[[#Headers],[Company]],61)</f>
        <v/>
      </c>
      <c r="Z175" s="192" t="str" cm="1">
        <f t="array" ref="Z175">Common_InputFunctions.Utility_DisplayArrayInTable(Fertiliser_SourceData.Fertiliser_Products_Data3(), FertiliserProducts[[#Headers],[Company]],61)</f>
        <v/>
      </c>
      <c r="AA175" s="192" t="str" cm="1">
        <f t="array" ref="AA175">Common_InputFunctions.Utility_DisplayArrayInTable(Fertiliser_SourceData.Fertiliser_Products_Data3(), FertiliserProducts[[#Headers],[Company]],61)</f>
        <v/>
      </c>
      <c r="AB175" s="192" t="str" cm="1">
        <f t="array" ref="AB175">Common_InputFunctions.Utility_DisplayArrayInTable(Fertiliser_SourceData.Fertiliser_Products_Data3(), FertiliserProducts[[#Headers],[Company]],61)</f>
        <v/>
      </c>
      <c r="AC175" s="192" t="str" cm="1">
        <f t="array" ref="AC175">Common_InputFunctions.Utility_DisplayArrayInTable(Fertiliser_SourceData.Fertiliser_Products_Data3(), FertiliserProducts[[#Headers],[Company]],61)</f>
        <v/>
      </c>
      <c r="AD175" s="192" t="str" cm="1">
        <f t="array" ref="AD175">Common_InputFunctions.Utility_DisplayArrayInTable(Fertiliser_SourceData.Fertiliser_Products_Data3(), FertiliserProducts[[#Headers],[Company]],61)</f>
        <v/>
      </c>
      <c r="AE175" s="192" t="str" cm="1">
        <f t="array" ref="AE175">Common_InputFunctions.Utility_DisplayArrayInTable(Fertiliser_SourceData.Fertiliser_Products_Data3(), FertiliserProducts[[#Headers],[Company]],61)</f>
        <v/>
      </c>
      <c r="AF175" s="192" t="str" cm="1">
        <f t="array" ref="AF175">Common_InputFunctions.Utility_DisplayArrayInTable(Fertiliser_SourceData.Fertiliser_Products_Data3(), FertiliserProducts[[#Headers],[Company]],61)</f>
        <v/>
      </c>
      <c r="AG175" s="192" t="str" cm="1">
        <f t="array" ref="AG175">Common_InputFunctions.Utility_DisplayArrayInTable(Fertiliser_SourceData.Fertiliser_Products_Data3(), FertiliserProducts[[#Headers],[Company]],61)</f>
        <v/>
      </c>
      <c r="AH175" s="192" t="str" cm="1">
        <f t="array" ref="AH175">Common_InputFunctions.Utility_DisplayArrayInTable(Fertiliser_SourceData.Fertiliser_Products_Data3(), FertiliserProducts[[#Headers],[Company]],61)</f>
        <v/>
      </c>
      <c r="AK175" s="1"/>
    </row>
    <row r="176" spans="4:37" x14ac:dyDescent="0.25">
      <c r="D176" s="192" t="str" cm="1">
        <f t="array" ref="D176">Common_InputFunctions.Utility_DisplayArrayInTable(Fertiliser_SourceData.Fertiliser_Products_Data3(), FertiliserProducts[[#Headers],[Company]],61)</f>
        <v>Incitec Pivot Fertilisers</v>
      </c>
      <c r="E176" s="192" t="str" cm="1">
        <f t="array" ref="E176">Common_InputFunctions.Utility_DisplayArrayInTable(Fertiliser_SourceData.Fertiliser_Products_Data3(), FertiliserProducts[[#Headers],[Company]],61)</f>
        <v>NPKS 19-13-0-9</v>
      </c>
      <c r="F176" s="192" t="str" cm="1">
        <f t="array" ref="F176">Common_InputFunctions.Utility_DisplayArrayInTable(Fertiliser_SourceData.Fertiliser_Products_Data3(), FertiliserProducts[[#Headers],[Company]],61)</f>
        <v>kg</v>
      </c>
      <c r="G176" s="192" cm="1">
        <f t="array" ref="G176">Common_InputFunctions.Utility_DisplayArrayInTable(Fertiliser_SourceData.Fertiliser_Products_Data3(), FertiliserProducts[[#Headers],[Company]],61)</f>
        <v>1</v>
      </c>
      <c r="H176" s="192" t="str" cm="1">
        <f t="array" ref="H176">Common_InputFunctions.Utility_DisplayArrayInTable(Fertiliser_SourceData.Fertiliser_Products_Data3(), FertiliserProducts[[#Headers],[Company]],61)</f>
        <v/>
      </c>
      <c r="I176" s="192" t="str" cm="1">
        <f t="array" ref="I176">Common_InputFunctions.Utility_DisplayArrayInTable(Fertiliser_SourceData.Fertiliser_Products_Data3(), FertiliserProducts[[#Headers],[Company]],61)</f>
        <v/>
      </c>
      <c r="J176" s="192" t="str" cm="1">
        <f t="array" ref="J176">Common_InputFunctions.Utility_DisplayArrayInTable(Fertiliser_SourceData.Fertiliser_Products_Data3(), FertiliserProducts[[#Headers],[Company]],61)</f>
        <v/>
      </c>
      <c r="K176" s="192" cm="1">
        <f t="array" ref="K176">Common_InputFunctions.Utility_DisplayArrayInTable(Fertiliser_SourceData.Fertiliser_Products_Data3(), FertiliserProducts[[#Headers],[Company]],61)</f>
        <v>19</v>
      </c>
      <c r="L176" s="192" cm="1">
        <f t="array" ref="L176">Common_InputFunctions.Utility_DisplayArrayInTable(Fertiliser_SourceData.Fertiliser_Products_Data3(), FertiliserProducts[[#Headers],[Company]],61)</f>
        <v>13</v>
      </c>
      <c r="M176" s="192" cm="1">
        <f t="array" ref="M176">Common_InputFunctions.Utility_DisplayArrayInTable(Fertiliser_SourceData.Fertiliser_Products_Data3(), FertiliserProducts[[#Headers],[Company]],61)</f>
        <v>0</v>
      </c>
      <c r="N176" s="192" cm="1">
        <f t="array" ref="N176">Common_InputFunctions.Utility_DisplayArrayInTable(Fertiliser_SourceData.Fertiliser_Products_Data3(), FertiliserProducts[[#Headers],[Company]],61)</f>
        <v>9</v>
      </c>
      <c r="O176" s="192" t="str" cm="1">
        <f t="array" ref="O176">Common_InputFunctions.Utility_DisplayArrayInTable(Fertiliser_SourceData.Fertiliser_Products_Data3(), FertiliserProducts[[#Headers],[Company]],61)</f>
        <v>Nitrogen - Generic</v>
      </c>
      <c r="P176" s="192" cm="1">
        <f t="array" ref="P176">Common_InputFunctions.Utility_DisplayArrayInTable(Fertiliser_SourceData.Fertiliser_Products_Data3(), FertiliserProducts[[#Headers],[Company]],61)</f>
        <v>0.19</v>
      </c>
      <c r="Q176" s="192" t="str" cm="1">
        <f t="array" ref="Q176">Common_InputFunctions.Utility_DisplayArrayInTable(Fertiliser_SourceData.Fertiliser_Products_Data3(), FertiliserProducts[[#Headers],[Company]],61)</f>
        <v>Phosphorus - Generic</v>
      </c>
      <c r="R176" s="192" cm="1">
        <f t="array" ref="R176">Common_InputFunctions.Utility_DisplayArrayInTable(Fertiliser_SourceData.Fertiliser_Products_Data3(), FertiliserProducts[[#Headers],[Company]],61)</f>
        <v>0.13</v>
      </c>
      <c r="S176" s="192" t="str" cm="1">
        <f t="array" ref="S176">Common_InputFunctions.Utility_DisplayArrayInTable(Fertiliser_SourceData.Fertiliser_Products_Data3(), FertiliserProducts[[#Headers],[Company]],61)</f>
        <v>Sulfur - Generic</v>
      </c>
      <c r="T176" s="192" cm="1">
        <f t="array" ref="T176">Common_InputFunctions.Utility_DisplayArrayInTable(Fertiliser_SourceData.Fertiliser_Products_Data3(), FertiliserProducts[[#Headers],[Company]],61)</f>
        <v>0.09</v>
      </c>
      <c r="U176" s="192" t="str" cm="1">
        <f t="array" ref="U176">Common_InputFunctions.Utility_DisplayArrayInTable(Fertiliser_SourceData.Fertiliser_Products_Data3(), FertiliserProducts[[#Headers],[Company]],61)</f>
        <v/>
      </c>
      <c r="V176" s="192" t="str" cm="1">
        <f t="array" ref="V176">Common_InputFunctions.Utility_DisplayArrayInTable(Fertiliser_SourceData.Fertiliser_Products_Data3(), FertiliserProducts[[#Headers],[Company]],61)</f>
        <v/>
      </c>
      <c r="W176" s="192" t="str" cm="1">
        <f t="array" ref="W176">Common_InputFunctions.Utility_DisplayArrayInTable(Fertiliser_SourceData.Fertiliser_Products_Data3(), FertiliserProducts[[#Headers],[Company]],61)</f>
        <v/>
      </c>
      <c r="X176" s="192" t="str" cm="1">
        <f t="array" ref="X176">Common_InputFunctions.Utility_DisplayArrayInTable(Fertiliser_SourceData.Fertiliser_Products_Data3(), FertiliserProducts[[#Headers],[Company]],61)</f>
        <v/>
      </c>
      <c r="Y176" s="192" t="str" cm="1">
        <f t="array" ref="Y176">Common_InputFunctions.Utility_DisplayArrayInTable(Fertiliser_SourceData.Fertiliser_Products_Data3(), FertiliserProducts[[#Headers],[Company]],61)</f>
        <v/>
      </c>
      <c r="Z176" s="192" t="str" cm="1">
        <f t="array" ref="Z176">Common_InputFunctions.Utility_DisplayArrayInTable(Fertiliser_SourceData.Fertiliser_Products_Data3(), FertiliserProducts[[#Headers],[Company]],61)</f>
        <v/>
      </c>
      <c r="AA176" s="192" t="str" cm="1">
        <f t="array" ref="AA176">Common_InputFunctions.Utility_DisplayArrayInTable(Fertiliser_SourceData.Fertiliser_Products_Data3(), FertiliserProducts[[#Headers],[Company]],61)</f>
        <v/>
      </c>
      <c r="AB176" s="192" t="str" cm="1">
        <f t="array" ref="AB176">Common_InputFunctions.Utility_DisplayArrayInTable(Fertiliser_SourceData.Fertiliser_Products_Data3(), FertiliserProducts[[#Headers],[Company]],61)</f>
        <v/>
      </c>
      <c r="AC176" s="192" t="str" cm="1">
        <f t="array" ref="AC176">Common_InputFunctions.Utility_DisplayArrayInTable(Fertiliser_SourceData.Fertiliser_Products_Data3(), FertiliserProducts[[#Headers],[Company]],61)</f>
        <v/>
      </c>
      <c r="AD176" s="192" t="str" cm="1">
        <f t="array" ref="AD176">Common_InputFunctions.Utility_DisplayArrayInTable(Fertiliser_SourceData.Fertiliser_Products_Data3(), FertiliserProducts[[#Headers],[Company]],61)</f>
        <v/>
      </c>
      <c r="AE176" s="192" t="str" cm="1">
        <f t="array" ref="AE176">Common_InputFunctions.Utility_DisplayArrayInTable(Fertiliser_SourceData.Fertiliser_Products_Data3(), FertiliserProducts[[#Headers],[Company]],61)</f>
        <v/>
      </c>
      <c r="AF176" s="192" t="str" cm="1">
        <f t="array" ref="AF176">Common_InputFunctions.Utility_DisplayArrayInTable(Fertiliser_SourceData.Fertiliser_Products_Data3(), FertiliserProducts[[#Headers],[Company]],61)</f>
        <v/>
      </c>
      <c r="AG176" s="192" t="str" cm="1">
        <f t="array" ref="AG176">Common_InputFunctions.Utility_DisplayArrayInTable(Fertiliser_SourceData.Fertiliser_Products_Data3(), FertiliserProducts[[#Headers],[Company]],61)</f>
        <v/>
      </c>
      <c r="AH176" s="192" t="str" cm="1">
        <f t="array" ref="AH176">Common_InputFunctions.Utility_DisplayArrayInTable(Fertiliser_SourceData.Fertiliser_Products_Data3(), FertiliserProducts[[#Headers],[Company]],61)</f>
        <v/>
      </c>
      <c r="AK176" s="1"/>
    </row>
    <row r="177" spans="4:37" x14ac:dyDescent="0.25">
      <c r="D177" s="192" t="str" cm="1">
        <f t="array" ref="D177">Common_InputFunctions.Utility_DisplayArrayInTable(Fertiliser_SourceData.Fertiliser_Products_Data3(), FertiliserProducts[[#Headers],[Company]],61)</f>
        <v>Incitec Pivot Fertilisers</v>
      </c>
      <c r="E177" s="192" t="str" cm="1">
        <f t="array" ref="E177">Common_InputFunctions.Utility_DisplayArrayInTable(Fertiliser_SourceData.Fertiliser_Products_Data3(), FertiliserProducts[[#Headers],[Company]],61)</f>
        <v>PastureBoosta</v>
      </c>
      <c r="F177" s="192" t="str" cm="1">
        <f t="array" ref="F177">Common_InputFunctions.Utility_DisplayArrayInTable(Fertiliser_SourceData.Fertiliser_Products_Data3(), FertiliserProducts[[#Headers],[Company]],61)</f>
        <v>kg</v>
      </c>
      <c r="G177" s="192" cm="1">
        <f t="array" ref="G177">Common_InputFunctions.Utility_DisplayArrayInTable(Fertiliser_SourceData.Fertiliser_Products_Data3(), FertiliserProducts[[#Headers],[Company]],61)</f>
        <v>1</v>
      </c>
      <c r="H177" s="192" t="str" cm="1">
        <f t="array" ref="H177">Common_InputFunctions.Utility_DisplayArrayInTable(Fertiliser_SourceData.Fertiliser_Products_Data3(), FertiliserProducts[[#Headers],[Company]],61)</f>
        <v/>
      </c>
      <c r="I177" s="192" t="str" cm="1">
        <f t="array" ref="I177">Common_InputFunctions.Utility_DisplayArrayInTable(Fertiliser_SourceData.Fertiliser_Products_Data3(), FertiliserProducts[[#Headers],[Company]],61)</f>
        <v/>
      </c>
      <c r="J177" s="192" t="str" cm="1">
        <f t="array" ref="J177">Common_InputFunctions.Utility_DisplayArrayInTable(Fertiliser_SourceData.Fertiliser_Products_Data3(), FertiliserProducts[[#Headers],[Company]],61)</f>
        <v/>
      </c>
      <c r="K177" s="192" cm="1">
        <f t="array" ref="K177">Common_InputFunctions.Utility_DisplayArrayInTable(Fertiliser_SourceData.Fertiliser_Products_Data3(), FertiliserProducts[[#Headers],[Company]],61)</f>
        <v>23.8</v>
      </c>
      <c r="L177" s="192" cm="1">
        <f t="array" ref="L177">Common_InputFunctions.Utility_DisplayArrayInTable(Fertiliser_SourceData.Fertiliser_Products_Data3(), FertiliserProducts[[#Headers],[Company]],61)</f>
        <v>3.7</v>
      </c>
      <c r="M177" s="192" cm="1">
        <f t="array" ref="M177">Common_InputFunctions.Utility_DisplayArrayInTable(Fertiliser_SourceData.Fertiliser_Products_Data3(), FertiliserProducts[[#Headers],[Company]],61)</f>
        <v>13</v>
      </c>
      <c r="N177" s="192" cm="1">
        <f t="array" ref="N177">Common_InputFunctions.Utility_DisplayArrayInTable(Fertiliser_SourceData.Fertiliser_Products_Data3(), FertiliserProducts[[#Headers],[Company]],61)</f>
        <v>4.0999999999999996</v>
      </c>
      <c r="O177" s="192" t="str" cm="1">
        <f t="array" ref="O177">Common_InputFunctions.Utility_DisplayArrayInTable(Fertiliser_SourceData.Fertiliser_Products_Data3(), FertiliserProducts[[#Headers],[Company]],61)</f>
        <v>Nitrogen - Generic</v>
      </c>
      <c r="P177" s="192" cm="1">
        <f t="array" ref="P177">Common_InputFunctions.Utility_DisplayArrayInTable(Fertiliser_SourceData.Fertiliser_Products_Data3(), FertiliserProducts[[#Headers],[Company]],61)</f>
        <v>0.23799999999999999</v>
      </c>
      <c r="Q177" s="192" t="str" cm="1">
        <f t="array" ref="Q177">Common_InputFunctions.Utility_DisplayArrayInTable(Fertiliser_SourceData.Fertiliser_Products_Data3(), FertiliserProducts[[#Headers],[Company]],61)</f>
        <v>Phosphorus - Generic</v>
      </c>
      <c r="R177" s="192" cm="1">
        <f t="array" ref="R177">Common_InputFunctions.Utility_DisplayArrayInTable(Fertiliser_SourceData.Fertiliser_Products_Data3(), FertiliserProducts[[#Headers],[Company]],61)</f>
        <v>3.6999999999999998E-2</v>
      </c>
      <c r="S177" s="192" t="str" cm="1">
        <f t="array" ref="S177">Common_InputFunctions.Utility_DisplayArrayInTable(Fertiliser_SourceData.Fertiliser_Products_Data3(), FertiliserProducts[[#Headers],[Company]],61)</f>
        <v>Potassium - Generic</v>
      </c>
      <c r="T177" s="192" cm="1">
        <f t="array" ref="T177">Common_InputFunctions.Utility_DisplayArrayInTable(Fertiliser_SourceData.Fertiliser_Products_Data3(), FertiliserProducts[[#Headers],[Company]],61)</f>
        <v>0.13</v>
      </c>
      <c r="U177" s="192" t="str" cm="1">
        <f t="array" ref="U177">Common_InputFunctions.Utility_DisplayArrayInTable(Fertiliser_SourceData.Fertiliser_Products_Data3(), FertiliserProducts[[#Headers],[Company]],61)</f>
        <v>Sulfur - Generic</v>
      </c>
      <c r="V177" s="192" cm="1">
        <f t="array" ref="V177">Common_InputFunctions.Utility_DisplayArrayInTable(Fertiliser_SourceData.Fertiliser_Products_Data3(), FertiliserProducts[[#Headers],[Company]],61)</f>
        <v>4.1000000000000002E-2</v>
      </c>
      <c r="W177" s="192" t="str" cm="1">
        <f t="array" ref="W177">Common_InputFunctions.Utility_DisplayArrayInTable(Fertiliser_SourceData.Fertiliser_Products_Data3(), FertiliserProducts[[#Headers],[Company]],61)</f>
        <v/>
      </c>
      <c r="X177" s="192" t="str" cm="1">
        <f t="array" ref="X177">Common_InputFunctions.Utility_DisplayArrayInTable(Fertiliser_SourceData.Fertiliser_Products_Data3(), FertiliserProducts[[#Headers],[Company]],61)</f>
        <v/>
      </c>
      <c r="Y177" s="192" t="str" cm="1">
        <f t="array" ref="Y177">Common_InputFunctions.Utility_DisplayArrayInTable(Fertiliser_SourceData.Fertiliser_Products_Data3(), FertiliserProducts[[#Headers],[Company]],61)</f>
        <v/>
      </c>
      <c r="Z177" s="192" t="str" cm="1">
        <f t="array" ref="Z177">Common_InputFunctions.Utility_DisplayArrayInTable(Fertiliser_SourceData.Fertiliser_Products_Data3(), FertiliserProducts[[#Headers],[Company]],61)</f>
        <v/>
      </c>
      <c r="AA177" s="192" t="str" cm="1">
        <f t="array" ref="AA177">Common_InputFunctions.Utility_DisplayArrayInTable(Fertiliser_SourceData.Fertiliser_Products_Data3(), FertiliserProducts[[#Headers],[Company]],61)</f>
        <v/>
      </c>
      <c r="AB177" s="192" t="str" cm="1">
        <f t="array" ref="AB177">Common_InputFunctions.Utility_DisplayArrayInTable(Fertiliser_SourceData.Fertiliser_Products_Data3(), FertiliserProducts[[#Headers],[Company]],61)</f>
        <v/>
      </c>
      <c r="AC177" s="192" t="str" cm="1">
        <f t="array" ref="AC177">Common_InputFunctions.Utility_DisplayArrayInTable(Fertiliser_SourceData.Fertiliser_Products_Data3(), FertiliserProducts[[#Headers],[Company]],61)</f>
        <v/>
      </c>
      <c r="AD177" s="192" t="str" cm="1">
        <f t="array" ref="AD177">Common_InputFunctions.Utility_DisplayArrayInTable(Fertiliser_SourceData.Fertiliser_Products_Data3(), FertiliserProducts[[#Headers],[Company]],61)</f>
        <v/>
      </c>
      <c r="AE177" s="192" t="str" cm="1">
        <f t="array" ref="AE177">Common_InputFunctions.Utility_DisplayArrayInTable(Fertiliser_SourceData.Fertiliser_Products_Data3(), FertiliserProducts[[#Headers],[Company]],61)</f>
        <v/>
      </c>
      <c r="AF177" s="192" t="str" cm="1">
        <f t="array" ref="AF177">Common_InputFunctions.Utility_DisplayArrayInTable(Fertiliser_SourceData.Fertiliser_Products_Data3(), FertiliserProducts[[#Headers],[Company]],61)</f>
        <v/>
      </c>
      <c r="AG177" s="192" t="str" cm="1">
        <f t="array" ref="AG177">Common_InputFunctions.Utility_DisplayArrayInTable(Fertiliser_SourceData.Fertiliser_Products_Data3(), FertiliserProducts[[#Headers],[Company]],61)</f>
        <v/>
      </c>
      <c r="AH177" s="192" t="str" cm="1">
        <f t="array" ref="AH177">Common_InputFunctions.Utility_DisplayArrayInTable(Fertiliser_SourceData.Fertiliser_Products_Data3(), FertiliserProducts[[#Headers],[Company]],61)</f>
        <v/>
      </c>
      <c r="AK177" s="1"/>
    </row>
    <row r="178" spans="4:37" x14ac:dyDescent="0.25">
      <c r="D178" s="192" t="str" cm="1">
        <f t="array" ref="D178">Common_InputFunctions.Utility_DisplayArrayInTable(Fertiliser_SourceData.Fertiliser_Products_Data3(), FertiliserProducts[[#Headers],[Company]],61)</f>
        <v>Incitec Pivot Fertilisers</v>
      </c>
      <c r="E178" s="192" t="str" cm="1">
        <f t="array" ref="E178">Common_InputFunctions.Utility_DisplayArrayInTable(Fertiliser_SourceData.Fertiliser_Products_Data3(), FertiliserProducts[[#Headers],[Company]],61)</f>
        <v>Greentop K</v>
      </c>
      <c r="F178" s="192" t="str" cm="1">
        <f t="array" ref="F178">Common_InputFunctions.Utility_DisplayArrayInTable(Fertiliser_SourceData.Fertiliser_Products_Data3(), FertiliserProducts[[#Headers],[Company]],61)</f>
        <v>kg</v>
      </c>
      <c r="G178" s="192" cm="1">
        <f t="array" ref="G178">Common_InputFunctions.Utility_DisplayArrayInTable(Fertiliser_SourceData.Fertiliser_Products_Data3(), FertiliserProducts[[#Headers],[Company]],61)</f>
        <v>1</v>
      </c>
      <c r="H178" s="192" t="str" cm="1">
        <f t="array" ref="H178">Common_InputFunctions.Utility_DisplayArrayInTable(Fertiliser_SourceData.Fertiliser_Products_Data3(), FertiliserProducts[[#Headers],[Company]],61)</f>
        <v/>
      </c>
      <c r="I178" s="192" t="str" cm="1">
        <f t="array" ref="I178">Common_InputFunctions.Utility_DisplayArrayInTable(Fertiliser_SourceData.Fertiliser_Products_Data3(), FertiliserProducts[[#Headers],[Company]],61)</f>
        <v/>
      </c>
      <c r="J178" s="192" t="str" cm="1">
        <f t="array" ref="J178">Common_InputFunctions.Utility_DisplayArrayInTable(Fertiliser_SourceData.Fertiliser_Products_Data3(), FertiliserProducts[[#Headers],[Company]],61)</f>
        <v/>
      </c>
      <c r="K178" s="192" cm="1">
        <f t="array" ref="K178">Common_InputFunctions.Utility_DisplayArrayInTable(Fertiliser_SourceData.Fertiliser_Products_Data3(), FertiliserProducts[[#Headers],[Company]],61)</f>
        <v>32.799999999999997</v>
      </c>
      <c r="L178" s="192" t="str" cm="1">
        <f t="array" ref="L178">Common_InputFunctions.Utility_DisplayArrayInTable(Fertiliser_SourceData.Fertiliser_Products_Data3(), FertiliserProducts[[#Headers],[Company]],61)</f>
        <v/>
      </c>
      <c r="M178" s="192" cm="1">
        <f t="array" ref="M178">Common_InputFunctions.Utility_DisplayArrayInTable(Fertiliser_SourceData.Fertiliser_Products_Data3(), FertiliserProducts[[#Headers],[Company]],61)</f>
        <v>11</v>
      </c>
      <c r="N178" s="192" cm="1">
        <f t="array" ref="N178">Common_InputFunctions.Utility_DisplayArrayInTable(Fertiliser_SourceData.Fertiliser_Products_Data3(), FertiliserProducts[[#Headers],[Company]],61)</f>
        <v>2.9</v>
      </c>
      <c r="O178" s="192" t="str" cm="1">
        <f t="array" ref="O178">Common_InputFunctions.Utility_DisplayArrayInTable(Fertiliser_SourceData.Fertiliser_Products_Data3(), FertiliserProducts[[#Headers],[Company]],61)</f>
        <v>Urea</v>
      </c>
      <c r="P178" s="192" cm="1">
        <f t="array" ref="P178">Common_InputFunctions.Utility_DisplayArrayInTable(Fertiliser_SourceData.Fertiliser_Products_Data3(), FertiliserProducts[[#Headers],[Company]],61)</f>
        <v>0.66086999999999996</v>
      </c>
      <c r="Q178" s="192" t="str" cm="1">
        <f t="array" ref="Q178">Common_InputFunctions.Utility_DisplayArrayInTable(Fertiliser_SourceData.Fertiliser_Products_Data3(), FertiliserProducts[[#Headers],[Company]],61)</f>
        <v>Nitrogen - Ammoniacal</v>
      </c>
      <c r="R178" s="192" cm="1">
        <f t="array" ref="R178">Common_InputFunctions.Utility_DisplayArrayInTable(Fertiliser_SourceData.Fertiliser_Products_Data3(), FertiliserProducts[[#Headers],[Company]],61)</f>
        <v>2.4E-2</v>
      </c>
      <c r="S178" s="192" t="str" cm="1">
        <f t="array" ref="S178">Common_InputFunctions.Utility_DisplayArrayInTable(Fertiliser_SourceData.Fertiliser_Products_Data3(), FertiliserProducts[[#Headers],[Company]],61)</f>
        <v>Potassium - Generic</v>
      </c>
      <c r="T178" s="192" cm="1">
        <f t="array" ref="T178">Common_InputFunctions.Utility_DisplayArrayInTable(Fertiliser_SourceData.Fertiliser_Products_Data3(), FertiliserProducts[[#Headers],[Company]],61)</f>
        <v>0.11</v>
      </c>
      <c r="U178" s="192" t="str" cm="1">
        <f t="array" ref="U178">Common_InputFunctions.Utility_DisplayArrayInTable(Fertiliser_SourceData.Fertiliser_Products_Data3(), FertiliserProducts[[#Headers],[Company]],61)</f>
        <v>Sulfur - Generic</v>
      </c>
      <c r="V178" s="192" cm="1">
        <f t="array" ref="V178">Common_InputFunctions.Utility_DisplayArrayInTable(Fertiliser_SourceData.Fertiliser_Products_Data3(), FertiliserProducts[[#Headers],[Company]],61)</f>
        <v>2.9000000000000001E-2</v>
      </c>
      <c r="W178" s="192" t="str" cm="1">
        <f t="array" ref="W178">Common_InputFunctions.Utility_DisplayArrayInTable(Fertiliser_SourceData.Fertiliser_Products_Data3(), FertiliserProducts[[#Headers],[Company]],61)</f>
        <v/>
      </c>
      <c r="X178" s="192" t="str" cm="1">
        <f t="array" ref="X178">Common_InputFunctions.Utility_DisplayArrayInTable(Fertiliser_SourceData.Fertiliser_Products_Data3(), FertiliserProducts[[#Headers],[Company]],61)</f>
        <v/>
      </c>
      <c r="Y178" s="192" t="str" cm="1">
        <f t="array" ref="Y178">Common_InputFunctions.Utility_DisplayArrayInTable(Fertiliser_SourceData.Fertiliser_Products_Data3(), FertiliserProducts[[#Headers],[Company]],61)</f>
        <v/>
      </c>
      <c r="Z178" s="192" t="str" cm="1">
        <f t="array" ref="Z178">Common_InputFunctions.Utility_DisplayArrayInTable(Fertiliser_SourceData.Fertiliser_Products_Data3(), FertiliserProducts[[#Headers],[Company]],61)</f>
        <v/>
      </c>
      <c r="AA178" s="192" t="str" cm="1">
        <f t="array" ref="AA178">Common_InputFunctions.Utility_DisplayArrayInTable(Fertiliser_SourceData.Fertiliser_Products_Data3(), FertiliserProducts[[#Headers],[Company]],61)</f>
        <v/>
      </c>
      <c r="AB178" s="192" t="str" cm="1">
        <f t="array" ref="AB178">Common_InputFunctions.Utility_DisplayArrayInTable(Fertiliser_SourceData.Fertiliser_Products_Data3(), FertiliserProducts[[#Headers],[Company]],61)</f>
        <v/>
      </c>
      <c r="AC178" s="192" t="str" cm="1">
        <f t="array" ref="AC178">Common_InputFunctions.Utility_DisplayArrayInTable(Fertiliser_SourceData.Fertiliser_Products_Data3(), FertiliserProducts[[#Headers],[Company]],61)</f>
        <v/>
      </c>
      <c r="AD178" s="192" t="str" cm="1">
        <f t="array" ref="AD178">Common_InputFunctions.Utility_DisplayArrayInTable(Fertiliser_SourceData.Fertiliser_Products_Data3(), FertiliserProducts[[#Headers],[Company]],61)</f>
        <v/>
      </c>
      <c r="AE178" s="192" t="str" cm="1">
        <f t="array" ref="AE178">Common_InputFunctions.Utility_DisplayArrayInTable(Fertiliser_SourceData.Fertiliser_Products_Data3(), FertiliserProducts[[#Headers],[Company]],61)</f>
        <v/>
      </c>
      <c r="AF178" s="192" t="str" cm="1">
        <f t="array" ref="AF178">Common_InputFunctions.Utility_DisplayArrayInTable(Fertiliser_SourceData.Fertiliser_Products_Data3(), FertiliserProducts[[#Headers],[Company]],61)</f>
        <v/>
      </c>
      <c r="AG178" s="192" t="str" cm="1">
        <f t="array" ref="AG178">Common_InputFunctions.Utility_DisplayArrayInTable(Fertiliser_SourceData.Fertiliser_Products_Data3(), FertiliserProducts[[#Headers],[Company]],61)</f>
        <v/>
      </c>
      <c r="AH178" s="192" t="str" cm="1">
        <f t="array" ref="AH178">Common_InputFunctions.Utility_DisplayArrayInTable(Fertiliser_SourceData.Fertiliser_Products_Data3(), FertiliserProducts[[#Headers],[Company]],61)</f>
        <v/>
      </c>
      <c r="AK178" s="1"/>
    </row>
    <row r="179" spans="4:37" x14ac:dyDescent="0.25">
      <c r="D179" s="192" t="str" cm="1">
        <f t="array" ref="D179">Common_InputFunctions.Utility_DisplayArrayInTable(Fertiliser_SourceData.Fertiliser_Products_Data3(), FertiliserProducts[[#Headers],[Company]],61)</f>
        <v>Incitec Pivot Fertilisers</v>
      </c>
      <c r="E179" s="192" t="str" cm="1">
        <f t="array" ref="E179">Common_InputFunctions.Utility_DisplayArrayInTable(Fertiliser_SourceData.Fertiliser_Products_Data3(), FertiliserProducts[[#Headers],[Company]],61)</f>
        <v>HayBoosta</v>
      </c>
      <c r="F179" s="192" t="str" cm="1">
        <f t="array" ref="F179">Common_InputFunctions.Utility_DisplayArrayInTable(Fertiliser_SourceData.Fertiliser_Products_Data3(), FertiliserProducts[[#Headers],[Company]],61)</f>
        <v>kg</v>
      </c>
      <c r="G179" s="192" cm="1">
        <f t="array" ref="G179">Common_InputFunctions.Utility_DisplayArrayInTable(Fertiliser_SourceData.Fertiliser_Products_Data3(), FertiliserProducts[[#Headers],[Company]],61)</f>
        <v>1</v>
      </c>
      <c r="H179" s="192" t="str" cm="1">
        <f t="array" ref="H179">Common_InputFunctions.Utility_DisplayArrayInTable(Fertiliser_SourceData.Fertiliser_Products_Data3(), FertiliserProducts[[#Headers],[Company]],61)</f>
        <v/>
      </c>
      <c r="I179" s="192" t="str" cm="1">
        <f t="array" ref="I179">Common_InputFunctions.Utility_DisplayArrayInTable(Fertiliser_SourceData.Fertiliser_Products_Data3(), FertiliserProducts[[#Headers],[Company]],61)</f>
        <v/>
      </c>
      <c r="J179" s="192" t="str" cm="1">
        <f t="array" ref="J179">Common_InputFunctions.Utility_DisplayArrayInTable(Fertiliser_SourceData.Fertiliser_Products_Data3(), FertiliserProducts[[#Headers],[Company]],61)</f>
        <v/>
      </c>
      <c r="K179" s="192" cm="1">
        <f t="array" ref="K179">Common_InputFunctions.Utility_DisplayArrayInTable(Fertiliser_SourceData.Fertiliser_Products_Data3(), FertiliserProducts[[#Headers],[Company]],61)</f>
        <v>11.7</v>
      </c>
      <c r="L179" s="192" cm="1">
        <f t="array" ref="L179">Common_InputFunctions.Utility_DisplayArrayInTable(Fertiliser_SourceData.Fertiliser_Products_Data3(), FertiliserProducts[[#Headers],[Company]],61)</f>
        <v>4.7</v>
      </c>
      <c r="M179" s="192" cm="1">
        <f t="array" ref="M179">Common_InputFunctions.Utility_DisplayArrayInTable(Fertiliser_SourceData.Fertiliser_Products_Data3(), FertiliserProducts[[#Headers],[Company]],61)</f>
        <v>23.9</v>
      </c>
      <c r="N179" s="192" cm="1">
        <f t="array" ref="N179">Common_InputFunctions.Utility_DisplayArrayInTable(Fertiliser_SourceData.Fertiliser_Products_Data3(), FertiliserProducts[[#Headers],[Company]],61)</f>
        <v>4.5999999999999996</v>
      </c>
      <c r="O179" s="192" t="str" cm="1">
        <f t="array" ref="O179">Common_InputFunctions.Utility_DisplayArrayInTable(Fertiliser_SourceData.Fertiliser_Products_Data3(), FertiliserProducts[[#Headers],[Company]],61)</f>
        <v>Nitrogen - Generic</v>
      </c>
      <c r="P179" s="192" cm="1">
        <f t="array" ref="P179">Common_InputFunctions.Utility_DisplayArrayInTable(Fertiliser_SourceData.Fertiliser_Products_Data3(), FertiliserProducts[[#Headers],[Company]],61)</f>
        <v>0.11700000000000001</v>
      </c>
      <c r="Q179" s="192" t="str" cm="1">
        <f t="array" ref="Q179">Common_InputFunctions.Utility_DisplayArrayInTable(Fertiliser_SourceData.Fertiliser_Products_Data3(), FertiliserProducts[[#Headers],[Company]],61)</f>
        <v>Phosphorus - Generic</v>
      </c>
      <c r="R179" s="192" cm="1">
        <f t="array" ref="R179">Common_InputFunctions.Utility_DisplayArrayInTable(Fertiliser_SourceData.Fertiliser_Products_Data3(), FertiliserProducts[[#Headers],[Company]],61)</f>
        <v>4.7E-2</v>
      </c>
      <c r="S179" s="192" t="str" cm="1">
        <f t="array" ref="S179">Common_InputFunctions.Utility_DisplayArrayInTable(Fertiliser_SourceData.Fertiliser_Products_Data3(), FertiliserProducts[[#Headers],[Company]],61)</f>
        <v>Potassium - Generic</v>
      </c>
      <c r="T179" s="192" cm="1">
        <f t="array" ref="T179">Common_InputFunctions.Utility_DisplayArrayInTable(Fertiliser_SourceData.Fertiliser_Products_Data3(), FertiliserProducts[[#Headers],[Company]],61)</f>
        <v>0.23899999999999999</v>
      </c>
      <c r="U179" s="192" t="str" cm="1">
        <f t="array" ref="U179">Common_InputFunctions.Utility_DisplayArrayInTable(Fertiliser_SourceData.Fertiliser_Products_Data3(), FertiliserProducts[[#Headers],[Company]],61)</f>
        <v>Sulfur - Generic</v>
      </c>
      <c r="V179" s="192" cm="1">
        <f t="array" ref="V179">Common_InputFunctions.Utility_DisplayArrayInTable(Fertiliser_SourceData.Fertiliser_Products_Data3(), FertiliserProducts[[#Headers],[Company]],61)</f>
        <v>4.5999999999999999E-2</v>
      </c>
      <c r="W179" s="192" t="str" cm="1">
        <f t="array" ref="W179">Common_InputFunctions.Utility_DisplayArrayInTable(Fertiliser_SourceData.Fertiliser_Products_Data3(), FertiliserProducts[[#Headers],[Company]],61)</f>
        <v/>
      </c>
      <c r="X179" s="192" t="str" cm="1">
        <f t="array" ref="X179">Common_InputFunctions.Utility_DisplayArrayInTable(Fertiliser_SourceData.Fertiliser_Products_Data3(), FertiliserProducts[[#Headers],[Company]],61)</f>
        <v/>
      </c>
      <c r="Y179" s="192" t="str" cm="1">
        <f t="array" ref="Y179">Common_InputFunctions.Utility_DisplayArrayInTable(Fertiliser_SourceData.Fertiliser_Products_Data3(), FertiliserProducts[[#Headers],[Company]],61)</f>
        <v/>
      </c>
      <c r="Z179" s="192" t="str" cm="1">
        <f t="array" ref="Z179">Common_InputFunctions.Utility_DisplayArrayInTable(Fertiliser_SourceData.Fertiliser_Products_Data3(), FertiliserProducts[[#Headers],[Company]],61)</f>
        <v/>
      </c>
      <c r="AA179" s="192" t="str" cm="1">
        <f t="array" ref="AA179">Common_InputFunctions.Utility_DisplayArrayInTable(Fertiliser_SourceData.Fertiliser_Products_Data3(), FertiliserProducts[[#Headers],[Company]],61)</f>
        <v/>
      </c>
      <c r="AB179" s="192" t="str" cm="1">
        <f t="array" ref="AB179">Common_InputFunctions.Utility_DisplayArrayInTable(Fertiliser_SourceData.Fertiliser_Products_Data3(), FertiliserProducts[[#Headers],[Company]],61)</f>
        <v/>
      </c>
      <c r="AC179" s="192" t="str" cm="1">
        <f t="array" ref="AC179">Common_InputFunctions.Utility_DisplayArrayInTable(Fertiliser_SourceData.Fertiliser_Products_Data3(), FertiliserProducts[[#Headers],[Company]],61)</f>
        <v/>
      </c>
      <c r="AD179" s="192" t="str" cm="1">
        <f t="array" ref="AD179">Common_InputFunctions.Utility_DisplayArrayInTable(Fertiliser_SourceData.Fertiliser_Products_Data3(), FertiliserProducts[[#Headers],[Company]],61)</f>
        <v/>
      </c>
      <c r="AE179" s="192" t="str" cm="1">
        <f t="array" ref="AE179">Common_InputFunctions.Utility_DisplayArrayInTable(Fertiliser_SourceData.Fertiliser_Products_Data3(), FertiliserProducts[[#Headers],[Company]],61)</f>
        <v/>
      </c>
      <c r="AF179" s="192" t="str" cm="1">
        <f t="array" ref="AF179">Common_InputFunctions.Utility_DisplayArrayInTable(Fertiliser_SourceData.Fertiliser_Products_Data3(), FertiliserProducts[[#Headers],[Company]],61)</f>
        <v/>
      </c>
      <c r="AG179" s="192" t="str" cm="1">
        <f t="array" ref="AG179">Common_InputFunctions.Utility_DisplayArrayInTable(Fertiliser_SourceData.Fertiliser_Products_Data3(), FertiliserProducts[[#Headers],[Company]],61)</f>
        <v/>
      </c>
      <c r="AH179" s="192" t="str" cm="1">
        <f t="array" ref="AH179">Common_InputFunctions.Utility_DisplayArrayInTable(Fertiliser_SourceData.Fertiliser_Products_Data3(), FertiliserProducts[[#Headers],[Company]],61)</f>
        <v/>
      </c>
      <c r="AK179" s="1"/>
    </row>
    <row r="180" spans="4:37" x14ac:dyDescent="0.25">
      <c r="D180" s="192" t="str" cm="1">
        <f t="array" ref="D180">Common_InputFunctions.Utility_DisplayArrayInTable(Fertiliser_SourceData.Fertiliser_Products_Data4(),FertiliserProducts[[#Headers],[Company]], 91)</f>
        <v>Impact Fertilisers</v>
      </c>
      <c r="E180" s="192" t="str" cm="1">
        <f t="array" ref="E180">Common_InputFunctions.Utility_DisplayArrayInTable(Fertiliser_SourceData.Fertiliser_Products_Data4(),FertiliserProducts[[#Headers],[Company]], 91)</f>
        <v>Impact Super Potash 1&amp;1</v>
      </c>
      <c r="F180" s="192" t="str" cm="1">
        <f t="array" ref="F180">Common_InputFunctions.Utility_DisplayArrayInTable(Fertiliser_SourceData.Fertiliser_Products_Data4(),FertiliserProducts[[#Headers],[Company]], 91)</f>
        <v>kg</v>
      </c>
      <c r="G180" s="192" cm="1">
        <f t="array" ref="G180">Common_InputFunctions.Utility_DisplayArrayInTable(Fertiliser_SourceData.Fertiliser_Products_Data4(),FertiliserProducts[[#Headers],[Company]], 91)</f>
        <v>1</v>
      </c>
      <c r="H180" s="192" t="str" cm="1">
        <f t="array" ref="H180">Common_InputFunctions.Utility_DisplayArrayInTable(Fertiliser_SourceData.Fertiliser_Products_Data4(),FertiliserProducts[[#Headers],[Company]], 91)</f>
        <v/>
      </c>
      <c r="I180" s="192" t="str" cm="1">
        <f t="array" ref="I180">Common_InputFunctions.Utility_DisplayArrayInTable(Fertiliser_SourceData.Fertiliser_Products_Data4(),FertiliserProducts[[#Headers],[Company]], 91)</f>
        <v/>
      </c>
      <c r="J180" s="192" t="str" cm="1">
        <f t="array" ref="J180">Common_InputFunctions.Utility_DisplayArrayInTable(Fertiliser_SourceData.Fertiliser_Products_Data4(),FertiliserProducts[[#Headers],[Company]], 91)</f>
        <v/>
      </c>
      <c r="K180" s="192" t="str" cm="1">
        <f t="array" ref="K180">Common_InputFunctions.Utility_DisplayArrayInTable(Fertiliser_SourceData.Fertiliser_Products_Data4(),FertiliserProducts[[#Headers],[Company]], 91)</f>
        <v/>
      </c>
      <c r="L180" s="192" cm="1">
        <f t="array" ref="L180">Common_InputFunctions.Utility_DisplayArrayInTable(Fertiliser_SourceData.Fertiliser_Products_Data4(),FertiliserProducts[[#Headers],[Company]], 91)</f>
        <v>4.4000000000000004</v>
      </c>
      <c r="M180" s="192" cm="1">
        <f t="array" ref="M180">Common_InputFunctions.Utility_DisplayArrayInTable(Fertiliser_SourceData.Fertiliser_Products_Data4(),FertiliserProducts[[#Headers],[Company]], 91)</f>
        <v>25</v>
      </c>
      <c r="N180" s="192" cm="1">
        <f t="array" ref="N180">Common_InputFunctions.Utility_DisplayArrayInTable(Fertiliser_SourceData.Fertiliser_Products_Data4(),FertiliserProducts[[#Headers],[Company]], 91)</f>
        <v>5.5</v>
      </c>
      <c r="O180" s="192" t="str" cm="1">
        <f t="array" ref="O180">Common_InputFunctions.Utility_DisplayArrayInTable(Fertiliser_SourceData.Fertiliser_Products_Data4(),FertiliserProducts[[#Headers],[Company]], 91)</f>
        <v>Single superphosphate (SSP)</v>
      </c>
      <c r="P180" s="192" cm="1">
        <f t="array" ref="P180">Common_InputFunctions.Utility_DisplayArrayInTable(Fertiliser_SourceData.Fertiliser_Products_Data4(),FertiliserProducts[[#Headers],[Company]], 91)</f>
        <v>0.5</v>
      </c>
      <c r="Q180" s="192" t="str" cm="1">
        <f t="array" ref="Q180">Common_InputFunctions.Utility_DisplayArrayInTable(Fertiliser_SourceData.Fertiliser_Products_Data4(),FertiliserProducts[[#Headers],[Company]], 91)</f>
        <v>Muriate of potash (MOP)</v>
      </c>
      <c r="R180" s="192" cm="1">
        <f t="array" ref="R180">Common_InputFunctions.Utility_DisplayArrayInTable(Fertiliser_SourceData.Fertiliser_Products_Data4(),FertiliserProducts[[#Headers],[Company]], 91)</f>
        <v>0.5</v>
      </c>
      <c r="S180" s="192" t="str" cm="1">
        <f t="array" ref="S180">Common_InputFunctions.Utility_DisplayArrayInTable(Fertiliser_SourceData.Fertiliser_Products_Data4(),FertiliserProducts[[#Headers],[Company]], 91)</f>
        <v/>
      </c>
      <c r="T180" s="192" t="str" cm="1">
        <f t="array" ref="T180">Common_InputFunctions.Utility_DisplayArrayInTable(Fertiliser_SourceData.Fertiliser_Products_Data4(),FertiliserProducts[[#Headers],[Company]], 91)</f>
        <v/>
      </c>
      <c r="U180" s="192" t="str" cm="1">
        <f t="array" ref="U180">Common_InputFunctions.Utility_DisplayArrayInTable(Fertiliser_SourceData.Fertiliser_Products_Data4(),FertiliserProducts[[#Headers],[Company]], 91)</f>
        <v/>
      </c>
      <c r="V180" s="192" t="str" cm="1">
        <f t="array" ref="V180">Common_InputFunctions.Utility_DisplayArrayInTable(Fertiliser_SourceData.Fertiliser_Products_Data4(),FertiliserProducts[[#Headers],[Company]], 91)</f>
        <v/>
      </c>
      <c r="W180" s="192" t="str" cm="1">
        <f t="array" ref="W180">Common_InputFunctions.Utility_DisplayArrayInTable(Fertiliser_SourceData.Fertiliser_Products_Data4(),FertiliserProducts[[#Headers],[Company]], 91)</f>
        <v/>
      </c>
      <c r="X180" s="192" t="str" cm="1">
        <f t="array" ref="X180">Common_InputFunctions.Utility_DisplayArrayInTable(Fertiliser_SourceData.Fertiliser_Products_Data4(),FertiliserProducts[[#Headers],[Company]], 91)</f>
        <v/>
      </c>
      <c r="Y180" s="192" t="str" cm="1">
        <f t="array" ref="Y180">Common_InputFunctions.Utility_DisplayArrayInTable(Fertiliser_SourceData.Fertiliser_Products_Data4(),FertiliserProducts[[#Headers],[Company]], 91)</f>
        <v/>
      </c>
      <c r="Z180" s="192" t="str" cm="1">
        <f t="array" ref="Z180">Common_InputFunctions.Utility_DisplayArrayInTable(Fertiliser_SourceData.Fertiliser_Products_Data4(),FertiliserProducts[[#Headers],[Company]], 91)</f>
        <v/>
      </c>
      <c r="AA180" s="192" t="str" cm="1">
        <f t="array" ref="AA180">Common_InputFunctions.Utility_DisplayArrayInTable(Fertiliser_SourceData.Fertiliser_Products_Data4(),FertiliserProducts[[#Headers],[Company]], 91)</f>
        <v/>
      </c>
      <c r="AB180" s="192" t="str" cm="1">
        <f t="array" ref="AB180">Common_InputFunctions.Utility_DisplayArrayInTable(Fertiliser_SourceData.Fertiliser_Products_Data4(),FertiliserProducts[[#Headers],[Company]], 91)</f>
        <v/>
      </c>
      <c r="AC180" s="192" t="str" cm="1">
        <f t="array" ref="AC180">Common_InputFunctions.Utility_DisplayArrayInTable(Fertiliser_SourceData.Fertiliser_Products_Data4(),FertiliserProducts[[#Headers],[Company]], 91)</f>
        <v/>
      </c>
      <c r="AD180" s="192" t="str" cm="1">
        <f t="array" ref="AD180">Common_InputFunctions.Utility_DisplayArrayInTable(Fertiliser_SourceData.Fertiliser_Products_Data4(),FertiliserProducts[[#Headers],[Company]], 91)</f>
        <v/>
      </c>
      <c r="AE180" s="192" t="str" cm="1">
        <f t="array" ref="AE180">Common_InputFunctions.Utility_DisplayArrayInTable(Fertiliser_SourceData.Fertiliser_Products_Data4(),FertiliserProducts[[#Headers],[Company]], 91)</f>
        <v/>
      </c>
      <c r="AF180" s="192" t="str" cm="1">
        <f t="array" ref="AF180">Common_InputFunctions.Utility_DisplayArrayInTable(Fertiliser_SourceData.Fertiliser_Products_Data4(),FertiliserProducts[[#Headers],[Company]], 91)</f>
        <v/>
      </c>
      <c r="AG180" s="192" t="str" cm="1">
        <f t="array" ref="AG180">Common_InputFunctions.Utility_DisplayArrayInTable(Fertiliser_SourceData.Fertiliser_Products_Data4(),FertiliserProducts[[#Headers],[Company]], 91)</f>
        <v/>
      </c>
      <c r="AH180" s="192" t="str" cm="1">
        <f t="array" ref="AH180">Common_InputFunctions.Utility_DisplayArrayInTable(Fertiliser_SourceData.Fertiliser_Products_Data4(),FertiliserProducts[[#Headers],[Company]], 91)</f>
        <v/>
      </c>
    </row>
    <row r="181" spans="4:37" x14ac:dyDescent="0.25">
      <c r="D181" s="192" t="str" cm="1">
        <f t="array" ref="D181">Common_InputFunctions.Utility_DisplayArrayInTable(Fertiliser_SourceData.Fertiliser_Products_Data4(),FertiliserProducts[[#Headers],[Company]], 91)</f>
        <v>Impact Fertilisers</v>
      </c>
      <c r="E181" s="192" t="str" cm="1">
        <f t="array" ref="E181">Common_InputFunctions.Utility_DisplayArrayInTable(Fertiliser_SourceData.Fertiliser_Products_Data4(),FertiliserProducts[[#Headers],[Company]], 91)</f>
        <v>Impact Super Potash 2&amp;1</v>
      </c>
      <c r="F181" s="192" t="str" cm="1">
        <f t="array" ref="F181">Common_InputFunctions.Utility_DisplayArrayInTable(Fertiliser_SourceData.Fertiliser_Products_Data4(),FertiliserProducts[[#Headers],[Company]], 91)</f>
        <v>kg</v>
      </c>
      <c r="G181" s="192" cm="1">
        <f t="array" ref="G181">Common_InputFunctions.Utility_DisplayArrayInTable(Fertiliser_SourceData.Fertiliser_Products_Data4(),FertiliserProducts[[#Headers],[Company]], 91)</f>
        <v>1</v>
      </c>
      <c r="H181" s="192" t="str" cm="1">
        <f t="array" ref="H181">Common_InputFunctions.Utility_DisplayArrayInTable(Fertiliser_SourceData.Fertiliser_Products_Data4(),FertiliserProducts[[#Headers],[Company]], 91)</f>
        <v/>
      </c>
      <c r="I181" s="192" t="str" cm="1">
        <f t="array" ref="I181">Common_InputFunctions.Utility_DisplayArrayInTable(Fertiliser_SourceData.Fertiliser_Products_Data4(),FertiliserProducts[[#Headers],[Company]], 91)</f>
        <v/>
      </c>
      <c r="J181" s="192" t="str" cm="1">
        <f t="array" ref="J181">Common_InputFunctions.Utility_DisplayArrayInTable(Fertiliser_SourceData.Fertiliser_Products_Data4(),FertiliserProducts[[#Headers],[Company]], 91)</f>
        <v/>
      </c>
      <c r="K181" s="192" t="str" cm="1">
        <f t="array" ref="K181">Common_InputFunctions.Utility_DisplayArrayInTable(Fertiliser_SourceData.Fertiliser_Products_Data4(),FertiliserProducts[[#Headers],[Company]], 91)</f>
        <v/>
      </c>
      <c r="L181" s="192" cm="1">
        <f t="array" ref="L181">Common_InputFunctions.Utility_DisplayArrayInTable(Fertiliser_SourceData.Fertiliser_Products_Data4(),FertiliserProducts[[#Headers],[Company]], 91)</f>
        <v>5.84</v>
      </c>
      <c r="M181" s="192" cm="1">
        <f t="array" ref="M181">Common_InputFunctions.Utility_DisplayArrayInTable(Fertiliser_SourceData.Fertiliser_Products_Data4(),FertiliserProducts[[#Headers],[Company]], 91)</f>
        <v>16.8</v>
      </c>
      <c r="N181" s="192" cm="1">
        <f t="array" ref="N181">Common_InputFunctions.Utility_DisplayArrayInTable(Fertiliser_SourceData.Fertiliser_Products_Data4(),FertiliserProducts[[#Headers],[Company]], 91)</f>
        <v>7.29</v>
      </c>
      <c r="O181" s="192" t="str" cm="1">
        <f t="array" ref="O181">Common_InputFunctions.Utility_DisplayArrayInTable(Fertiliser_SourceData.Fertiliser_Products_Data4(),FertiliserProducts[[#Headers],[Company]], 91)</f>
        <v>Single superphosphate (SSP)</v>
      </c>
      <c r="P181" s="192" cm="1">
        <f t="array" ref="P181">Common_InputFunctions.Utility_DisplayArrayInTable(Fertiliser_SourceData.Fertiliser_Products_Data4(),FertiliserProducts[[#Headers],[Company]], 91)</f>
        <v>0.66315800000000003</v>
      </c>
      <c r="Q181" s="192" t="str" cm="1">
        <f t="array" ref="Q181">Common_InputFunctions.Utility_DisplayArrayInTable(Fertiliser_SourceData.Fertiliser_Products_Data4(),FertiliserProducts[[#Headers],[Company]], 91)</f>
        <v>Muriate of potash (MOP)</v>
      </c>
      <c r="R181" s="192" cm="1">
        <f t="array" ref="R181">Common_InputFunctions.Utility_DisplayArrayInTable(Fertiliser_SourceData.Fertiliser_Products_Data4(),FertiliserProducts[[#Headers],[Company]], 91)</f>
        <v>0.33600000000000002</v>
      </c>
      <c r="S181" s="192" t="str" cm="1">
        <f t="array" ref="S181">Common_InputFunctions.Utility_DisplayArrayInTable(Fertiliser_SourceData.Fertiliser_Products_Data4(),FertiliserProducts[[#Headers],[Company]], 91)</f>
        <v/>
      </c>
      <c r="T181" s="192" t="str" cm="1">
        <f t="array" ref="T181">Common_InputFunctions.Utility_DisplayArrayInTable(Fertiliser_SourceData.Fertiliser_Products_Data4(),FertiliserProducts[[#Headers],[Company]], 91)</f>
        <v/>
      </c>
      <c r="U181" s="192" t="str" cm="1">
        <f t="array" ref="U181">Common_InputFunctions.Utility_DisplayArrayInTable(Fertiliser_SourceData.Fertiliser_Products_Data4(),FertiliserProducts[[#Headers],[Company]], 91)</f>
        <v/>
      </c>
      <c r="V181" s="192" t="str" cm="1">
        <f t="array" ref="V181">Common_InputFunctions.Utility_DisplayArrayInTable(Fertiliser_SourceData.Fertiliser_Products_Data4(),FertiliserProducts[[#Headers],[Company]], 91)</f>
        <v/>
      </c>
      <c r="W181" s="192" t="str" cm="1">
        <f t="array" ref="W181">Common_InputFunctions.Utility_DisplayArrayInTable(Fertiliser_SourceData.Fertiliser_Products_Data4(),FertiliserProducts[[#Headers],[Company]], 91)</f>
        <v/>
      </c>
      <c r="X181" s="192" t="str" cm="1">
        <f t="array" ref="X181">Common_InputFunctions.Utility_DisplayArrayInTable(Fertiliser_SourceData.Fertiliser_Products_Data4(),FertiliserProducts[[#Headers],[Company]], 91)</f>
        <v/>
      </c>
      <c r="Y181" s="192" t="str" cm="1">
        <f t="array" ref="Y181">Common_InputFunctions.Utility_DisplayArrayInTable(Fertiliser_SourceData.Fertiliser_Products_Data4(),FertiliserProducts[[#Headers],[Company]], 91)</f>
        <v/>
      </c>
      <c r="Z181" s="192" t="str" cm="1">
        <f t="array" ref="Z181">Common_InputFunctions.Utility_DisplayArrayInTable(Fertiliser_SourceData.Fertiliser_Products_Data4(),FertiliserProducts[[#Headers],[Company]], 91)</f>
        <v/>
      </c>
      <c r="AA181" s="192" t="str" cm="1">
        <f t="array" ref="AA181">Common_InputFunctions.Utility_DisplayArrayInTable(Fertiliser_SourceData.Fertiliser_Products_Data4(),FertiliserProducts[[#Headers],[Company]], 91)</f>
        <v/>
      </c>
      <c r="AB181" s="192" t="str" cm="1">
        <f t="array" ref="AB181">Common_InputFunctions.Utility_DisplayArrayInTable(Fertiliser_SourceData.Fertiliser_Products_Data4(),FertiliserProducts[[#Headers],[Company]], 91)</f>
        <v/>
      </c>
      <c r="AC181" s="192" t="str" cm="1">
        <f t="array" ref="AC181">Common_InputFunctions.Utility_DisplayArrayInTable(Fertiliser_SourceData.Fertiliser_Products_Data4(),FertiliserProducts[[#Headers],[Company]], 91)</f>
        <v/>
      </c>
      <c r="AD181" s="192" t="str" cm="1">
        <f t="array" ref="AD181">Common_InputFunctions.Utility_DisplayArrayInTable(Fertiliser_SourceData.Fertiliser_Products_Data4(),FertiliserProducts[[#Headers],[Company]], 91)</f>
        <v/>
      </c>
      <c r="AE181" s="192" t="str" cm="1">
        <f t="array" ref="AE181">Common_InputFunctions.Utility_DisplayArrayInTable(Fertiliser_SourceData.Fertiliser_Products_Data4(),FertiliserProducts[[#Headers],[Company]], 91)</f>
        <v/>
      </c>
      <c r="AF181" s="192" t="str" cm="1">
        <f t="array" ref="AF181">Common_InputFunctions.Utility_DisplayArrayInTable(Fertiliser_SourceData.Fertiliser_Products_Data4(),FertiliserProducts[[#Headers],[Company]], 91)</f>
        <v/>
      </c>
      <c r="AG181" s="192" t="str" cm="1">
        <f t="array" ref="AG181">Common_InputFunctions.Utility_DisplayArrayInTable(Fertiliser_SourceData.Fertiliser_Products_Data4(),FertiliserProducts[[#Headers],[Company]], 91)</f>
        <v/>
      </c>
      <c r="AH181" s="192" t="str" cm="1">
        <f t="array" ref="AH181">Common_InputFunctions.Utility_DisplayArrayInTable(Fertiliser_SourceData.Fertiliser_Products_Data4(),FertiliserProducts[[#Headers],[Company]], 91)</f>
        <v/>
      </c>
    </row>
    <row r="182" spans="4:37" x14ac:dyDescent="0.25">
      <c r="D182" s="192" t="str" cm="1">
        <f t="array" ref="D182">Common_InputFunctions.Utility_DisplayArrayInTable(Fertiliser_SourceData.Fertiliser_Products_Data4(),FertiliserProducts[[#Headers],[Company]], 91)</f>
        <v>Impact Fertilisers</v>
      </c>
      <c r="E182" s="192" t="str" cm="1">
        <f t="array" ref="E182">Common_InputFunctions.Utility_DisplayArrayInTable(Fertiliser_SourceData.Fertiliser_Products_Data4(),FertiliserProducts[[#Headers],[Company]], 91)</f>
        <v>Impact Super Potash 3&amp;1</v>
      </c>
      <c r="F182" s="192" t="str" cm="1">
        <f t="array" ref="F182">Common_InputFunctions.Utility_DisplayArrayInTable(Fertiliser_SourceData.Fertiliser_Products_Data4(),FertiliserProducts[[#Headers],[Company]], 91)</f>
        <v>kg</v>
      </c>
      <c r="G182" s="192" cm="1">
        <f t="array" ref="G182">Common_InputFunctions.Utility_DisplayArrayInTable(Fertiliser_SourceData.Fertiliser_Products_Data4(),FertiliserProducts[[#Headers],[Company]], 91)</f>
        <v>1</v>
      </c>
      <c r="H182" s="192" t="str" cm="1">
        <f t="array" ref="H182">Common_InputFunctions.Utility_DisplayArrayInTable(Fertiliser_SourceData.Fertiliser_Products_Data4(),FertiliserProducts[[#Headers],[Company]], 91)</f>
        <v/>
      </c>
      <c r="I182" s="192" t="str" cm="1">
        <f t="array" ref="I182">Common_InputFunctions.Utility_DisplayArrayInTable(Fertiliser_SourceData.Fertiliser_Products_Data4(),FertiliserProducts[[#Headers],[Company]], 91)</f>
        <v/>
      </c>
      <c r="J182" s="192" t="str" cm="1">
        <f t="array" ref="J182">Common_InputFunctions.Utility_DisplayArrayInTable(Fertiliser_SourceData.Fertiliser_Products_Data4(),FertiliserProducts[[#Headers],[Company]], 91)</f>
        <v/>
      </c>
      <c r="K182" s="192" t="str" cm="1">
        <f t="array" ref="K182">Common_InputFunctions.Utility_DisplayArrayInTable(Fertiliser_SourceData.Fertiliser_Products_Data4(),FertiliserProducts[[#Headers],[Company]], 91)</f>
        <v/>
      </c>
      <c r="L182" s="192" cm="1">
        <f t="array" ref="L182">Common_InputFunctions.Utility_DisplayArrayInTable(Fertiliser_SourceData.Fertiliser_Products_Data4(),FertiliserProducts[[#Headers],[Company]], 91)</f>
        <v>6.58</v>
      </c>
      <c r="M182" s="192" cm="1">
        <f t="array" ref="M182">Common_InputFunctions.Utility_DisplayArrayInTable(Fertiliser_SourceData.Fertiliser_Products_Data4(),FertiliserProducts[[#Headers],[Company]], 91)</f>
        <v>12.5</v>
      </c>
      <c r="N182" s="192" cm="1">
        <f t="array" ref="N182">Common_InputFunctions.Utility_DisplayArrayInTable(Fertiliser_SourceData.Fertiliser_Products_Data4(),FertiliserProducts[[#Headers],[Company]], 91)</f>
        <v>8.2200000000000006</v>
      </c>
      <c r="O182" s="192" t="str" cm="1">
        <f t="array" ref="O182">Common_InputFunctions.Utility_DisplayArrayInTable(Fertiliser_SourceData.Fertiliser_Products_Data4(),FertiliserProducts[[#Headers],[Company]], 91)</f>
        <v>Single superphosphate (SSP)</v>
      </c>
      <c r="P182" s="192" cm="1">
        <f t="array" ref="P182">Common_InputFunctions.Utility_DisplayArrayInTable(Fertiliser_SourceData.Fertiliser_Products_Data4(),FertiliserProducts[[#Headers],[Company]], 91)</f>
        <v>0.74736800000000003</v>
      </c>
      <c r="Q182" s="192" t="str" cm="1">
        <f t="array" ref="Q182">Common_InputFunctions.Utility_DisplayArrayInTable(Fertiliser_SourceData.Fertiliser_Products_Data4(),FertiliserProducts[[#Headers],[Company]], 91)</f>
        <v>Muriate of potash (MOP)</v>
      </c>
      <c r="R182" s="192" cm="1">
        <f t="array" ref="R182">Common_InputFunctions.Utility_DisplayArrayInTable(Fertiliser_SourceData.Fertiliser_Products_Data4(),FertiliserProducts[[#Headers],[Company]], 91)</f>
        <v>0.25</v>
      </c>
      <c r="S182" s="192" t="str" cm="1">
        <f t="array" ref="S182">Common_InputFunctions.Utility_DisplayArrayInTable(Fertiliser_SourceData.Fertiliser_Products_Data4(),FertiliserProducts[[#Headers],[Company]], 91)</f>
        <v/>
      </c>
      <c r="T182" s="192" t="str" cm="1">
        <f t="array" ref="T182">Common_InputFunctions.Utility_DisplayArrayInTable(Fertiliser_SourceData.Fertiliser_Products_Data4(),FertiliserProducts[[#Headers],[Company]], 91)</f>
        <v/>
      </c>
      <c r="U182" s="192" t="str" cm="1">
        <f t="array" ref="U182">Common_InputFunctions.Utility_DisplayArrayInTable(Fertiliser_SourceData.Fertiliser_Products_Data4(),FertiliserProducts[[#Headers],[Company]], 91)</f>
        <v/>
      </c>
      <c r="V182" s="192" t="str" cm="1">
        <f t="array" ref="V182">Common_InputFunctions.Utility_DisplayArrayInTable(Fertiliser_SourceData.Fertiliser_Products_Data4(),FertiliserProducts[[#Headers],[Company]], 91)</f>
        <v/>
      </c>
      <c r="W182" s="192" t="str" cm="1">
        <f t="array" ref="W182">Common_InputFunctions.Utility_DisplayArrayInTable(Fertiliser_SourceData.Fertiliser_Products_Data4(),FertiliserProducts[[#Headers],[Company]], 91)</f>
        <v/>
      </c>
      <c r="X182" s="192" t="str" cm="1">
        <f t="array" ref="X182">Common_InputFunctions.Utility_DisplayArrayInTable(Fertiliser_SourceData.Fertiliser_Products_Data4(),FertiliserProducts[[#Headers],[Company]], 91)</f>
        <v/>
      </c>
      <c r="Y182" s="192" t="str" cm="1">
        <f t="array" ref="Y182">Common_InputFunctions.Utility_DisplayArrayInTable(Fertiliser_SourceData.Fertiliser_Products_Data4(),FertiliserProducts[[#Headers],[Company]], 91)</f>
        <v/>
      </c>
      <c r="Z182" s="192" t="str" cm="1">
        <f t="array" ref="Z182">Common_InputFunctions.Utility_DisplayArrayInTable(Fertiliser_SourceData.Fertiliser_Products_Data4(),FertiliserProducts[[#Headers],[Company]], 91)</f>
        <v/>
      </c>
      <c r="AA182" s="192" t="str" cm="1">
        <f t="array" ref="AA182">Common_InputFunctions.Utility_DisplayArrayInTable(Fertiliser_SourceData.Fertiliser_Products_Data4(),FertiliserProducts[[#Headers],[Company]], 91)</f>
        <v/>
      </c>
      <c r="AB182" s="192" t="str" cm="1">
        <f t="array" ref="AB182">Common_InputFunctions.Utility_DisplayArrayInTable(Fertiliser_SourceData.Fertiliser_Products_Data4(),FertiliserProducts[[#Headers],[Company]], 91)</f>
        <v/>
      </c>
      <c r="AC182" s="192" t="str" cm="1">
        <f t="array" ref="AC182">Common_InputFunctions.Utility_DisplayArrayInTable(Fertiliser_SourceData.Fertiliser_Products_Data4(),FertiliserProducts[[#Headers],[Company]], 91)</f>
        <v/>
      </c>
      <c r="AD182" s="192" t="str" cm="1">
        <f t="array" ref="AD182">Common_InputFunctions.Utility_DisplayArrayInTable(Fertiliser_SourceData.Fertiliser_Products_Data4(),FertiliserProducts[[#Headers],[Company]], 91)</f>
        <v/>
      </c>
      <c r="AE182" s="192" t="str" cm="1">
        <f t="array" ref="AE182">Common_InputFunctions.Utility_DisplayArrayInTable(Fertiliser_SourceData.Fertiliser_Products_Data4(),FertiliserProducts[[#Headers],[Company]], 91)</f>
        <v/>
      </c>
      <c r="AF182" s="192" t="str" cm="1">
        <f t="array" ref="AF182">Common_InputFunctions.Utility_DisplayArrayInTable(Fertiliser_SourceData.Fertiliser_Products_Data4(),FertiliserProducts[[#Headers],[Company]], 91)</f>
        <v/>
      </c>
      <c r="AG182" s="192" t="str" cm="1">
        <f t="array" ref="AG182">Common_InputFunctions.Utility_DisplayArrayInTable(Fertiliser_SourceData.Fertiliser_Products_Data4(),FertiliserProducts[[#Headers],[Company]], 91)</f>
        <v/>
      </c>
      <c r="AH182" s="192" t="str" cm="1">
        <f t="array" ref="AH182">Common_InputFunctions.Utility_DisplayArrayInTable(Fertiliser_SourceData.Fertiliser_Products_Data4(),FertiliserProducts[[#Headers],[Company]], 91)</f>
        <v/>
      </c>
    </row>
    <row r="183" spans="4:37" x14ac:dyDescent="0.25">
      <c r="D183" s="192" t="str" cm="1">
        <f t="array" ref="D183">Common_InputFunctions.Utility_DisplayArrayInTable(Fertiliser_SourceData.Fertiliser_Products_Data4(),FertiliserProducts[[#Headers],[Company]], 91)</f>
        <v>Impact Fertilisers</v>
      </c>
      <c r="E183" s="192" t="str" cm="1">
        <f t="array" ref="E183">Common_InputFunctions.Utility_DisplayArrayInTable(Fertiliser_SourceData.Fertiliser_Products_Data4(),FertiliserProducts[[#Headers],[Company]], 91)</f>
        <v>Impact Super Potash 4&amp;1</v>
      </c>
      <c r="F183" s="192" t="str" cm="1">
        <f t="array" ref="F183">Common_InputFunctions.Utility_DisplayArrayInTable(Fertiliser_SourceData.Fertiliser_Products_Data4(),FertiliserProducts[[#Headers],[Company]], 91)</f>
        <v>kg</v>
      </c>
      <c r="G183" s="192" cm="1">
        <f t="array" ref="G183">Common_InputFunctions.Utility_DisplayArrayInTable(Fertiliser_SourceData.Fertiliser_Products_Data4(),FertiliserProducts[[#Headers],[Company]], 91)</f>
        <v>1</v>
      </c>
      <c r="H183" s="192" t="str" cm="1">
        <f t="array" ref="H183">Common_InputFunctions.Utility_DisplayArrayInTable(Fertiliser_SourceData.Fertiliser_Products_Data4(),FertiliserProducts[[#Headers],[Company]], 91)</f>
        <v/>
      </c>
      <c r="I183" s="192" t="str" cm="1">
        <f t="array" ref="I183">Common_InputFunctions.Utility_DisplayArrayInTable(Fertiliser_SourceData.Fertiliser_Products_Data4(),FertiliserProducts[[#Headers],[Company]], 91)</f>
        <v/>
      </c>
      <c r="J183" s="192" t="str" cm="1">
        <f t="array" ref="J183">Common_InputFunctions.Utility_DisplayArrayInTable(Fertiliser_SourceData.Fertiliser_Products_Data4(),FertiliserProducts[[#Headers],[Company]], 91)</f>
        <v/>
      </c>
      <c r="K183" s="192" t="str" cm="1">
        <f t="array" ref="K183">Common_InputFunctions.Utility_DisplayArrayInTable(Fertiliser_SourceData.Fertiliser_Products_Data4(),FertiliserProducts[[#Headers],[Company]], 91)</f>
        <v/>
      </c>
      <c r="L183" s="192" cm="1">
        <f t="array" ref="L183">Common_InputFunctions.Utility_DisplayArrayInTable(Fertiliser_SourceData.Fertiliser_Products_Data4(),FertiliserProducts[[#Headers],[Company]], 91)</f>
        <v>7.04</v>
      </c>
      <c r="M183" s="192" cm="1">
        <f t="array" ref="M183">Common_InputFunctions.Utility_DisplayArrayInTable(Fertiliser_SourceData.Fertiliser_Products_Data4(),FertiliserProducts[[#Headers],[Company]], 91)</f>
        <v>10</v>
      </c>
      <c r="N183" s="192" cm="1">
        <f t="array" ref="N183">Common_InputFunctions.Utility_DisplayArrayInTable(Fertiliser_SourceData.Fertiliser_Products_Data4(),FertiliserProducts[[#Headers],[Company]], 91)</f>
        <v>8.8000000000000007</v>
      </c>
      <c r="O183" s="192" t="str" cm="1">
        <f t="array" ref="O183">Common_InputFunctions.Utility_DisplayArrayInTable(Fertiliser_SourceData.Fertiliser_Products_Data4(),FertiliserProducts[[#Headers],[Company]], 91)</f>
        <v>Single superphosphate (SSP)</v>
      </c>
      <c r="P183" s="192" cm="1">
        <f t="array" ref="P183">Common_InputFunctions.Utility_DisplayArrayInTable(Fertiliser_SourceData.Fertiliser_Products_Data4(),FertiliserProducts[[#Headers],[Company]], 91)</f>
        <v>0.8</v>
      </c>
      <c r="Q183" s="192" t="str" cm="1">
        <f t="array" ref="Q183">Common_InputFunctions.Utility_DisplayArrayInTable(Fertiliser_SourceData.Fertiliser_Products_Data4(),FertiliserProducts[[#Headers],[Company]], 91)</f>
        <v>Muriate of potash (MOP)</v>
      </c>
      <c r="R183" s="192" cm="1">
        <f t="array" ref="R183">Common_InputFunctions.Utility_DisplayArrayInTable(Fertiliser_SourceData.Fertiliser_Products_Data4(),FertiliserProducts[[#Headers],[Company]], 91)</f>
        <v>0.2</v>
      </c>
      <c r="S183" s="192" t="str" cm="1">
        <f t="array" ref="S183">Common_InputFunctions.Utility_DisplayArrayInTable(Fertiliser_SourceData.Fertiliser_Products_Data4(),FertiliserProducts[[#Headers],[Company]], 91)</f>
        <v/>
      </c>
      <c r="T183" s="192" t="str" cm="1">
        <f t="array" ref="T183">Common_InputFunctions.Utility_DisplayArrayInTable(Fertiliser_SourceData.Fertiliser_Products_Data4(),FertiliserProducts[[#Headers],[Company]], 91)</f>
        <v/>
      </c>
      <c r="U183" s="192" t="str" cm="1">
        <f t="array" ref="U183">Common_InputFunctions.Utility_DisplayArrayInTable(Fertiliser_SourceData.Fertiliser_Products_Data4(),FertiliserProducts[[#Headers],[Company]], 91)</f>
        <v/>
      </c>
      <c r="V183" s="192" t="str" cm="1">
        <f t="array" ref="V183">Common_InputFunctions.Utility_DisplayArrayInTable(Fertiliser_SourceData.Fertiliser_Products_Data4(),FertiliserProducts[[#Headers],[Company]], 91)</f>
        <v/>
      </c>
      <c r="W183" s="192" t="str" cm="1">
        <f t="array" ref="W183">Common_InputFunctions.Utility_DisplayArrayInTable(Fertiliser_SourceData.Fertiliser_Products_Data4(),FertiliserProducts[[#Headers],[Company]], 91)</f>
        <v/>
      </c>
      <c r="X183" s="192" t="str" cm="1">
        <f t="array" ref="X183">Common_InputFunctions.Utility_DisplayArrayInTable(Fertiliser_SourceData.Fertiliser_Products_Data4(),FertiliserProducts[[#Headers],[Company]], 91)</f>
        <v/>
      </c>
      <c r="Y183" s="192" t="str" cm="1">
        <f t="array" ref="Y183">Common_InputFunctions.Utility_DisplayArrayInTable(Fertiliser_SourceData.Fertiliser_Products_Data4(),FertiliserProducts[[#Headers],[Company]], 91)</f>
        <v/>
      </c>
      <c r="Z183" s="192" t="str" cm="1">
        <f t="array" ref="Z183">Common_InputFunctions.Utility_DisplayArrayInTable(Fertiliser_SourceData.Fertiliser_Products_Data4(),FertiliserProducts[[#Headers],[Company]], 91)</f>
        <v/>
      </c>
      <c r="AA183" s="192" t="str" cm="1">
        <f t="array" ref="AA183">Common_InputFunctions.Utility_DisplayArrayInTable(Fertiliser_SourceData.Fertiliser_Products_Data4(),FertiliserProducts[[#Headers],[Company]], 91)</f>
        <v/>
      </c>
      <c r="AB183" s="192" t="str" cm="1">
        <f t="array" ref="AB183">Common_InputFunctions.Utility_DisplayArrayInTable(Fertiliser_SourceData.Fertiliser_Products_Data4(),FertiliserProducts[[#Headers],[Company]], 91)</f>
        <v/>
      </c>
      <c r="AC183" s="192" t="str" cm="1">
        <f t="array" ref="AC183">Common_InputFunctions.Utility_DisplayArrayInTable(Fertiliser_SourceData.Fertiliser_Products_Data4(),FertiliserProducts[[#Headers],[Company]], 91)</f>
        <v/>
      </c>
      <c r="AD183" s="192" t="str" cm="1">
        <f t="array" ref="AD183">Common_InputFunctions.Utility_DisplayArrayInTable(Fertiliser_SourceData.Fertiliser_Products_Data4(),FertiliserProducts[[#Headers],[Company]], 91)</f>
        <v/>
      </c>
      <c r="AE183" s="192" t="str" cm="1">
        <f t="array" ref="AE183">Common_InputFunctions.Utility_DisplayArrayInTable(Fertiliser_SourceData.Fertiliser_Products_Data4(),FertiliserProducts[[#Headers],[Company]], 91)</f>
        <v/>
      </c>
      <c r="AF183" s="192" t="str" cm="1">
        <f t="array" ref="AF183">Common_InputFunctions.Utility_DisplayArrayInTable(Fertiliser_SourceData.Fertiliser_Products_Data4(),FertiliserProducts[[#Headers],[Company]], 91)</f>
        <v/>
      </c>
      <c r="AG183" s="192" t="str" cm="1">
        <f t="array" ref="AG183">Common_InputFunctions.Utility_DisplayArrayInTable(Fertiliser_SourceData.Fertiliser_Products_Data4(),FertiliserProducts[[#Headers],[Company]], 91)</f>
        <v/>
      </c>
      <c r="AH183" s="192" t="str" cm="1">
        <f t="array" ref="AH183">Common_InputFunctions.Utility_DisplayArrayInTable(Fertiliser_SourceData.Fertiliser_Products_Data4(),FertiliserProducts[[#Headers],[Company]], 91)</f>
        <v/>
      </c>
    </row>
    <row r="184" spans="4:37" x14ac:dyDescent="0.25">
      <c r="D184" s="192" t="str" cm="1">
        <f t="array" ref="D184">Common_InputFunctions.Utility_DisplayArrayInTable(Fertiliser_SourceData.Fertiliser_Products_Data4(),FertiliserProducts[[#Headers],[Company]], 91)</f>
        <v>Impact Fertilisers</v>
      </c>
      <c r="E184" s="192" t="str" cm="1">
        <f t="array" ref="E184">Common_InputFunctions.Utility_DisplayArrayInTable(Fertiliser_SourceData.Fertiliser_Products_Data4(),FertiliserProducts[[#Headers],[Company]], 91)</f>
        <v>Impact Super Potash 5&amp;1</v>
      </c>
      <c r="F184" s="192" t="str" cm="1">
        <f t="array" ref="F184">Common_InputFunctions.Utility_DisplayArrayInTable(Fertiliser_SourceData.Fertiliser_Products_Data4(),FertiliserProducts[[#Headers],[Company]], 91)</f>
        <v>kg</v>
      </c>
      <c r="G184" s="192" cm="1">
        <f t="array" ref="G184">Common_InputFunctions.Utility_DisplayArrayInTable(Fertiliser_SourceData.Fertiliser_Products_Data4(),FertiliserProducts[[#Headers],[Company]], 91)</f>
        <v>1</v>
      </c>
      <c r="H184" s="192" t="str" cm="1">
        <f t="array" ref="H184">Common_InputFunctions.Utility_DisplayArrayInTable(Fertiliser_SourceData.Fertiliser_Products_Data4(),FertiliserProducts[[#Headers],[Company]], 91)</f>
        <v/>
      </c>
      <c r="I184" s="192" t="str" cm="1">
        <f t="array" ref="I184">Common_InputFunctions.Utility_DisplayArrayInTable(Fertiliser_SourceData.Fertiliser_Products_Data4(),FertiliserProducts[[#Headers],[Company]], 91)</f>
        <v/>
      </c>
      <c r="J184" s="192" t="str" cm="1">
        <f t="array" ref="J184">Common_InputFunctions.Utility_DisplayArrayInTable(Fertiliser_SourceData.Fertiliser_Products_Data4(),FertiliserProducts[[#Headers],[Company]], 91)</f>
        <v/>
      </c>
      <c r="K184" s="192" t="str" cm="1">
        <f t="array" ref="K184">Common_InputFunctions.Utility_DisplayArrayInTable(Fertiliser_SourceData.Fertiliser_Products_Data4(),FertiliserProducts[[#Headers],[Company]], 91)</f>
        <v/>
      </c>
      <c r="L184" s="192" cm="1">
        <f t="array" ref="L184">Common_InputFunctions.Utility_DisplayArrayInTable(Fertiliser_SourceData.Fertiliser_Products_Data4(),FertiliserProducts[[#Headers],[Company]], 91)</f>
        <v>7.32</v>
      </c>
      <c r="M184" s="192" cm="1">
        <f t="array" ref="M184">Common_InputFunctions.Utility_DisplayArrayInTable(Fertiliser_SourceData.Fertiliser_Products_Data4(),FertiliserProducts[[#Headers],[Company]], 91)</f>
        <v>8.4</v>
      </c>
      <c r="N184" s="192" cm="1">
        <f t="array" ref="N184">Common_InputFunctions.Utility_DisplayArrayInTable(Fertiliser_SourceData.Fertiliser_Products_Data4(),FertiliserProducts[[#Headers],[Company]], 91)</f>
        <v>9.15</v>
      </c>
      <c r="O184" s="192" t="str" cm="1">
        <f t="array" ref="O184">Common_InputFunctions.Utility_DisplayArrayInTable(Fertiliser_SourceData.Fertiliser_Products_Data4(),FertiliserProducts[[#Headers],[Company]], 91)</f>
        <v>Single superphosphate (SSP)</v>
      </c>
      <c r="P184" s="192" cm="1">
        <f t="array" ref="P184">Common_InputFunctions.Utility_DisplayArrayInTable(Fertiliser_SourceData.Fertiliser_Products_Data4(),FertiliserProducts[[#Headers],[Company]], 91)</f>
        <v>0.83157899999999996</v>
      </c>
      <c r="Q184" s="192" t="str" cm="1">
        <f t="array" ref="Q184">Common_InputFunctions.Utility_DisplayArrayInTable(Fertiliser_SourceData.Fertiliser_Products_Data4(),FertiliserProducts[[#Headers],[Company]], 91)</f>
        <v>Muriate of potash (MOP)</v>
      </c>
      <c r="R184" s="192" cm="1">
        <f t="array" ref="R184">Common_InputFunctions.Utility_DisplayArrayInTable(Fertiliser_SourceData.Fertiliser_Products_Data4(),FertiliserProducts[[#Headers],[Company]], 91)</f>
        <v>0.16800000000000001</v>
      </c>
      <c r="S184" s="192" t="str" cm="1">
        <f t="array" ref="S184">Common_InputFunctions.Utility_DisplayArrayInTable(Fertiliser_SourceData.Fertiliser_Products_Data4(),FertiliserProducts[[#Headers],[Company]], 91)</f>
        <v/>
      </c>
      <c r="T184" s="192" t="str" cm="1">
        <f t="array" ref="T184">Common_InputFunctions.Utility_DisplayArrayInTable(Fertiliser_SourceData.Fertiliser_Products_Data4(),FertiliserProducts[[#Headers],[Company]], 91)</f>
        <v/>
      </c>
      <c r="U184" s="192" t="str" cm="1">
        <f t="array" ref="U184">Common_InputFunctions.Utility_DisplayArrayInTable(Fertiliser_SourceData.Fertiliser_Products_Data4(),FertiliserProducts[[#Headers],[Company]], 91)</f>
        <v/>
      </c>
      <c r="V184" s="192" t="str" cm="1">
        <f t="array" ref="V184">Common_InputFunctions.Utility_DisplayArrayInTable(Fertiliser_SourceData.Fertiliser_Products_Data4(),FertiliserProducts[[#Headers],[Company]], 91)</f>
        <v/>
      </c>
      <c r="W184" s="192" t="str" cm="1">
        <f t="array" ref="W184">Common_InputFunctions.Utility_DisplayArrayInTable(Fertiliser_SourceData.Fertiliser_Products_Data4(),FertiliserProducts[[#Headers],[Company]], 91)</f>
        <v/>
      </c>
      <c r="X184" s="192" t="str" cm="1">
        <f t="array" ref="X184">Common_InputFunctions.Utility_DisplayArrayInTable(Fertiliser_SourceData.Fertiliser_Products_Data4(),FertiliserProducts[[#Headers],[Company]], 91)</f>
        <v/>
      </c>
      <c r="Y184" s="192" t="str" cm="1">
        <f t="array" ref="Y184">Common_InputFunctions.Utility_DisplayArrayInTable(Fertiliser_SourceData.Fertiliser_Products_Data4(),FertiliserProducts[[#Headers],[Company]], 91)</f>
        <v/>
      </c>
      <c r="Z184" s="192" t="str" cm="1">
        <f t="array" ref="Z184">Common_InputFunctions.Utility_DisplayArrayInTable(Fertiliser_SourceData.Fertiliser_Products_Data4(),FertiliserProducts[[#Headers],[Company]], 91)</f>
        <v/>
      </c>
      <c r="AA184" s="192" t="str" cm="1">
        <f t="array" ref="AA184">Common_InputFunctions.Utility_DisplayArrayInTable(Fertiliser_SourceData.Fertiliser_Products_Data4(),FertiliserProducts[[#Headers],[Company]], 91)</f>
        <v/>
      </c>
      <c r="AB184" s="192" t="str" cm="1">
        <f t="array" ref="AB184">Common_InputFunctions.Utility_DisplayArrayInTable(Fertiliser_SourceData.Fertiliser_Products_Data4(),FertiliserProducts[[#Headers],[Company]], 91)</f>
        <v/>
      </c>
      <c r="AC184" s="192" t="str" cm="1">
        <f t="array" ref="AC184">Common_InputFunctions.Utility_DisplayArrayInTable(Fertiliser_SourceData.Fertiliser_Products_Data4(),FertiliserProducts[[#Headers],[Company]], 91)</f>
        <v/>
      </c>
      <c r="AD184" s="192" t="str" cm="1">
        <f t="array" ref="AD184">Common_InputFunctions.Utility_DisplayArrayInTable(Fertiliser_SourceData.Fertiliser_Products_Data4(),FertiliserProducts[[#Headers],[Company]], 91)</f>
        <v/>
      </c>
      <c r="AE184" s="192" t="str" cm="1">
        <f t="array" ref="AE184">Common_InputFunctions.Utility_DisplayArrayInTable(Fertiliser_SourceData.Fertiliser_Products_Data4(),FertiliserProducts[[#Headers],[Company]], 91)</f>
        <v/>
      </c>
      <c r="AF184" s="192" t="str" cm="1">
        <f t="array" ref="AF184">Common_InputFunctions.Utility_DisplayArrayInTable(Fertiliser_SourceData.Fertiliser_Products_Data4(),FertiliserProducts[[#Headers],[Company]], 91)</f>
        <v/>
      </c>
      <c r="AG184" s="192" t="str" cm="1">
        <f t="array" ref="AG184">Common_InputFunctions.Utility_DisplayArrayInTable(Fertiliser_SourceData.Fertiliser_Products_Data4(),FertiliserProducts[[#Headers],[Company]], 91)</f>
        <v/>
      </c>
      <c r="AH184" s="192" t="str" cm="1">
        <f t="array" ref="AH184">Common_InputFunctions.Utility_DisplayArrayInTable(Fertiliser_SourceData.Fertiliser_Products_Data4(),FertiliserProducts[[#Headers],[Company]], 91)</f>
        <v/>
      </c>
    </row>
    <row r="185" spans="4:37" x14ac:dyDescent="0.25">
      <c r="D185" s="192" t="str" cm="1">
        <f t="array" ref="D185">Common_InputFunctions.Utility_DisplayArrayInTable(Fertiliser_SourceData.Fertiliser_Products_Data4(),FertiliserProducts[[#Headers],[Company]], 91)</f>
        <v>Pacific Fertiliser / Incitec Pivot Fertilisers</v>
      </c>
      <c r="E185" s="192" t="str" cm="1">
        <f t="array" ref="E185">Common_InputFunctions.Utility_DisplayArrayInTable(Fertiliser_SourceData.Fertiliser_Products_Data4(),FertiliserProducts[[#Headers],[Company]], 91)</f>
        <v>Cal-Gran</v>
      </c>
      <c r="F185" s="192" t="str" cm="1">
        <f t="array" ref="F185">Common_InputFunctions.Utility_DisplayArrayInTable(Fertiliser_SourceData.Fertiliser_Products_Data4(),FertiliserProducts[[#Headers],[Company]], 91)</f>
        <v>kg</v>
      </c>
      <c r="G185" s="192" cm="1">
        <f t="array" ref="G185">Common_InputFunctions.Utility_DisplayArrayInTable(Fertiliser_SourceData.Fertiliser_Products_Data4(),FertiliserProducts[[#Headers],[Company]], 91)</f>
        <v>1</v>
      </c>
      <c r="H185" s="192" t="str" cm="1">
        <f t="array" ref="H185">Common_InputFunctions.Utility_DisplayArrayInTable(Fertiliser_SourceData.Fertiliser_Products_Data4(),FertiliserProducts[[#Headers],[Company]], 91)</f>
        <v/>
      </c>
      <c r="I185" s="192" t="str" cm="1">
        <f t="array" ref="I185">Common_InputFunctions.Utility_DisplayArrayInTable(Fertiliser_SourceData.Fertiliser_Products_Data4(),FertiliserProducts[[#Headers],[Company]], 91)</f>
        <v/>
      </c>
      <c r="J185" s="192" t="str" cm="1">
        <f t="array" ref="J185">Common_InputFunctions.Utility_DisplayArrayInTable(Fertiliser_SourceData.Fertiliser_Products_Data4(),FertiliserProducts[[#Headers],[Company]], 91)</f>
        <v/>
      </c>
      <c r="K185" s="192" cm="1">
        <f t="array" ref="K185">Common_InputFunctions.Utility_DisplayArrayInTable(Fertiliser_SourceData.Fertiliser_Products_Data4(),FertiliserProducts[[#Headers],[Company]], 91)</f>
        <v>23.9</v>
      </c>
      <c r="L185" s="192" t="str" cm="1">
        <f t="array" ref="L185">Common_InputFunctions.Utility_DisplayArrayInTable(Fertiliser_SourceData.Fertiliser_Products_Data4(),FertiliserProducts[[#Headers],[Company]], 91)</f>
        <v/>
      </c>
      <c r="M185" s="192" t="str" cm="1">
        <f t="array" ref="M185">Common_InputFunctions.Utility_DisplayArrayInTable(Fertiliser_SourceData.Fertiliser_Products_Data4(),FertiliserProducts[[#Headers],[Company]], 91)</f>
        <v/>
      </c>
      <c r="N185" s="192" cm="1">
        <f t="array" ref="N185">Common_InputFunctions.Utility_DisplayArrayInTable(Fertiliser_SourceData.Fertiliser_Products_Data4(),FertiliserProducts[[#Headers],[Company]], 91)</f>
        <v>10.8</v>
      </c>
      <c r="O185" s="192" t="str" cm="1">
        <f t="array" ref="O185">Common_InputFunctions.Utility_DisplayArrayInTable(Fertiliser_SourceData.Fertiliser_Products_Data4(),FertiliserProducts[[#Headers],[Company]], 91)</f>
        <v>Nitrogen - Nitrate</v>
      </c>
      <c r="P185" s="192" cm="1">
        <f t="array" ref="P185">Common_InputFunctions.Utility_DisplayArrayInTable(Fertiliser_SourceData.Fertiliser_Products_Data4(),FertiliserProducts[[#Headers],[Company]], 91)</f>
        <v>7.3999999999999996E-2</v>
      </c>
      <c r="Q185" s="192" t="str" cm="1">
        <f t="array" ref="Q185">Common_InputFunctions.Utility_DisplayArrayInTable(Fertiliser_SourceData.Fertiliser_Products_Data4(),FertiliserProducts[[#Headers],[Company]], 91)</f>
        <v>Nitrogen - Ammoniacal</v>
      </c>
      <c r="R185" s="192" cm="1">
        <f t="array" ref="R185">Common_InputFunctions.Utility_DisplayArrayInTable(Fertiliser_SourceData.Fertiliser_Products_Data4(),FertiliserProducts[[#Headers],[Company]], 91)</f>
        <v>0.16500000000000001</v>
      </c>
      <c r="S185" s="192" t="str" cm="1">
        <f t="array" ref="S185">Common_InputFunctions.Utility_DisplayArrayInTable(Fertiliser_SourceData.Fertiliser_Products_Data4(),FertiliserProducts[[#Headers],[Company]], 91)</f>
        <v>Sulfur - Generic</v>
      </c>
      <c r="T185" s="192" cm="1">
        <f t="array" ref="T185">Common_InputFunctions.Utility_DisplayArrayInTable(Fertiliser_SourceData.Fertiliser_Products_Data4(),FertiliserProducts[[#Headers],[Company]], 91)</f>
        <v>0.108</v>
      </c>
      <c r="U185" s="192" t="str" cm="1">
        <f t="array" ref="U185">Common_InputFunctions.Utility_DisplayArrayInTable(Fertiliser_SourceData.Fertiliser_Products_Data4(),FertiliserProducts[[#Headers],[Company]], 91)</f>
        <v>Calcium</v>
      </c>
      <c r="V185" s="192" cm="1">
        <f t="array" ref="V185">Common_InputFunctions.Utility_DisplayArrayInTable(Fertiliser_SourceData.Fertiliser_Products_Data4(),FertiliserProducts[[#Headers],[Company]], 91)</f>
        <v>4.3999999999999997E-2</v>
      </c>
      <c r="W185" s="192" t="str" cm="1">
        <f t="array" ref="W185">Common_InputFunctions.Utility_DisplayArrayInTable(Fertiliser_SourceData.Fertiliser_Products_Data4(),FertiliserProducts[[#Headers],[Company]], 91)</f>
        <v/>
      </c>
      <c r="X185" s="192" t="str" cm="1">
        <f t="array" ref="X185">Common_InputFunctions.Utility_DisplayArrayInTable(Fertiliser_SourceData.Fertiliser_Products_Data4(),FertiliserProducts[[#Headers],[Company]], 91)</f>
        <v/>
      </c>
      <c r="Y185" s="192" t="str" cm="1">
        <f t="array" ref="Y185">Common_InputFunctions.Utility_DisplayArrayInTable(Fertiliser_SourceData.Fertiliser_Products_Data4(),FertiliserProducts[[#Headers],[Company]], 91)</f>
        <v/>
      </c>
      <c r="Z185" s="192" t="str" cm="1">
        <f t="array" ref="Z185">Common_InputFunctions.Utility_DisplayArrayInTable(Fertiliser_SourceData.Fertiliser_Products_Data4(),FertiliserProducts[[#Headers],[Company]], 91)</f>
        <v/>
      </c>
      <c r="AA185" s="192" t="str" cm="1">
        <f t="array" ref="AA185">Common_InputFunctions.Utility_DisplayArrayInTable(Fertiliser_SourceData.Fertiliser_Products_Data4(),FertiliserProducts[[#Headers],[Company]], 91)</f>
        <v/>
      </c>
      <c r="AB185" s="192" t="str" cm="1">
        <f t="array" ref="AB185">Common_InputFunctions.Utility_DisplayArrayInTable(Fertiliser_SourceData.Fertiliser_Products_Data4(),FertiliserProducts[[#Headers],[Company]], 91)</f>
        <v/>
      </c>
      <c r="AC185" s="192" t="str" cm="1">
        <f t="array" ref="AC185">Common_InputFunctions.Utility_DisplayArrayInTable(Fertiliser_SourceData.Fertiliser_Products_Data4(),FertiliserProducts[[#Headers],[Company]], 91)</f>
        <v/>
      </c>
      <c r="AD185" s="192" t="str" cm="1">
        <f t="array" ref="AD185">Common_InputFunctions.Utility_DisplayArrayInTable(Fertiliser_SourceData.Fertiliser_Products_Data4(),FertiliserProducts[[#Headers],[Company]], 91)</f>
        <v/>
      </c>
      <c r="AE185" s="192" t="str" cm="1">
        <f t="array" ref="AE185">Common_InputFunctions.Utility_DisplayArrayInTable(Fertiliser_SourceData.Fertiliser_Products_Data4(),FertiliserProducts[[#Headers],[Company]], 91)</f>
        <v/>
      </c>
      <c r="AF185" s="192" t="str" cm="1">
        <f t="array" ref="AF185">Common_InputFunctions.Utility_DisplayArrayInTable(Fertiliser_SourceData.Fertiliser_Products_Data4(),FertiliserProducts[[#Headers],[Company]], 91)</f>
        <v/>
      </c>
      <c r="AG185" s="192" t="str" cm="1">
        <f t="array" ref="AG185">Common_InputFunctions.Utility_DisplayArrayInTable(Fertiliser_SourceData.Fertiliser_Products_Data4(),FertiliserProducts[[#Headers],[Company]], 91)</f>
        <v/>
      </c>
      <c r="AH185" s="192" t="str" cm="1">
        <f t="array" ref="AH185">Common_InputFunctions.Utility_DisplayArrayInTable(Fertiliser_SourceData.Fertiliser_Products_Data4(),FertiliserProducts[[#Headers],[Company]], 91)</f>
        <v/>
      </c>
    </row>
    <row r="186" spans="4:37" x14ac:dyDescent="0.25">
      <c r="D186" s="192" t="str" cm="1">
        <f t="array" ref="D186">Common_InputFunctions.Utility_DisplayArrayInTable(Fertiliser_SourceData.Fertiliser_Products_Data4(),FertiliserProducts[[#Headers],[Company]], 91)</f>
        <v>Pacific Fertiliser / Incitec Pivot Fertilisers</v>
      </c>
      <c r="E186" s="192" t="str" cm="1">
        <f t="array" ref="E186">Common_InputFunctions.Utility_DisplayArrayInTable(Fertiliser_SourceData.Fertiliser_Products_Data4(),FertiliserProducts[[#Headers],[Company]], 91)</f>
        <v>Cal-Gran 50/50</v>
      </c>
      <c r="F186" s="192" t="str" cm="1">
        <f t="array" ref="F186">Common_InputFunctions.Utility_DisplayArrayInTable(Fertiliser_SourceData.Fertiliser_Products_Data4(),FertiliserProducts[[#Headers],[Company]], 91)</f>
        <v>kg</v>
      </c>
      <c r="G186" s="192" cm="1">
        <f t="array" ref="G186">Common_InputFunctions.Utility_DisplayArrayInTable(Fertiliser_SourceData.Fertiliser_Products_Data4(),FertiliserProducts[[#Headers],[Company]], 91)</f>
        <v>1</v>
      </c>
      <c r="H186" s="192" t="str" cm="1">
        <f t="array" ref="H186">Common_InputFunctions.Utility_DisplayArrayInTable(Fertiliser_SourceData.Fertiliser_Products_Data4(),FertiliserProducts[[#Headers],[Company]], 91)</f>
        <v/>
      </c>
      <c r="I186" s="192" t="str" cm="1">
        <f t="array" ref="I186">Common_InputFunctions.Utility_DisplayArrayInTable(Fertiliser_SourceData.Fertiliser_Products_Data4(),FertiliserProducts[[#Headers],[Company]], 91)</f>
        <v/>
      </c>
      <c r="J186" s="192" t="str" cm="1">
        <f t="array" ref="J186">Common_InputFunctions.Utility_DisplayArrayInTable(Fertiliser_SourceData.Fertiliser_Products_Data4(),FertiliserProducts[[#Headers],[Company]], 91)</f>
        <v/>
      </c>
      <c r="K186" s="192" cm="1">
        <f t="array" ref="K186">Common_InputFunctions.Utility_DisplayArrayInTable(Fertiliser_SourceData.Fertiliser_Products_Data4(),FertiliserProducts[[#Headers],[Company]], 91)</f>
        <v>17.899999999999999</v>
      </c>
      <c r="L186" s="192" t="str" cm="1">
        <f t="array" ref="L186">Common_InputFunctions.Utility_DisplayArrayInTable(Fertiliser_SourceData.Fertiliser_Products_Data4(),FertiliserProducts[[#Headers],[Company]], 91)</f>
        <v/>
      </c>
      <c r="M186" s="192" cm="1">
        <f t="array" ref="M186">Common_InputFunctions.Utility_DisplayArrayInTable(Fertiliser_SourceData.Fertiliser_Products_Data4(),FertiliserProducts[[#Headers],[Company]], 91)</f>
        <v>15</v>
      </c>
      <c r="N186" s="192" cm="1">
        <f t="array" ref="N186">Common_InputFunctions.Utility_DisplayArrayInTable(Fertiliser_SourceData.Fertiliser_Products_Data4(),FertiliserProducts[[#Headers],[Company]], 91)</f>
        <v>3.6</v>
      </c>
      <c r="O186" s="192" t="str" cm="1">
        <f t="array" ref="O186">Common_InputFunctions.Utility_DisplayArrayInTable(Fertiliser_SourceData.Fertiliser_Products_Data4(),FertiliserProducts[[#Headers],[Company]], 91)</f>
        <v>Nitrogen - Nitrate</v>
      </c>
      <c r="P186" s="192" cm="1">
        <f t="array" ref="P186">Common_InputFunctions.Utility_DisplayArrayInTable(Fertiliser_SourceData.Fertiliser_Products_Data4(),FertiliserProducts[[#Headers],[Company]], 91)</f>
        <v>5.5E-2</v>
      </c>
      <c r="Q186" s="192" t="str" cm="1">
        <f t="array" ref="Q186">Common_InputFunctions.Utility_DisplayArrayInTable(Fertiliser_SourceData.Fertiliser_Products_Data4(),FertiliserProducts[[#Headers],[Company]], 91)</f>
        <v>Nitrogen - Ammoniacal</v>
      </c>
      <c r="R186" s="192" cm="1">
        <f t="array" ref="R186">Common_InputFunctions.Utility_DisplayArrayInTable(Fertiliser_SourceData.Fertiliser_Products_Data4(),FertiliserProducts[[#Headers],[Company]], 91)</f>
        <v>0.124</v>
      </c>
      <c r="S186" s="192" t="str" cm="1">
        <f t="array" ref="S186">Common_InputFunctions.Utility_DisplayArrayInTable(Fertiliser_SourceData.Fertiliser_Products_Data4(),FertiliserProducts[[#Headers],[Company]], 91)</f>
        <v>Potassium - Generic</v>
      </c>
      <c r="T186" s="192" cm="1">
        <f t="array" ref="T186">Common_InputFunctions.Utility_DisplayArrayInTable(Fertiliser_SourceData.Fertiliser_Products_Data4(),FertiliserProducts[[#Headers],[Company]], 91)</f>
        <v>0.15</v>
      </c>
      <c r="U186" s="192" t="str" cm="1">
        <f t="array" ref="U186">Common_InputFunctions.Utility_DisplayArrayInTable(Fertiliser_SourceData.Fertiliser_Products_Data4(),FertiliserProducts[[#Headers],[Company]], 91)</f>
        <v>Sulfur - Generic</v>
      </c>
      <c r="V186" s="192" cm="1">
        <f t="array" ref="V186">Common_InputFunctions.Utility_DisplayArrayInTable(Fertiliser_SourceData.Fertiliser_Products_Data4(),FertiliserProducts[[#Headers],[Company]], 91)</f>
        <v>3.5999999999999997E-2</v>
      </c>
      <c r="W186" s="192" t="str" cm="1">
        <f t="array" ref="W186">Common_InputFunctions.Utility_DisplayArrayInTable(Fertiliser_SourceData.Fertiliser_Products_Data4(),FertiliserProducts[[#Headers],[Company]], 91)</f>
        <v>Calcium</v>
      </c>
      <c r="X186" s="192" cm="1">
        <f t="array" ref="X186">Common_InputFunctions.Utility_DisplayArrayInTable(Fertiliser_SourceData.Fertiliser_Products_Data4(),FertiliserProducts[[#Headers],[Company]], 91)</f>
        <v>4.3999999999999997E-2</v>
      </c>
      <c r="Y186" s="192" t="str" cm="1">
        <f t="array" ref="Y186">Common_InputFunctions.Utility_DisplayArrayInTable(Fertiliser_SourceData.Fertiliser_Products_Data4(),FertiliserProducts[[#Headers],[Company]], 91)</f>
        <v/>
      </c>
      <c r="Z186" s="192" t="str" cm="1">
        <f t="array" ref="Z186">Common_InputFunctions.Utility_DisplayArrayInTable(Fertiliser_SourceData.Fertiliser_Products_Data4(),FertiliserProducts[[#Headers],[Company]], 91)</f>
        <v/>
      </c>
      <c r="AA186" s="192" t="str" cm="1">
        <f t="array" ref="AA186">Common_InputFunctions.Utility_DisplayArrayInTable(Fertiliser_SourceData.Fertiliser_Products_Data4(),FertiliserProducts[[#Headers],[Company]], 91)</f>
        <v/>
      </c>
      <c r="AB186" s="192" t="str" cm="1">
        <f t="array" ref="AB186">Common_InputFunctions.Utility_DisplayArrayInTable(Fertiliser_SourceData.Fertiliser_Products_Data4(),FertiliserProducts[[#Headers],[Company]], 91)</f>
        <v/>
      </c>
      <c r="AC186" s="192" t="str" cm="1">
        <f t="array" ref="AC186">Common_InputFunctions.Utility_DisplayArrayInTable(Fertiliser_SourceData.Fertiliser_Products_Data4(),FertiliserProducts[[#Headers],[Company]], 91)</f>
        <v/>
      </c>
      <c r="AD186" s="192" t="str" cm="1">
        <f t="array" ref="AD186">Common_InputFunctions.Utility_DisplayArrayInTable(Fertiliser_SourceData.Fertiliser_Products_Data4(),FertiliserProducts[[#Headers],[Company]], 91)</f>
        <v/>
      </c>
      <c r="AE186" s="192" t="str" cm="1">
        <f t="array" ref="AE186">Common_InputFunctions.Utility_DisplayArrayInTable(Fertiliser_SourceData.Fertiliser_Products_Data4(),FertiliserProducts[[#Headers],[Company]], 91)</f>
        <v/>
      </c>
      <c r="AF186" s="192" t="str" cm="1">
        <f t="array" ref="AF186">Common_InputFunctions.Utility_DisplayArrayInTable(Fertiliser_SourceData.Fertiliser_Products_Data4(),FertiliserProducts[[#Headers],[Company]], 91)</f>
        <v/>
      </c>
      <c r="AG186" s="192" t="str" cm="1">
        <f t="array" ref="AG186">Common_InputFunctions.Utility_DisplayArrayInTable(Fertiliser_SourceData.Fertiliser_Products_Data4(),FertiliserProducts[[#Headers],[Company]], 91)</f>
        <v/>
      </c>
      <c r="AH186" s="192" t="str" cm="1">
        <f t="array" ref="AH186">Common_InputFunctions.Utility_DisplayArrayInTable(Fertiliser_SourceData.Fertiliser_Products_Data4(),FertiliserProducts[[#Headers],[Company]], 91)</f>
        <v/>
      </c>
    </row>
    <row r="187" spans="4:37" x14ac:dyDescent="0.25">
      <c r="D187" s="192" t="str" cm="1">
        <f t="array" ref="D187">Common_InputFunctions.Utility_DisplayArrayInTable(Fertiliser_SourceData.Fertiliser_Products_Data4(),FertiliserProducts[[#Headers],[Company]], 91)</f>
        <v>Pacific Fertiliser / Incitec Pivot Fertilisers</v>
      </c>
      <c r="E187" s="192" t="str" cm="1">
        <f t="array" ref="E187">Common_InputFunctions.Utility_DisplayArrayInTable(Fertiliser_SourceData.Fertiliser_Products_Data4(),FertiliserProducts[[#Headers],[Company]], 91)</f>
        <v>Cal-Gran 50/50 (S)</v>
      </c>
      <c r="F187" s="192" t="str" cm="1">
        <f t="array" ref="F187">Common_InputFunctions.Utility_DisplayArrayInTable(Fertiliser_SourceData.Fertiliser_Products_Data4(),FertiliserProducts[[#Headers],[Company]], 91)</f>
        <v>kg</v>
      </c>
      <c r="G187" s="192" cm="1">
        <f t="array" ref="G187">Common_InputFunctions.Utility_DisplayArrayInTable(Fertiliser_SourceData.Fertiliser_Products_Data4(),FertiliserProducts[[#Headers],[Company]], 91)</f>
        <v>1</v>
      </c>
      <c r="H187" s="192" t="str" cm="1">
        <f t="array" ref="H187">Common_InputFunctions.Utility_DisplayArrayInTable(Fertiliser_SourceData.Fertiliser_Products_Data4(),FertiliserProducts[[#Headers],[Company]], 91)</f>
        <v/>
      </c>
      <c r="I187" s="192" t="str" cm="1">
        <f t="array" ref="I187">Common_InputFunctions.Utility_DisplayArrayInTable(Fertiliser_SourceData.Fertiliser_Products_Data4(),FertiliserProducts[[#Headers],[Company]], 91)</f>
        <v/>
      </c>
      <c r="J187" s="192" t="str" cm="1">
        <f t="array" ref="J187">Common_InputFunctions.Utility_DisplayArrayInTable(Fertiliser_SourceData.Fertiliser_Products_Data4(),FertiliserProducts[[#Headers],[Company]], 91)</f>
        <v/>
      </c>
      <c r="K187" s="192" cm="1">
        <f t="array" ref="K187">Common_InputFunctions.Utility_DisplayArrayInTable(Fertiliser_SourceData.Fertiliser_Products_Data4(),FertiliserProducts[[#Headers],[Company]], 91)</f>
        <v>16.899999999999999</v>
      </c>
      <c r="L187" s="192" t="str" cm="1">
        <f t="array" ref="L187">Common_InputFunctions.Utility_DisplayArrayInTable(Fertiliser_SourceData.Fertiliser_Products_Data4(),FertiliserProducts[[#Headers],[Company]], 91)</f>
        <v/>
      </c>
      <c r="M187" s="192" cm="1">
        <f t="array" ref="M187">Common_InputFunctions.Utility_DisplayArrayInTable(Fertiliser_SourceData.Fertiliser_Products_Data4(),FertiliserProducts[[#Headers],[Company]], 91)</f>
        <v>14.4</v>
      </c>
      <c r="N187" s="192" cm="1">
        <f t="array" ref="N187">Common_InputFunctions.Utility_DisplayArrayInTable(Fertiliser_SourceData.Fertiliser_Products_Data4(),FertiliserProducts[[#Headers],[Company]], 91)</f>
        <v>8.6999999999999993</v>
      </c>
      <c r="O187" s="192" t="str" cm="1">
        <f t="array" ref="O187">Common_InputFunctions.Utility_DisplayArrayInTable(Fertiliser_SourceData.Fertiliser_Products_Data4(),FertiliserProducts[[#Headers],[Company]], 91)</f>
        <v>Nitrogen - Nitrate</v>
      </c>
      <c r="P187" s="192" cm="1">
        <f t="array" ref="P187">Common_InputFunctions.Utility_DisplayArrayInTable(Fertiliser_SourceData.Fertiliser_Products_Data4(),FertiliserProducts[[#Headers],[Company]], 91)</f>
        <v>5.1999999999999998E-2</v>
      </c>
      <c r="Q187" s="192" t="str" cm="1">
        <f t="array" ref="Q187">Common_InputFunctions.Utility_DisplayArrayInTable(Fertiliser_SourceData.Fertiliser_Products_Data4(),FertiliserProducts[[#Headers],[Company]], 91)</f>
        <v>Nitrogen - Ammoniacal</v>
      </c>
      <c r="R187" s="192" cm="1">
        <f t="array" ref="R187">Common_InputFunctions.Utility_DisplayArrayInTable(Fertiliser_SourceData.Fertiliser_Products_Data4(),FertiliserProducts[[#Headers],[Company]], 91)</f>
        <v>0.11700000000000001</v>
      </c>
      <c r="S187" s="192" t="str" cm="1">
        <f t="array" ref="S187">Common_InputFunctions.Utility_DisplayArrayInTable(Fertiliser_SourceData.Fertiliser_Products_Data4(),FertiliserProducts[[#Headers],[Company]], 91)</f>
        <v>Potassium - Generic</v>
      </c>
      <c r="T187" s="192" cm="1">
        <f t="array" ref="T187">Common_InputFunctions.Utility_DisplayArrayInTable(Fertiliser_SourceData.Fertiliser_Products_Data4(),FertiliserProducts[[#Headers],[Company]], 91)</f>
        <v>0.14399999999999999</v>
      </c>
      <c r="U187" s="192" t="str" cm="1">
        <f t="array" ref="U187">Common_InputFunctions.Utility_DisplayArrayInTable(Fertiliser_SourceData.Fertiliser_Products_Data4(),FertiliserProducts[[#Headers],[Company]], 91)</f>
        <v>Sulfur - Generic</v>
      </c>
      <c r="V187" s="192" cm="1">
        <f t="array" ref="V187">Common_InputFunctions.Utility_DisplayArrayInTable(Fertiliser_SourceData.Fertiliser_Products_Data4(),FertiliserProducts[[#Headers],[Company]], 91)</f>
        <v>8.6999999999999994E-2</v>
      </c>
      <c r="W187" s="192" t="str" cm="1">
        <f t="array" ref="W187">Common_InputFunctions.Utility_DisplayArrayInTable(Fertiliser_SourceData.Fertiliser_Products_Data4(),FertiliserProducts[[#Headers],[Company]], 91)</f>
        <v>Calcium</v>
      </c>
      <c r="X187" s="192" cm="1">
        <f t="array" ref="X187">Common_InputFunctions.Utility_DisplayArrayInTable(Fertiliser_SourceData.Fertiliser_Products_Data4(),FertiliserProducts[[#Headers],[Company]], 91)</f>
        <v>4.3999999999999997E-2</v>
      </c>
      <c r="Y187" s="192" t="str" cm="1">
        <f t="array" ref="Y187">Common_InputFunctions.Utility_DisplayArrayInTable(Fertiliser_SourceData.Fertiliser_Products_Data4(),FertiliserProducts[[#Headers],[Company]], 91)</f>
        <v/>
      </c>
      <c r="Z187" s="192" t="str" cm="1">
        <f t="array" ref="Z187">Common_InputFunctions.Utility_DisplayArrayInTable(Fertiliser_SourceData.Fertiliser_Products_Data4(),FertiliserProducts[[#Headers],[Company]], 91)</f>
        <v/>
      </c>
      <c r="AA187" s="192" t="str" cm="1">
        <f t="array" ref="AA187">Common_InputFunctions.Utility_DisplayArrayInTable(Fertiliser_SourceData.Fertiliser_Products_Data4(),FertiliserProducts[[#Headers],[Company]], 91)</f>
        <v/>
      </c>
      <c r="AB187" s="192" t="str" cm="1">
        <f t="array" ref="AB187">Common_InputFunctions.Utility_DisplayArrayInTable(Fertiliser_SourceData.Fertiliser_Products_Data4(),FertiliserProducts[[#Headers],[Company]], 91)</f>
        <v/>
      </c>
      <c r="AC187" s="192" t="str" cm="1">
        <f t="array" ref="AC187">Common_InputFunctions.Utility_DisplayArrayInTable(Fertiliser_SourceData.Fertiliser_Products_Data4(),FertiliserProducts[[#Headers],[Company]], 91)</f>
        <v/>
      </c>
      <c r="AD187" s="192" t="str" cm="1">
        <f t="array" ref="AD187">Common_InputFunctions.Utility_DisplayArrayInTable(Fertiliser_SourceData.Fertiliser_Products_Data4(),FertiliserProducts[[#Headers],[Company]], 91)</f>
        <v/>
      </c>
      <c r="AE187" s="192" t="str" cm="1">
        <f t="array" ref="AE187">Common_InputFunctions.Utility_DisplayArrayInTable(Fertiliser_SourceData.Fertiliser_Products_Data4(),FertiliserProducts[[#Headers],[Company]], 91)</f>
        <v/>
      </c>
      <c r="AF187" s="192" t="str" cm="1">
        <f t="array" ref="AF187">Common_InputFunctions.Utility_DisplayArrayInTable(Fertiliser_SourceData.Fertiliser_Products_Data4(),FertiliserProducts[[#Headers],[Company]], 91)</f>
        <v/>
      </c>
      <c r="AG187" s="192" t="str" cm="1">
        <f t="array" ref="AG187">Common_InputFunctions.Utility_DisplayArrayInTable(Fertiliser_SourceData.Fertiliser_Products_Data4(),FertiliserProducts[[#Headers],[Company]], 91)</f>
        <v/>
      </c>
      <c r="AH187" s="192" t="str" cm="1">
        <f t="array" ref="AH187">Common_InputFunctions.Utility_DisplayArrayInTable(Fertiliser_SourceData.Fertiliser_Products_Data4(),FertiliserProducts[[#Headers],[Company]], 91)</f>
        <v/>
      </c>
    </row>
    <row r="188" spans="4:37" x14ac:dyDescent="0.25">
      <c r="D188" s="192" t="str" cm="1">
        <f t="array" ref="D188">Common_InputFunctions.Utility_DisplayArrayInTable(Fertiliser_SourceData.Fertiliser_Products_Data4(),FertiliserProducts[[#Headers],[Company]], 91)</f>
        <v>Pacific Fertiliser / Incitec Pivot Fertilisers</v>
      </c>
      <c r="E188" s="192" t="str" cm="1">
        <f t="array" ref="E188">Common_InputFunctions.Utility_DisplayArrayInTable(Fertiliser_SourceData.Fertiliser_Products_Data4(),FertiliserProducts[[#Headers],[Company]], 91)</f>
        <v>Cal-Gran 130</v>
      </c>
      <c r="F188" s="192" t="str" cm="1">
        <f t="array" ref="F188">Common_InputFunctions.Utility_DisplayArrayInTable(Fertiliser_SourceData.Fertiliser_Products_Data4(),FertiliserProducts[[#Headers],[Company]], 91)</f>
        <v>kg</v>
      </c>
      <c r="G188" s="192" cm="1">
        <f t="array" ref="G188">Common_InputFunctions.Utility_DisplayArrayInTable(Fertiliser_SourceData.Fertiliser_Products_Data4(),FertiliserProducts[[#Headers],[Company]], 91)</f>
        <v>1</v>
      </c>
      <c r="H188" s="192" t="str" cm="1">
        <f t="array" ref="H188">Common_InputFunctions.Utility_DisplayArrayInTable(Fertiliser_SourceData.Fertiliser_Products_Data4(),FertiliserProducts[[#Headers],[Company]], 91)</f>
        <v/>
      </c>
      <c r="I188" s="192" t="str" cm="1">
        <f t="array" ref="I188">Common_InputFunctions.Utility_DisplayArrayInTable(Fertiliser_SourceData.Fertiliser_Products_Data4(),FertiliserProducts[[#Headers],[Company]], 91)</f>
        <v/>
      </c>
      <c r="J188" s="192" t="str" cm="1">
        <f t="array" ref="J188">Common_InputFunctions.Utility_DisplayArrayInTable(Fertiliser_SourceData.Fertiliser_Products_Data4(),FertiliserProducts[[#Headers],[Company]], 91)</f>
        <v/>
      </c>
      <c r="K188" s="192" cm="1">
        <f t="array" ref="K188">Common_InputFunctions.Utility_DisplayArrayInTable(Fertiliser_SourceData.Fertiliser_Products_Data4(),FertiliserProducts[[#Headers],[Company]], 91)</f>
        <v>18.8</v>
      </c>
      <c r="L188" s="192" cm="1">
        <f t="array" ref="L188">Common_InputFunctions.Utility_DisplayArrayInTable(Fertiliser_SourceData.Fertiliser_Products_Data4(),FertiliserProducts[[#Headers],[Company]], 91)</f>
        <v>1</v>
      </c>
      <c r="M188" s="192" cm="1">
        <f t="array" ref="M188">Common_InputFunctions.Utility_DisplayArrayInTable(Fertiliser_SourceData.Fertiliser_Products_Data4(),FertiliserProducts[[#Headers],[Company]], 91)</f>
        <v>12.5</v>
      </c>
      <c r="N188" s="192" cm="1">
        <f t="array" ref="N188">Common_InputFunctions.Utility_DisplayArrayInTable(Fertiliser_SourceData.Fertiliser_Products_Data4(),FertiliserProducts[[#Headers],[Company]], 91)</f>
        <v>3.7</v>
      </c>
      <c r="O188" s="192" t="str" cm="1">
        <f t="array" ref="O188">Common_InputFunctions.Utility_DisplayArrayInTable(Fertiliser_SourceData.Fertiliser_Products_Data4(),FertiliserProducts[[#Headers],[Company]], 91)</f>
        <v>Nitrogen - Nitrate</v>
      </c>
      <c r="P188" s="192" cm="1">
        <f t="array" ref="P188">Common_InputFunctions.Utility_DisplayArrayInTable(Fertiliser_SourceData.Fertiliser_Products_Data4(),FertiliserProducts[[#Headers],[Company]], 91)</f>
        <v>5.8000000000000003E-2</v>
      </c>
      <c r="Q188" s="192" t="str" cm="1">
        <f t="array" ref="Q188">Common_InputFunctions.Utility_DisplayArrayInTable(Fertiliser_SourceData.Fertiliser_Products_Data4(),FertiliserProducts[[#Headers],[Company]], 91)</f>
        <v>Nitrogen - Ammoniacal</v>
      </c>
      <c r="R188" s="192" cm="1">
        <f t="array" ref="R188">Common_InputFunctions.Utility_DisplayArrayInTable(Fertiliser_SourceData.Fertiliser_Products_Data4(),FertiliserProducts[[#Headers],[Company]], 91)</f>
        <v>0.13</v>
      </c>
      <c r="S188" s="192" t="str" cm="1">
        <f t="array" ref="S188">Common_InputFunctions.Utility_DisplayArrayInTable(Fertiliser_SourceData.Fertiliser_Products_Data4(),FertiliserProducts[[#Headers],[Company]], 91)</f>
        <v>Phosphorus - Generic</v>
      </c>
      <c r="T188" s="192" cm="1">
        <f t="array" ref="T188">Common_InputFunctions.Utility_DisplayArrayInTable(Fertiliser_SourceData.Fertiliser_Products_Data4(),FertiliserProducts[[#Headers],[Company]], 91)</f>
        <v>0.01</v>
      </c>
      <c r="U188" s="192" t="str" cm="1">
        <f t="array" ref="U188">Common_InputFunctions.Utility_DisplayArrayInTable(Fertiliser_SourceData.Fertiliser_Products_Data4(),FertiliserProducts[[#Headers],[Company]], 91)</f>
        <v>Potassium - Generic</v>
      </c>
      <c r="V188" s="192" cm="1">
        <f t="array" ref="V188">Common_InputFunctions.Utility_DisplayArrayInTable(Fertiliser_SourceData.Fertiliser_Products_Data4(),FertiliserProducts[[#Headers],[Company]], 91)</f>
        <v>0.125</v>
      </c>
      <c r="W188" s="192" t="str" cm="1">
        <f t="array" ref="W188">Common_InputFunctions.Utility_DisplayArrayInTable(Fertiliser_SourceData.Fertiliser_Products_Data4(),FertiliserProducts[[#Headers],[Company]], 91)</f>
        <v>Sulfur - Generic</v>
      </c>
      <c r="X188" s="192" cm="1">
        <f t="array" ref="X188">Common_InputFunctions.Utility_DisplayArrayInTable(Fertiliser_SourceData.Fertiliser_Products_Data4(),FertiliserProducts[[#Headers],[Company]], 91)</f>
        <v>3.6999999999999998E-2</v>
      </c>
      <c r="Y188" s="192" t="str" cm="1">
        <f t="array" ref="Y188">Common_InputFunctions.Utility_DisplayArrayInTable(Fertiliser_SourceData.Fertiliser_Products_Data4(),FertiliserProducts[[#Headers],[Company]], 91)</f>
        <v>Calcium</v>
      </c>
      <c r="Z188" s="192" cm="1">
        <f t="array" ref="Z188">Common_InputFunctions.Utility_DisplayArrayInTable(Fertiliser_SourceData.Fertiliser_Products_Data4(),FertiliserProducts[[#Headers],[Company]], 91)</f>
        <v>4.3999999999999997E-2</v>
      </c>
      <c r="AA188" s="192" t="str" cm="1">
        <f t="array" ref="AA188">Common_InputFunctions.Utility_DisplayArrayInTable(Fertiliser_SourceData.Fertiliser_Products_Data4(),FertiliserProducts[[#Headers],[Company]], 91)</f>
        <v/>
      </c>
      <c r="AB188" s="192" t="str" cm="1">
        <f t="array" ref="AB188">Common_InputFunctions.Utility_DisplayArrayInTable(Fertiliser_SourceData.Fertiliser_Products_Data4(),FertiliserProducts[[#Headers],[Company]], 91)</f>
        <v/>
      </c>
      <c r="AC188" s="192" t="str" cm="1">
        <f t="array" ref="AC188">Common_InputFunctions.Utility_DisplayArrayInTable(Fertiliser_SourceData.Fertiliser_Products_Data4(),FertiliserProducts[[#Headers],[Company]], 91)</f>
        <v/>
      </c>
      <c r="AD188" s="192" t="str" cm="1">
        <f t="array" ref="AD188">Common_InputFunctions.Utility_DisplayArrayInTable(Fertiliser_SourceData.Fertiliser_Products_Data4(),FertiliserProducts[[#Headers],[Company]], 91)</f>
        <v/>
      </c>
      <c r="AE188" s="192" t="str" cm="1">
        <f t="array" ref="AE188">Common_InputFunctions.Utility_DisplayArrayInTable(Fertiliser_SourceData.Fertiliser_Products_Data4(),FertiliserProducts[[#Headers],[Company]], 91)</f>
        <v/>
      </c>
      <c r="AF188" s="192" t="str" cm="1">
        <f t="array" ref="AF188">Common_InputFunctions.Utility_DisplayArrayInTable(Fertiliser_SourceData.Fertiliser_Products_Data4(),FertiliserProducts[[#Headers],[Company]], 91)</f>
        <v/>
      </c>
      <c r="AG188" s="192" t="str" cm="1">
        <f t="array" ref="AG188">Common_InputFunctions.Utility_DisplayArrayInTable(Fertiliser_SourceData.Fertiliser_Products_Data4(),FertiliserProducts[[#Headers],[Company]], 91)</f>
        <v/>
      </c>
      <c r="AH188" s="192" t="str" cm="1">
        <f t="array" ref="AH188">Common_InputFunctions.Utility_DisplayArrayInTable(Fertiliser_SourceData.Fertiliser_Products_Data4(),FertiliserProducts[[#Headers],[Company]], 91)</f>
        <v/>
      </c>
    </row>
    <row r="189" spans="4:37" x14ac:dyDescent="0.25">
      <c r="D189" s="192" t="str" cm="1">
        <f t="array" ref="D189">Common_InputFunctions.Utility_DisplayArrayInTable(Fertiliser_SourceData.Fertiliser_Products_Data4(),FertiliserProducts[[#Headers],[Company]], 91)</f>
        <v>Pacific Fertiliser / Incitec Pivot Fertilisers</v>
      </c>
      <c r="E189" s="192" t="str" cm="1">
        <f t="array" ref="E189">Common_InputFunctions.Utility_DisplayArrayInTable(Fertiliser_SourceData.Fertiliser_Products_Data4(),FertiliserProducts[[#Headers],[Company]], 91)</f>
        <v>Cal-Gran 150</v>
      </c>
      <c r="F189" s="192" t="str" cm="1">
        <f t="array" ref="F189">Common_InputFunctions.Utility_DisplayArrayInTable(Fertiliser_SourceData.Fertiliser_Products_Data4(),FertiliserProducts[[#Headers],[Company]], 91)</f>
        <v>kg</v>
      </c>
      <c r="G189" s="192" cm="1">
        <f t="array" ref="G189">Common_InputFunctions.Utility_DisplayArrayInTable(Fertiliser_SourceData.Fertiliser_Products_Data4(),FertiliserProducts[[#Headers],[Company]], 91)</f>
        <v>1</v>
      </c>
      <c r="H189" s="192" t="str" cm="1">
        <f t="array" ref="H189">Common_InputFunctions.Utility_DisplayArrayInTable(Fertiliser_SourceData.Fertiliser_Products_Data4(),FertiliserProducts[[#Headers],[Company]], 91)</f>
        <v/>
      </c>
      <c r="I189" s="192" t="str" cm="1">
        <f t="array" ref="I189">Common_InputFunctions.Utility_DisplayArrayInTable(Fertiliser_SourceData.Fertiliser_Products_Data4(),FertiliserProducts[[#Headers],[Company]], 91)</f>
        <v/>
      </c>
      <c r="J189" s="192" t="str" cm="1">
        <f t="array" ref="J189">Common_InputFunctions.Utility_DisplayArrayInTable(Fertiliser_SourceData.Fertiliser_Products_Data4(),FertiliserProducts[[#Headers],[Company]], 91)</f>
        <v/>
      </c>
      <c r="K189" s="192" cm="1">
        <f t="array" ref="K189">Common_InputFunctions.Utility_DisplayArrayInTable(Fertiliser_SourceData.Fertiliser_Products_Data4(),FertiliserProducts[[#Headers],[Company]], 91)</f>
        <v>18.600000000000001</v>
      </c>
      <c r="L189" s="192" cm="1">
        <f t="array" ref="L189">Common_InputFunctions.Utility_DisplayArrayInTable(Fertiliser_SourceData.Fertiliser_Products_Data4(),FertiliserProducts[[#Headers],[Company]], 91)</f>
        <v>3</v>
      </c>
      <c r="M189" s="192" cm="1">
        <f t="array" ref="M189">Common_InputFunctions.Utility_DisplayArrayInTable(Fertiliser_SourceData.Fertiliser_Products_Data4(),FertiliserProducts[[#Headers],[Company]], 91)</f>
        <v>12.5</v>
      </c>
      <c r="N189" s="192" cm="1">
        <f t="array" ref="N189">Common_InputFunctions.Utility_DisplayArrayInTable(Fertiliser_SourceData.Fertiliser_Products_Data4(),FertiliserProducts[[#Headers],[Company]], 91)</f>
        <v>1.4</v>
      </c>
      <c r="O189" s="192" t="str" cm="1">
        <f t="array" ref="O189">Common_InputFunctions.Utility_DisplayArrayInTable(Fertiliser_SourceData.Fertiliser_Products_Data4(),FertiliserProducts[[#Headers],[Company]], 91)</f>
        <v>Nitrogen - Nitrate</v>
      </c>
      <c r="P189" s="192" cm="1">
        <f t="array" ref="P189">Common_InputFunctions.Utility_DisplayArrayInTable(Fertiliser_SourceData.Fertiliser_Products_Data4(),FertiliserProducts[[#Headers],[Company]], 91)</f>
        <v>5.8000000000000003E-2</v>
      </c>
      <c r="Q189" s="192" t="str" cm="1">
        <f t="array" ref="Q189">Common_InputFunctions.Utility_DisplayArrayInTable(Fertiliser_SourceData.Fertiliser_Products_Data4(),FertiliserProducts[[#Headers],[Company]], 91)</f>
        <v>Nitrogen - Ammoniacal</v>
      </c>
      <c r="R189" s="192" cm="1">
        <f t="array" ref="R189">Common_InputFunctions.Utility_DisplayArrayInTable(Fertiliser_SourceData.Fertiliser_Products_Data4(),FertiliserProducts[[#Headers],[Company]], 91)</f>
        <v>0.128</v>
      </c>
      <c r="S189" s="192" t="str" cm="1">
        <f t="array" ref="S189">Common_InputFunctions.Utility_DisplayArrayInTable(Fertiliser_SourceData.Fertiliser_Products_Data4(),FertiliserProducts[[#Headers],[Company]], 91)</f>
        <v>Phosphorus - Generic</v>
      </c>
      <c r="T189" s="192" cm="1">
        <f t="array" ref="T189">Common_InputFunctions.Utility_DisplayArrayInTable(Fertiliser_SourceData.Fertiliser_Products_Data4(),FertiliserProducts[[#Headers],[Company]], 91)</f>
        <v>0.03</v>
      </c>
      <c r="U189" s="192" t="str" cm="1">
        <f t="array" ref="U189">Common_InputFunctions.Utility_DisplayArrayInTable(Fertiliser_SourceData.Fertiliser_Products_Data4(),FertiliserProducts[[#Headers],[Company]], 91)</f>
        <v>Potassium - Generic</v>
      </c>
      <c r="V189" s="192" cm="1">
        <f t="array" ref="V189">Common_InputFunctions.Utility_DisplayArrayInTable(Fertiliser_SourceData.Fertiliser_Products_Data4(),FertiliserProducts[[#Headers],[Company]], 91)</f>
        <v>0.125</v>
      </c>
      <c r="W189" s="192" t="str" cm="1">
        <f t="array" ref="W189">Common_InputFunctions.Utility_DisplayArrayInTable(Fertiliser_SourceData.Fertiliser_Products_Data4(),FertiliserProducts[[#Headers],[Company]], 91)</f>
        <v>Sulfur - Generic</v>
      </c>
      <c r="X189" s="192" cm="1">
        <f t="array" ref="X189">Common_InputFunctions.Utility_DisplayArrayInTable(Fertiliser_SourceData.Fertiliser_Products_Data4(),FertiliserProducts[[#Headers],[Company]], 91)</f>
        <v>1.4E-2</v>
      </c>
      <c r="Y189" s="192" t="str" cm="1">
        <f t="array" ref="Y189">Common_InputFunctions.Utility_DisplayArrayInTable(Fertiliser_SourceData.Fertiliser_Products_Data4(),FertiliserProducts[[#Headers],[Company]], 91)</f>
        <v>Calcium</v>
      </c>
      <c r="Z189" s="192" cm="1">
        <f t="array" ref="Z189">Common_InputFunctions.Utility_DisplayArrayInTable(Fertiliser_SourceData.Fertiliser_Products_Data4(),FertiliserProducts[[#Headers],[Company]], 91)</f>
        <v>4.3999999999999997E-2</v>
      </c>
      <c r="AA189" s="192" t="str" cm="1">
        <f t="array" ref="AA189">Common_InputFunctions.Utility_DisplayArrayInTable(Fertiliser_SourceData.Fertiliser_Products_Data4(),FertiliserProducts[[#Headers],[Company]], 91)</f>
        <v/>
      </c>
      <c r="AB189" s="192" t="str" cm="1">
        <f t="array" ref="AB189">Common_InputFunctions.Utility_DisplayArrayInTable(Fertiliser_SourceData.Fertiliser_Products_Data4(),FertiliserProducts[[#Headers],[Company]], 91)</f>
        <v/>
      </c>
      <c r="AC189" s="192" t="str" cm="1">
        <f t="array" ref="AC189">Common_InputFunctions.Utility_DisplayArrayInTable(Fertiliser_SourceData.Fertiliser_Products_Data4(),FertiliserProducts[[#Headers],[Company]], 91)</f>
        <v/>
      </c>
      <c r="AD189" s="192" t="str" cm="1">
        <f t="array" ref="AD189">Common_InputFunctions.Utility_DisplayArrayInTable(Fertiliser_SourceData.Fertiliser_Products_Data4(),FertiliserProducts[[#Headers],[Company]], 91)</f>
        <v/>
      </c>
      <c r="AE189" s="192" t="str" cm="1">
        <f t="array" ref="AE189">Common_InputFunctions.Utility_DisplayArrayInTable(Fertiliser_SourceData.Fertiliser_Products_Data4(),FertiliserProducts[[#Headers],[Company]], 91)</f>
        <v/>
      </c>
      <c r="AF189" s="192" t="str" cm="1">
        <f t="array" ref="AF189">Common_InputFunctions.Utility_DisplayArrayInTable(Fertiliser_SourceData.Fertiliser_Products_Data4(),FertiliserProducts[[#Headers],[Company]], 91)</f>
        <v/>
      </c>
      <c r="AG189" s="192" t="str" cm="1">
        <f t="array" ref="AG189">Common_InputFunctions.Utility_DisplayArrayInTable(Fertiliser_SourceData.Fertiliser_Products_Data4(),FertiliserProducts[[#Headers],[Company]], 91)</f>
        <v/>
      </c>
      <c r="AH189" s="192" t="str" cm="1">
        <f t="array" ref="AH189">Common_InputFunctions.Utility_DisplayArrayInTable(Fertiliser_SourceData.Fertiliser_Products_Data4(),FertiliserProducts[[#Headers],[Company]], 91)</f>
        <v/>
      </c>
    </row>
    <row r="190" spans="4:37" x14ac:dyDescent="0.25">
      <c r="D190" s="192" t="str" cm="1">
        <f t="array" ref="D190">Common_InputFunctions.Utility_DisplayArrayInTable(Fertiliser_SourceData.Fertiliser_Products_Data4(),FertiliserProducts[[#Headers],[Company]], 91)</f>
        <v>Pacific Fertiliser / Incitec Pivot Fertilisers</v>
      </c>
      <c r="E190" s="192" t="str" cm="1">
        <f t="array" ref="E190">Common_InputFunctions.Utility_DisplayArrayInTable(Fertiliser_SourceData.Fertiliser_Products_Data4(),FertiliserProducts[[#Headers],[Company]], 91)</f>
        <v>Cal-Gran Extra K</v>
      </c>
      <c r="F190" s="192" t="str" cm="1">
        <f t="array" ref="F190">Common_InputFunctions.Utility_DisplayArrayInTable(Fertiliser_SourceData.Fertiliser_Products_Data4(),FertiliserProducts[[#Headers],[Company]], 91)</f>
        <v>kg</v>
      </c>
      <c r="G190" s="192" cm="1">
        <f t="array" ref="G190">Common_InputFunctions.Utility_DisplayArrayInTable(Fertiliser_SourceData.Fertiliser_Products_Data4(),FertiliserProducts[[#Headers],[Company]], 91)</f>
        <v>1</v>
      </c>
      <c r="H190" s="192" t="str" cm="1">
        <f t="array" ref="H190">Common_InputFunctions.Utility_DisplayArrayInTable(Fertiliser_SourceData.Fertiliser_Products_Data4(),FertiliserProducts[[#Headers],[Company]], 91)</f>
        <v/>
      </c>
      <c r="I190" s="192" t="str" cm="1">
        <f t="array" ref="I190">Common_InputFunctions.Utility_DisplayArrayInTable(Fertiliser_SourceData.Fertiliser_Products_Data4(),FertiliserProducts[[#Headers],[Company]], 91)</f>
        <v/>
      </c>
      <c r="J190" s="192" t="str" cm="1">
        <f t="array" ref="J190">Common_InputFunctions.Utility_DisplayArrayInTable(Fertiliser_SourceData.Fertiliser_Products_Data4(),FertiliserProducts[[#Headers],[Company]], 91)</f>
        <v/>
      </c>
      <c r="K190" s="192" cm="1">
        <f t="array" ref="K190">Common_InputFunctions.Utility_DisplayArrayInTable(Fertiliser_SourceData.Fertiliser_Products_Data4(),FertiliserProducts[[#Headers],[Company]], 91)</f>
        <v>15.8</v>
      </c>
      <c r="L190" s="192" t="str" cm="1">
        <f t="array" ref="L190">Common_InputFunctions.Utility_DisplayArrayInTable(Fertiliser_SourceData.Fertiliser_Products_Data4(),FertiliserProducts[[#Headers],[Company]], 91)</f>
        <v/>
      </c>
      <c r="M190" s="192" cm="1">
        <f t="array" ref="M190">Common_InputFunctions.Utility_DisplayArrayInTable(Fertiliser_SourceData.Fertiliser_Products_Data4(),FertiliserProducts[[#Headers],[Company]], 91)</f>
        <v>19</v>
      </c>
      <c r="N190" s="192" cm="1">
        <f t="array" ref="N190">Common_InputFunctions.Utility_DisplayArrayInTable(Fertiliser_SourceData.Fertiliser_Products_Data4(),FertiliserProducts[[#Headers],[Company]], 91)</f>
        <v>3.2</v>
      </c>
      <c r="O190" s="192" t="str" cm="1">
        <f t="array" ref="O190">Common_InputFunctions.Utility_DisplayArrayInTable(Fertiliser_SourceData.Fertiliser_Products_Data4(),FertiliserProducts[[#Headers],[Company]], 91)</f>
        <v>Nitrogen - Nitrate</v>
      </c>
      <c r="P190" s="192" cm="1">
        <f t="array" ref="P190">Common_InputFunctions.Utility_DisplayArrayInTable(Fertiliser_SourceData.Fertiliser_Products_Data4(),FertiliserProducts[[#Headers],[Company]], 91)</f>
        <v>4.9000000000000002E-2</v>
      </c>
      <c r="Q190" s="192" t="str" cm="1">
        <f t="array" ref="Q190">Common_InputFunctions.Utility_DisplayArrayInTable(Fertiliser_SourceData.Fertiliser_Products_Data4(),FertiliserProducts[[#Headers],[Company]], 91)</f>
        <v>Nitrogen - Ammoniacal</v>
      </c>
      <c r="R190" s="192" cm="1">
        <f t="array" ref="R190">Common_InputFunctions.Utility_DisplayArrayInTable(Fertiliser_SourceData.Fertiliser_Products_Data4(),FertiliserProducts[[#Headers],[Company]], 91)</f>
        <v>0.109</v>
      </c>
      <c r="S190" s="192" t="str" cm="1">
        <f t="array" ref="S190">Common_InputFunctions.Utility_DisplayArrayInTable(Fertiliser_SourceData.Fertiliser_Products_Data4(),FertiliserProducts[[#Headers],[Company]], 91)</f>
        <v>Potassium - Generic</v>
      </c>
      <c r="T190" s="192" cm="1">
        <f t="array" ref="T190">Common_InputFunctions.Utility_DisplayArrayInTable(Fertiliser_SourceData.Fertiliser_Products_Data4(),FertiliserProducts[[#Headers],[Company]], 91)</f>
        <v>0.19</v>
      </c>
      <c r="U190" s="192" t="str" cm="1">
        <f t="array" ref="U190">Common_InputFunctions.Utility_DisplayArrayInTable(Fertiliser_SourceData.Fertiliser_Products_Data4(),FertiliserProducts[[#Headers],[Company]], 91)</f>
        <v>Sulfur - Generic</v>
      </c>
      <c r="V190" s="192" cm="1">
        <f t="array" ref="V190">Common_InputFunctions.Utility_DisplayArrayInTable(Fertiliser_SourceData.Fertiliser_Products_Data4(),FertiliserProducts[[#Headers],[Company]], 91)</f>
        <v>3.2000000000000001E-2</v>
      </c>
      <c r="W190" s="192" t="str" cm="1">
        <f t="array" ref="W190">Common_InputFunctions.Utility_DisplayArrayInTable(Fertiliser_SourceData.Fertiliser_Products_Data4(),FertiliserProducts[[#Headers],[Company]], 91)</f>
        <v>Calcium</v>
      </c>
      <c r="X190" s="192" cm="1">
        <f t="array" ref="X190">Common_InputFunctions.Utility_DisplayArrayInTable(Fertiliser_SourceData.Fertiliser_Products_Data4(),FertiliserProducts[[#Headers],[Company]], 91)</f>
        <v>3.9E-2</v>
      </c>
      <c r="Y190" s="192" t="str" cm="1">
        <f t="array" ref="Y190">Common_InputFunctions.Utility_DisplayArrayInTable(Fertiliser_SourceData.Fertiliser_Products_Data4(),FertiliserProducts[[#Headers],[Company]], 91)</f>
        <v/>
      </c>
      <c r="Z190" s="192" t="str" cm="1">
        <f t="array" ref="Z190">Common_InputFunctions.Utility_DisplayArrayInTable(Fertiliser_SourceData.Fertiliser_Products_Data4(),FertiliserProducts[[#Headers],[Company]], 91)</f>
        <v/>
      </c>
      <c r="AA190" s="192" t="str" cm="1">
        <f t="array" ref="AA190">Common_InputFunctions.Utility_DisplayArrayInTable(Fertiliser_SourceData.Fertiliser_Products_Data4(),FertiliserProducts[[#Headers],[Company]], 91)</f>
        <v/>
      </c>
      <c r="AB190" s="192" t="str" cm="1">
        <f t="array" ref="AB190">Common_InputFunctions.Utility_DisplayArrayInTable(Fertiliser_SourceData.Fertiliser_Products_Data4(),FertiliserProducts[[#Headers],[Company]], 91)</f>
        <v/>
      </c>
      <c r="AC190" s="192" t="str" cm="1">
        <f t="array" ref="AC190">Common_InputFunctions.Utility_DisplayArrayInTable(Fertiliser_SourceData.Fertiliser_Products_Data4(),FertiliserProducts[[#Headers],[Company]], 91)</f>
        <v/>
      </c>
      <c r="AD190" s="192" t="str" cm="1">
        <f t="array" ref="AD190">Common_InputFunctions.Utility_DisplayArrayInTable(Fertiliser_SourceData.Fertiliser_Products_Data4(),FertiliserProducts[[#Headers],[Company]], 91)</f>
        <v/>
      </c>
      <c r="AE190" s="192" t="str" cm="1">
        <f t="array" ref="AE190">Common_InputFunctions.Utility_DisplayArrayInTable(Fertiliser_SourceData.Fertiliser_Products_Data4(),FertiliserProducts[[#Headers],[Company]], 91)</f>
        <v/>
      </c>
      <c r="AF190" s="192" t="str" cm="1">
        <f t="array" ref="AF190">Common_InputFunctions.Utility_DisplayArrayInTable(Fertiliser_SourceData.Fertiliser_Products_Data4(),FertiliserProducts[[#Headers],[Company]], 91)</f>
        <v/>
      </c>
      <c r="AG190" s="192" t="str" cm="1">
        <f t="array" ref="AG190">Common_InputFunctions.Utility_DisplayArrayInTable(Fertiliser_SourceData.Fertiliser_Products_Data4(),FertiliserProducts[[#Headers],[Company]], 91)</f>
        <v/>
      </c>
      <c r="AH190" s="192" t="str" cm="1">
        <f t="array" ref="AH190">Common_InputFunctions.Utility_DisplayArrayInTable(Fertiliser_SourceData.Fertiliser_Products_Data4(),FertiliserProducts[[#Headers],[Company]], 91)</f>
        <v/>
      </c>
    </row>
    <row r="191" spans="4:37" x14ac:dyDescent="0.25">
      <c r="D191" s="192" t="str" cm="1">
        <f t="array" ref="D191">Common_InputFunctions.Utility_DisplayArrayInTable(Fertiliser_SourceData.Fertiliser_Products_Data4(),FertiliserProducts[[#Headers],[Company]], 91)</f>
        <v>Incitec Pivot Fertilisers</v>
      </c>
      <c r="E191" s="192" t="str" cm="1">
        <f t="array" ref="E191">Common_InputFunctions.Utility_DisplayArrayInTable(Fertiliser_SourceData.Fertiliser_Products_Data4(),FertiliserProducts[[#Headers],[Company]], 91)</f>
        <v>Dairy Pro</v>
      </c>
      <c r="F191" s="192" t="str" cm="1">
        <f t="array" ref="F191">Common_InputFunctions.Utility_DisplayArrayInTable(Fertiliser_SourceData.Fertiliser_Products_Data4(),FertiliserProducts[[#Headers],[Company]], 91)</f>
        <v>kg</v>
      </c>
      <c r="G191" s="192" cm="1">
        <f t="array" ref="G191">Common_InputFunctions.Utility_DisplayArrayInTable(Fertiliser_SourceData.Fertiliser_Products_Data4(),FertiliserProducts[[#Headers],[Company]], 91)</f>
        <v>1</v>
      </c>
      <c r="H191" s="192" t="str" cm="1">
        <f t="array" ref="H191">Common_InputFunctions.Utility_DisplayArrayInTable(Fertiliser_SourceData.Fertiliser_Products_Data4(),FertiliserProducts[[#Headers],[Company]], 91)</f>
        <v/>
      </c>
      <c r="I191" s="192" t="str" cm="1">
        <f t="array" ref="I191">Common_InputFunctions.Utility_DisplayArrayInTable(Fertiliser_SourceData.Fertiliser_Products_Data4(),FertiliserProducts[[#Headers],[Company]], 91)</f>
        <v/>
      </c>
      <c r="J191" s="192" t="str" cm="1">
        <f t="array" ref="J191">Common_InputFunctions.Utility_DisplayArrayInTable(Fertiliser_SourceData.Fertiliser_Products_Data4(),FertiliserProducts[[#Headers],[Company]], 91)</f>
        <v/>
      </c>
      <c r="K191" s="192" cm="1">
        <f t="array" ref="K191">Common_InputFunctions.Utility_DisplayArrayInTable(Fertiliser_SourceData.Fertiliser_Products_Data4(),FertiliserProducts[[#Headers],[Company]], 91)</f>
        <v>25.9</v>
      </c>
      <c r="L191" s="192" cm="1">
        <f t="array" ref="L191">Common_InputFunctions.Utility_DisplayArrayInTable(Fertiliser_SourceData.Fertiliser_Products_Data4(),FertiliserProducts[[#Headers],[Company]], 91)</f>
        <v>3.9</v>
      </c>
      <c r="M191" s="192" cm="1">
        <f t="array" ref="M191">Common_InputFunctions.Utility_DisplayArrayInTable(Fertiliser_SourceData.Fertiliser_Products_Data4(),FertiliserProducts[[#Headers],[Company]], 91)</f>
        <v>15.9</v>
      </c>
      <c r="N191" s="192" cm="1">
        <f t="array" ref="N191">Common_InputFunctions.Utility_DisplayArrayInTable(Fertiliser_SourceData.Fertiliser_Products_Data4(),FertiliserProducts[[#Headers],[Company]], 91)</f>
        <v>0.3</v>
      </c>
      <c r="O191" s="192" t="str" cm="1">
        <f t="array" ref="O191">Common_InputFunctions.Utility_DisplayArrayInTable(Fertiliser_SourceData.Fertiliser_Products_Data4(),FertiliserProducts[[#Headers],[Company]], 91)</f>
        <v>Nitrogen - Generic</v>
      </c>
      <c r="P191" s="192" cm="1">
        <f t="array" ref="P191">Common_InputFunctions.Utility_DisplayArrayInTable(Fertiliser_SourceData.Fertiliser_Products_Data4(),FertiliserProducts[[#Headers],[Company]], 91)</f>
        <v>0.25900000000000001</v>
      </c>
      <c r="Q191" s="192" t="str" cm="1">
        <f t="array" ref="Q191">Common_InputFunctions.Utility_DisplayArrayInTable(Fertiliser_SourceData.Fertiliser_Products_Data4(),FertiliserProducts[[#Headers],[Company]], 91)</f>
        <v>Phosphorus - Generic</v>
      </c>
      <c r="R191" s="192" cm="1">
        <f t="array" ref="R191">Common_InputFunctions.Utility_DisplayArrayInTable(Fertiliser_SourceData.Fertiliser_Products_Data4(),FertiliserProducts[[#Headers],[Company]], 91)</f>
        <v>3.9E-2</v>
      </c>
      <c r="S191" s="192" t="str" cm="1">
        <f t="array" ref="S191">Common_InputFunctions.Utility_DisplayArrayInTable(Fertiliser_SourceData.Fertiliser_Products_Data4(),FertiliserProducts[[#Headers],[Company]], 91)</f>
        <v>Potassium - Generic</v>
      </c>
      <c r="T191" s="192" cm="1">
        <f t="array" ref="T191">Common_InputFunctions.Utility_DisplayArrayInTable(Fertiliser_SourceData.Fertiliser_Products_Data4(),FertiliserProducts[[#Headers],[Company]], 91)</f>
        <v>0.159</v>
      </c>
      <c r="U191" s="192" t="str" cm="1">
        <f t="array" ref="U191">Common_InputFunctions.Utility_DisplayArrayInTable(Fertiliser_SourceData.Fertiliser_Products_Data4(),FertiliserProducts[[#Headers],[Company]], 91)</f>
        <v>Sulfur - Generic</v>
      </c>
      <c r="V191" s="192" cm="1">
        <f t="array" ref="V191">Common_InputFunctions.Utility_DisplayArrayInTable(Fertiliser_SourceData.Fertiliser_Products_Data4(),FertiliserProducts[[#Headers],[Company]], 91)</f>
        <v>3.0000000000000001E-3</v>
      </c>
      <c r="W191" s="192" t="str" cm="1">
        <f t="array" ref="W191">Common_InputFunctions.Utility_DisplayArrayInTable(Fertiliser_SourceData.Fertiliser_Products_Data4(),FertiliserProducts[[#Headers],[Company]], 91)</f>
        <v/>
      </c>
      <c r="X191" s="192" t="str" cm="1">
        <f t="array" ref="X191">Common_InputFunctions.Utility_DisplayArrayInTable(Fertiliser_SourceData.Fertiliser_Products_Data4(),FertiliserProducts[[#Headers],[Company]], 91)</f>
        <v/>
      </c>
      <c r="Y191" s="192" t="str" cm="1">
        <f t="array" ref="Y191">Common_InputFunctions.Utility_DisplayArrayInTable(Fertiliser_SourceData.Fertiliser_Products_Data4(),FertiliserProducts[[#Headers],[Company]], 91)</f>
        <v/>
      </c>
      <c r="Z191" s="192" t="str" cm="1">
        <f t="array" ref="Z191">Common_InputFunctions.Utility_DisplayArrayInTable(Fertiliser_SourceData.Fertiliser_Products_Data4(),FertiliserProducts[[#Headers],[Company]], 91)</f>
        <v/>
      </c>
      <c r="AA191" s="192" t="str" cm="1">
        <f t="array" ref="AA191">Common_InputFunctions.Utility_DisplayArrayInTable(Fertiliser_SourceData.Fertiliser_Products_Data4(),FertiliserProducts[[#Headers],[Company]], 91)</f>
        <v/>
      </c>
      <c r="AB191" s="192" t="str" cm="1">
        <f t="array" ref="AB191">Common_InputFunctions.Utility_DisplayArrayInTable(Fertiliser_SourceData.Fertiliser_Products_Data4(),FertiliserProducts[[#Headers],[Company]], 91)</f>
        <v/>
      </c>
      <c r="AC191" s="192" t="str" cm="1">
        <f t="array" ref="AC191">Common_InputFunctions.Utility_DisplayArrayInTable(Fertiliser_SourceData.Fertiliser_Products_Data4(),FertiliserProducts[[#Headers],[Company]], 91)</f>
        <v/>
      </c>
      <c r="AD191" s="192" t="str" cm="1">
        <f t="array" ref="AD191">Common_InputFunctions.Utility_DisplayArrayInTable(Fertiliser_SourceData.Fertiliser_Products_Data4(),FertiliserProducts[[#Headers],[Company]], 91)</f>
        <v/>
      </c>
      <c r="AE191" s="192" t="str" cm="1">
        <f t="array" ref="AE191">Common_InputFunctions.Utility_DisplayArrayInTable(Fertiliser_SourceData.Fertiliser_Products_Data4(),FertiliserProducts[[#Headers],[Company]], 91)</f>
        <v/>
      </c>
      <c r="AF191" s="192" t="str" cm="1">
        <f t="array" ref="AF191">Common_InputFunctions.Utility_DisplayArrayInTable(Fertiliser_SourceData.Fertiliser_Products_Data4(),FertiliserProducts[[#Headers],[Company]], 91)</f>
        <v/>
      </c>
      <c r="AG191" s="192" t="str" cm="1">
        <f t="array" ref="AG191">Common_InputFunctions.Utility_DisplayArrayInTable(Fertiliser_SourceData.Fertiliser_Products_Data4(),FertiliserProducts[[#Headers],[Company]], 91)</f>
        <v/>
      </c>
      <c r="AH191" s="192" t="str" cm="1">
        <f t="array" ref="AH191">Common_InputFunctions.Utility_DisplayArrayInTable(Fertiliser_SourceData.Fertiliser_Products_Data4(),FertiliserProducts[[#Headers],[Company]], 91)</f>
        <v/>
      </c>
    </row>
    <row r="192" spans="4:37" x14ac:dyDescent="0.25">
      <c r="D192" s="192" t="str" cm="1">
        <f t="array" ref="D192">Common_InputFunctions.Utility_DisplayArrayInTable(Fertiliser_SourceData.Fertiliser_Products_Data4(),FertiliserProducts[[#Headers],[Company]], 91)</f>
        <v>Yara Australia</v>
      </c>
      <c r="E192" s="192" t="str" cm="1">
        <f t="array" ref="E192">Common_InputFunctions.Utility_DisplayArrayInTable(Fertiliser_SourceData.Fertiliser_Products_Data4(),FertiliserProducts[[#Headers],[Company]], 91)</f>
        <v>YaraMila ACTYVA S</v>
      </c>
      <c r="F192" s="192" t="str" cm="1">
        <f t="array" ref="F192">Common_InputFunctions.Utility_DisplayArrayInTable(Fertiliser_SourceData.Fertiliser_Products_Data4(),FertiliserProducts[[#Headers],[Company]], 91)</f>
        <v>kg</v>
      </c>
      <c r="G192" s="192" cm="1">
        <f t="array" ref="G192">Common_InputFunctions.Utility_DisplayArrayInTable(Fertiliser_SourceData.Fertiliser_Products_Data4(),FertiliserProducts[[#Headers],[Company]], 91)</f>
        <v>1</v>
      </c>
      <c r="H192" s="192" t="str" cm="1">
        <f t="array" ref="H192">Common_InputFunctions.Utility_DisplayArrayInTable(Fertiliser_SourceData.Fertiliser_Products_Data4(),FertiliserProducts[[#Headers],[Company]], 91)</f>
        <v/>
      </c>
      <c r="I192" s="192" t="str" cm="1">
        <f t="array" ref="I192">Common_InputFunctions.Utility_DisplayArrayInTable(Fertiliser_SourceData.Fertiliser_Products_Data4(),FertiliserProducts[[#Headers],[Company]], 91)</f>
        <v/>
      </c>
      <c r="J192" s="192" t="str" cm="1">
        <f t="array" ref="J192">Common_InputFunctions.Utility_DisplayArrayInTable(Fertiliser_SourceData.Fertiliser_Products_Data4(),FertiliserProducts[[#Headers],[Company]], 91)</f>
        <v/>
      </c>
      <c r="K192" s="192" cm="1">
        <f t="array" ref="K192">Common_InputFunctions.Utility_DisplayArrayInTable(Fertiliser_SourceData.Fertiliser_Products_Data4(),FertiliserProducts[[#Headers],[Company]], 91)</f>
        <v>15.6</v>
      </c>
      <c r="L192" s="192" cm="1">
        <f t="array" ref="L192">Common_InputFunctions.Utility_DisplayArrayInTable(Fertiliser_SourceData.Fertiliser_Products_Data4(),FertiliserProducts[[#Headers],[Company]], 91)</f>
        <v>6.37</v>
      </c>
      <c r="M192" s="192" cm="1">
        <f t="array" ref="M192">Common_InputFunctions.Utility_DisplayArrayInTable(Fertiliser_SourceData.Fertiliser_Products_Data4(),FertiliserProducts[[#Headers],[Company]], 91)</f>
        <v>12.45</v>
      </c>
      <c r="N192" s="192" cm="1">
        <f t="array" ref="N192">Common_InputFunctions.Utility_DisplayArrayInTable(Fertiliser_SourceData.Fertiliser_Products_Data4(),FertiliserProducts[[#Headers],[Company]], 91)</f>
        <v>2.6</v>
      </c>
      <c r="O192" s="192" t="str" cm="1">
        <f t="array" ref="O192">Common_InputFunctions.Utility_DisplayArrayInTable(Fertiliser_SourceData.Fertiliser_Products_Data4(),FertiliserProducts[[#Headers],[Company]], 91)</f>
        <v>Nitrogen - Nitrate</v>
      </c>
      <c r="P192" s="192" cm="1">
        <f t="array" ref="P192">Common_InputFunctions.Utility_DisplayArrayInTable(Fertiliser_SourceData.Fertiliser_Products_Data4(),FertiliserProducts[[#Headers],[Company]], 91)</f>
        <v>5.8000000000000003E-2</v>
      </c>
      <c r="Q192" s="192" t="str" cm="1">
        <f t="array" ref="Q192">Common_InputFunctions.Utility_DisplayArrayInTable(Fertiliser_SourceData.Fertiliser_Products_Data4(),FertiliserProducts[[#Headers],[Company]], 91)</f>
        <v>Nitrogen - Ammoniacal</v>
      </c>
      <c r="R192" s="192" cm="1">
        <f t="array" ref="R192">Common_InputFunctions.Utility_DisplayArrayInTable(Fertiliser_SourceData.Fertiliser_Products_Data4(),FertiliserProducts[[#Headers],[Company]], 91)</f>
        <v>9.8000000000000004E-2</v>
      </c>
      <c r="S192" s="192" t="str" cm="1">
        <f t="array" ref="S192">Common_InputFunctions.Utility_DisplayArrayInTable(Fertiliser_SourceData.Fertiliser_Products_Data4(),FertiliserProducts[[#Headers],[Company]], 91)</f>
        <v>Phosphorus - Generic</v>
      </c>
      <c r="T192" s="192" cm="1">
        <f t="array" ref="T192">Common_InputFunctions.Utility_DisplayArrayInTable(Fertiliser_SourceData.Fertiliser_Products_Data4(),FertiliserProducts[[#Headers],[Company]], 91)</f>
        <v>6.3714000000000007E-2</v>
      </c>
      <c r="U192" s="192" t="str" cm="1">
        <f t="array" ref="U192">Common_InputFunctions.Utility_DisplayArrayInTable(Fertiliser_SourceData.Fertiliser_Products_Data4(),FertiliserProducts[[#Headers],[Company]], 91)</f>
        <v>Potassium - Generic</v>
      </c>
      <c r="V192" s="192" cm="1">
        <f t="array" ref="V192">Common_InputFunctions.Utility_DisplayArrayInTable(Fertiliser_SourceData.Fertiliser_Products_Data4(),FertiliserProducts[[#Headers],[Company]], 91)</f>
        <v>0.124515</v>
      </c>
      <c r="W192" s="192" t="str" cm="1">
        <f t="array" ref="W192">Common_InputFunctions.Utility_DisplayArrayInTable(Fertiliser_SourceData.Fertiliser_Products_Data4(),FertiliserProducts[[#Headers],[Company]], 91)</f>
        <v>Sulfur - Generic</v>
      </c>
      <c r="X192" s="192" cm="1">
        <f t="array" ref="X192">Common_InputFunctions.Utility_DisplayArrayInTable(Fertiliser_SourceData.Fertiliser_Products_Data4(),FertiliserProducts[[#Headers],[Company]], 91)</f>
        <v>2.5999999999999999E-2</v>
      </c>
      <c r="Y192" s="192" t="str" cm="1">
        <f t="array" ref="Y192">Common_InputFunctions.Utility_DisplayArrayInTable(Fertiliser_SourceData.Fertiliser_Products_Data4(),FertiliserProducts[[#Headers],[Company]], 91)</f>
        <v/>
      </c>
      <c r="Z192" s="192" t="str" cm="1">
        <f t="array" ref="Z192">Common_InputFunctions.Utility_DisplayArrayInTable(Fertiliser_SourceData.Fertiliser_Products_Data4(),FertiliserProducts[[#Headers],[Company]], 91)</f>
        <v/>
      </c>
      <c r="AA192" s="192" t="str" cm="1">
        <f t="array" ref="AA192">Common_InputFunctions.Utility_DisplayArrayInTable(Fertiliser_SourceData.Fertiliser_Products_Data4(),FertiliserProducts[[#Headers],[Company]], 91)</f>
        <v/>
      </c>
      <c r="AB192" s="192" t="str" cm="1">
        <f t="array" ref="AB192">Common_InputFunctions.Utility_DisplayArrayInTable(Fertiliser_SourceData.Fertiliser_Products_Data4(),FertiliserProducts[[#Headers],[Company]], 91)</f>
        <v/>
      </c>
      <c r="AC192" s="192" t="str" cm="1">
        <f t="array" ref="AC192">Common_InputFunctions.Utility_DisplayArrayInTable(Fertiliser_SourceData.Fertiliser_Products_Data4(),FertiliserProducts[[#Headers],[Company]], 91)</f>
        <v/>
      </c>
      <c r="AD192" s="192" t="str" cm="1">
        <f t="array" ref="AD192">Common_InputFunctions.Utility_DisplayArrayInTable(Fertiliser_SourceData.Fertiliser_Products_Data4(),FertiliserProducts[[#Headers],[Company]], 91)</f>
        <v/>
      </c>
      <c r="AE192" s="192" t="str" cm="1">
        <f t="array" ref="AE192">Common_InputFunctions.Utility_DisplayArrayInTable(Fertiliser_SourceData.Fertiliser_Products_Data4(),FertiliserProducts[[#Headers],[Company]], 91)</f>
        <v/>
      </c>
      <c r="AF192" s="192" t="str" cm="1">
        <f t="array" ref="AF192">Common_InputFunctions.Utility_DisplayArrayInTable(Fertiliser_SourceData.Fertiliser_Products_Data4(),FertiliserProducts[[#Headers],[Company]], 91)</f>
        <v/>
      </c>
      <c r="AG192" s="192" t="str" cm="1">
        <f t="array" ref="AG192">Common_InputFunctions.Utility_DisplayArrayInTable(Fertiliser_SourceData.Fertiliser_Products_Data4(),FertiliserProducts[[#Headers],[Company]], 91)</f>
        <v/>
      </c>
      <c r="AH192" s="192" t="str" cm="1">
        <f t="array" ref="AH192">Common_InputFunctions.Utility_DisplayArrayInTable(Fertiliser_SourceData.Fertiliser_Products_Data4(),FertiliserProducts[[#Headers],[Company]], 91)</f>
        <v/>
      </c>
    </row>
    <row r="193" spans="4:34" x14ac:dyDescent="0.25">
      <c r="D193" s="192" t="str" cm="1">
        <f t="array" ref="D193">Common_InputFunctions.Utility_DisplayArrayInTable(Fertiliser_SourceData.Fertiliser_Products_Data4(),FertiliserProducts[[#Headers],[Company]], 91)</f>
        <v>CSBP</v>
      </c>
      <c r="E193" s="192" t="str" cm="1">
        <f t="array" ref="E193">Common_InputFunctions.Utility_DisplayArrayInTable(Fertiliser_SourceData.Fertiliser_Products_Data4(),FertiliserProducts[[#Headers],[Company]], 91)</f>
        <v>Agflow Extra</v>
      </c>
      <c r="F193" s="192" t="str" cm="1">
        <f t="array" ref="F193">Common_InputFunctions.Utility_DisplayArrayInTable(Fertiliser_SourceData.Fertiliser_Products_Data4(),FertiliserProducts[[#Headers],[Company]], 91)</f>
        <v>kg</v>
      </c>
      <c r="G193" s="192" cm="1">
        <f t="array" ref="G193">Common_InputFunctions.Utility_DisplayArrayInTable(Fertiliser_SourceData.Fertiliser_Products_Data4(),FertiliserProducts[[#Headers],[Company]], 91)</f>
        <v>1</v>
      </c>
      <c r="H193" s="192" t="str" cm="1">
        <f t="array" ref="H193">Common_InputFunctions.Utility_DisplayArrayInTable(Fertiliser_SourceData.Fertiliser_Products_Data4(),FertiliserProducts[[#Headers],[Company]], 91)</f>
        <v/>
      </c>
      <c r="I193" s="192" t="str" cm="1">
        <f t="array" ref="I193">Common_InputFunctions.Utility_DisplayArrayInTable(Fertiliser_SourceData.Fertiliser_Products_Data4(),FertiliserProducts[[#Headers],[Company]], 91)</f>
        <v/>
      </c>
      <c r="J193" s="192" t="str" cm="1">
        <f t="array" ref="J193">Common_InputFunctions.Utility_DisplayArrayInTable(Fertiliser_SourceData.Fertiliser_Products_Data4(),FertiliserProducts[[#Headers],[Company]], 91)</f>
        <v/>
      </c>
      <c r="K193" s="192" cm="1">
        <f t="array" ref="K193">Common_InputFunctions.Utility_DisplayArrayInTable(Fertiliser_SourceData.Fertiliser_Products_Data4(),FertiliserProducts[[#Headers],[Company]], 91)</f>
        <v>11.15</v>
      </c>
      <c r="L193" s="192" cm="1">
        <f t="array" ref="L193">Common_InputFunctions.Utility_DisplayArrayInTable(Fertiliser_SourceData.Fertiliser_Products_Data4(),FertiliserProducts[[#Headers],[Company]], 91)</f>
        <v>17.52</v>
      </c>
      <c r="M193" s="192" t="str" cm="1">
        <f t="array" ref="M193">Common_InputFunctions.Utility_DisplayArrayInTable(Fertiliser_SourceData.Fertiliser_Products_Data4(),FertiliserProducts[[#Headers],[Company]], 91)</f>
        <v/>
      </c>
      <c r="N193" s="192" cm="1">
        <f t="array" ref="N193">Common_InputFunctions.Utility_DisplayArrayInTable(Fertiliser_SourceData.Fertiliser_Products_Data4(),FertiliserProducts[[#Headers],[Company]], 91)</f>
        <v>3.6</v>
      </c>
      <c r="O193" s="192" t="str" cm="1">
        <f t="array" ref="O193">Common_InputFunctions.Utility_DisplayArrayInTable(Fertiliser_SourceData.Fertiliser_Products_Data4(),FertiliserProducts[[#Headers],[Company]], 91)</f>
        <v>Monoammonium phosphate (MAP)</v>
      </c>
      <c r="P193" s="192" cm="1">
        <f t="array" ref="P193">Common_InputFunctions.Utility_DisplayArrayInTable(Fertiliser_SourceData.Fertiliser_Products_Data4(),FertiliserProducts[[#Headers],[Company]], 91)</f>
        <v>0.8</v>
      </c>
      <c r="Q193" s="192" t="str" cm="1">
        <f t="array" ref="Q193">Common_InputFunctions.Utility_DisplayArrayInTable(Fertiliser_SourceData.Fertiliser_Products_Data4(),FertiliserProducts[[#Headers],[Company]], 91)</f>
        <v>Sulphate of ammonia (SOA)</v>
      </c>
      <c r="R193" s="192" cm="1">
        <f t="array" ref="R193">Common_InputFunctions.Utility_DisplayArrayInTable(Fertiliser_SourceData.Fertiliser_Products_Data4(),FertiliserProducts[[#Headers],[Company]], 91)</f>
        <v>0.15</v>
      </c>
      <c r="S193" s="192" t="str" cm="1">
        <f t="array" ref="S193">Common_InputFunctions.Utility_DisplayArrayInTable(Fertiliser_SourceData.Fertiliser_Products_Data4(),FertiliserProducts[[#Headers],[Company]], 91)</f>
        <v>Copper</v>
      </c>
      <c r="T193" s="192" t="str" cm="1">
        <f t="array" ref="T193">Common_InputFunctions.Utility_DisplayArrayInTable(Fertiliser_SourceData.Fertiliser_Products_Data4(),FertiliserProducts[[#Headers],[Company]], 91)</f>
        <v>No data</v>
      </c>
      <c r="U193" s="192" t="str" cm="1">
        <f t="array" ref="U193">Common_InputFunctions.Utility_DisplayArrayInTable(Fertiliser_SourceData.Fertiliser_Products_Data4(),FertiliserProducts[[#Headers],[Company]], 91)</f>
        <v>Molybdenum</v>
      </c>
      <c r="V193" s="192" t="str" cm="1">
        <f t="array" ref="V193">Common_InputFunctions.Utility_DisplayArrayInTable(Fertiliser_SourceData.Fertiliser_Products_Data4(),FertiliserProducts[[#Headers],[Company]], 91)</f>
        <v>No data</v>
      </c>
      <c r="W193" s="192" t="str" cm="1">
        <f t="array" ref="W193">Common_InputFunctions.Utility_DisplayArrayInTable(Fertiliser_SourceData.Fertiliser_Products_Data4(),FertiliserProducts[[#Headers],[Company]], 91)</f>
        <v>Zinc</v>
      </c>
      <c r="X193" s="192" t="str" cm="1">
        <f t="array" ref="X193">Common_InputFunctions.Utility_DisplayArrayInTable(Fertiliser_SourceData.Fertiliser_Products_Data4(),FertiliserProducts[[#Headers],[Company]], 91)</f>
        <v>No data</v>
      </c>
      <c r="Y193" s="192" t="str" cm="1">
        <f t="array" ref="Y193">Common_InputFunctions.Utility_DisplayArrayInTable(Fertiliser_SourceData.Fertiliser_Products_Data4(),FertiliserProducts[[#Headers],[Company]], 91)</f>
        <v/>
      </c>
      <c r="Z193" s="192" t="str" cm="1">
        <f t="array" ref="Z193">Common_InputFunctions.Utility_DisplayArrayInTable(Fertiliser_SourceData.Fertiliser_Products_Data4(),FertiliserProducts[[#Headers],[Company]], 91)</f>
        <v/>
      </c>
      <c r="AA193" s="192" t="str" cm="1">
        <f t="array" ref="AA193">Common_InputFunctions.Utility_DisplayArrayInTable(Fertiliser_SourceData.Fertiliser_Products_Data4(),FertiliserProducts[[#Headers],[Company]], 91)</f>
        <v/>
      </c>
      <c r="AB193" s="192" t="str" cm="1">
        <f t="array" ref="AB193">Common_InputFunctions.Utility_DisplayArrayInTable(Fertiliser_SourceData.Fertiliser_Products_Data4(),FertiliserProducts[[#Headers],[Company]], 91)</f>
        <v/>
      </c>
      <c r="AC193" s="192" t="str" cm="1">
        <f t="array" ref="AC193">Common_InputFunctions.Utility_DisplayArrayInTable(Fertiliser_SourceData.Fertiliser_Products_Data4(),FertiliserProducts[[#Headers],[Company]], 91)</f>
        <v/>
      </c>
      <c r="AD193" s="192" t="str" cm="1">
        <f t="array" ref="AD193">Common_InputFunctions.Utility_DisplayArrayInTable(Fertiliser_SourceData.Fertiliser_Products_Data4(),FertiliserProducts[[#Headers],[Company]], 91)</f>
        <v/>
      </c>
      <c r="AE193" s="192" t="str" cm="1">
        <f t="array" ref="AE193">Common_InputFunctions.Utility_DisplayArrayInTable(Fertiliser_SourceData.Fertiliser_Products_Data4(),FertiliserProducts[[#Headers],[Company]], 91)</f>
        <v/>
      </c>
      <c r="AF193" s="192" t="str" cm="1">
        <f t="array" ref="AF193">Common_InputFunctions.Utility_DisplayArrayInTable(Fertiliser_SourceData.Fertiliser_Products_Data4(),FertiliserProducts[[#Headers],[Company]], 91)</f>
        <v/>
      </c>
      <c r="AG193" s="192" t="str" cm="1">
        <f t="array" ref="AG193">Common_InputFunctions.Utility_DisplayArrayInTable(Fertiliser_SourceData.Fertiliser_Products_Data4(),FertiliserProducts[[#Headers],[Company]], 91)</f>
        <v/>
      </c>
      <c r="AH193" s="192" t="str" cm="1">
        <f t="array" ref="AH193">Common_InputFunctions.Utility_DisplayArrayInTable(Fertiliser_SourceData.Fertiliser_Products_Data4(),FertiliserProducts[[#Headers],[Company]], 91)</f>
        <v/>
      </c>
    </row>
    <row r="194" spans="4:34" x14ac:dyDescent="0.25">
      <c r="D194" s="192" t="str" cm="1">
        <f t="array" ref="D194">Common_InputFunctions.Utility_DisplayArrayInTable(Fertiliser_SourceData.Fertiliser_Products_Data4(),FertiliserProducts[[#Headers],[Company]], 91)</f>
        <v>CSBP</v>
      </c>
      <c r="E194" s="192" t="str" cm="1">
        <f t="array" ref="E194">Common_InputFunctions.Utility_DisplayArrayInTable(Fertiliser_SourceData.Fertiliser_Products_Data4(),FertiliserProducts[[#Headers],[Company]], 91)</f>
        <v>Super &amp; Potash 3:1</v>
      </c>
      <c r="F194" s="192" t="str" cm="1">
        <f t="array" ref="F194">Common_InputFunctions.Utility_DisplayArrayInTable(Fertiliser_SourceData.Fertiliser_Products_Data4(),FertiliserProducts[[#Headers],[Company]], 91)</f>
        <v>kg</v>
      </c>
      <c r="G194" s="192" cm="1">
        <f t="array" ref="G194">Common_InputFunctions.Utility_DisplayArrayInTable(Fertiliser_SourceData.Fertiliser_Products_Data4(),FertiliserProducts[[#Headers],[Company]], 91)</f>
        <v>1</v>
      </c>
      <c r="H194" s="192" t="str" cm="1">
        <f t="array" ref="H194">Common_InputFunctions.Utility_DisplayArrayInTable(Fertiliser_SourceData.Fertiliser_Products_Data4(),FertiliserProducts[[#Headers],[Company]], 91)</f>
        <v/>
      </c>
      <c r="I194" s="192" t="str" cm="1">
        <f t="array" ref="I194">Common_InputFunctions.Utility_DisplayArrayInTable(Fertiliser_SourceData.Fertiliser_Products_Data4(),FertiliserProducts[[#Headers],[Company]], 91)</f>
        <v/>
      </c>
      <c r="J194" s="192" t="str" cm="1">
        <f t="array" ref="J194">Common_InputFunctions.Utility_DisplayArrayInTable(Fertiliser_SourceData.Fertiliser_Products_Data4(),FertiliserProducts[[#Headers],[Company]], 91)</f>
        <v/>
      </c>
      <c r="K194" s="192" t="str" cm="1">
        <f t="array" ref="K194">Common_InputFunctions.Utility_DisplayArrayInTable(Fertiliser_SourceData.Fertiliser_Products_Data4(),FertiliserProducts[[#Headers],[Company]], 91)</f>
        <v/>
      </c>
      <c r="L194" s="192" cm="1">
        <f t="array" ref="L194">Common_InputFunctions.Utility_DisplayArrayInTable(Fertiliser_SourceData.Fertiliser_Products_Data4(),FertiliserProducts[[#Headers],[Company]], 91)</f>
        <v>5.5</v>
      </c>
      <c r="M194" s="192" cm="1">
        <f t="array" ref="M194">Common_InputFunctions.Utility_DisplayArrayInTable(Fertiliser_SourceData.Fertiliser_Products_Data4(),FertiliserProducts[[#Headers],[Company]], 91)</f>
        <v>15</v>
      </c>
      <c r="N194" s="192" cm="1">
        <f t="array" ref="N194">Common_InputFunctions.Utility_DisplayArrayInTable(Fertiliser_SourceData.Fertiliser_Products_Data4(),FertiliserProducts[[#Headers],[Company]], 91)</f>
        <v>6.88</v>
      </c>
      <c r="O194" s="192" t="str" cm="1">
        <f t="array" ref="O194">Common_InputFunctions.Utility_DisplayArrayInTable(Fertiliser_SourceData.Fertiliser_Products_Data4(),FertiliserProducts[[#Headers],[Company]], 91)</f>
        <v>Single superphosphate (SSP)</v>
      </c>
      <c r="P194" s="192" cm="1">
        <f t="array" ref="P194">Common_InputFunctions.Utility_DisplayArrayInTable(Fertiliser_SourceData.Fertiliser_Products_Data4(),FertiliserProducts[[#Headers],[Company]], 91)</f>
        <v>0.625</v>
      </c>
      <c r="Q194" s="192" t="str" cm="1">
        <f t="array" ref="Q194">Common_InputFunctions.Utility_DisplayArrayInTable(Fertiliser_SourceData.Fertiliser_Products_Data4(),FertiliserProducts[[#Headers],[Company]], 91)</f>
        <v>Muriate of potash (MOP)</v>
      </c>
      <c r="R194" s="192" cm="1">
        <f t="array" ref="R194">Common_InputFunctions.Utility_DisplayArrayInTable(Fertiliser_SourceData.Fertiliser_Products_Data4(),FertiliserProducts[[#Headers],[Company]], 91)</f>
        <v>0.3</v>
      </c>
      <c r="S194" s="192" t="str" cm="1">
        <f t="array" ref="S194">Common_InputFunctions.Utility_DisplayArrayInTable(Fertiliser_SourceData.Fertiliser_Products_Data4(),FertiliserProducts[[#Headers],[Company]], 91)</f>
        <v/>
      </c>
      <c r="T194" s="192" t="str" cm="1">
        <f t="array" ref="T194">Common_InputFunctions.Utility_DisplayArrayInTable(Fertiliser_SourceData.Fertiliser_Products_Data4(),FertiliserProducts[[#Headers],[Company]], 91)</f>
        <v/>
      </c>
      <c r="U194" s="192" t="str" cm="1">
        <f t="array" ref="U194">Common_InputFunctions.Utility_DisplayArrayInTable(Fertiliser_SourceData.Fertiliser_Products_Data4(),FertiliserProducts[[#Headers],[Company]], 91)</f>
        <v/>
      </c>
      <c r="V194" s="192" t="str" cm="1">
        <f t="array" ref="V194">Common_InputFunctions.Utility_DisplayArrayInTable(Fertiliser_SourceData.Fertiliser_Products_Data4(),FertiliserProducts[[#Headers],[Company]], 91)</f>
        <v/>
      </c>
      <c r="W194" s="192" t="str" cm="1">
        <f t="array" ref="W194">Common_InputFunctions.Utility_DisplayArrayInTable(Fertiliser_SourceData.Fertiliser_Products_Data4(),FertiliserProducts[[#Headers],[Company]], 91)</f>
        <v/>
      </c>
      <c r="X194" s="192" t="str" cm="1">
        <f t="array" ref="X194">Common_InputFunctions.Utility_DisplayArrayInTable(Fertiliser_SourceData.Fertiliser_Products_Data4(),FertiliserProducts[[#Headers],[Company]], 91)</f>
        <v/>
      </c>
      <c r="Y194" s="192" t="str" cm="1">
        <f t="array" ref="Y194">Common_InputFunctions.Utility_DisplayArrayInTable(Fertiliser_SourceData.Fertiliser_Products_Data4(),FertiliserProducts[[#Headers],[Company]], 91)</f>
        <v/>
      </c>
      <c r="Z194" s="192" t="str" cm="1">
        <f t="array" ref="Z194">Common_InputFunctions.Utility_DisplayArrayInTable(Fertiliser_SourceData.Fertiliser_Products_Data4(),FertiliserProducts[[#Headers],[Company]], 91)</f>
        <v/>
      </c>
      <c r="AA194" s="192" t="str" cm="1">
        <f t="array" ref="AA194">Common_InputFunctions.Utility_DisplayArrayInTable(Fertiliser_SourceData.Fertiliser_Products_Data4(),FertiliserProducts[[#Headers],[Company]], 91)</f>
        <v/>
      </c>
      <c r="AB194" s="192" t="str" cm="1">
        <f t="array" ref="AB194">Common_InputFunctions.Utility_DisplayArrayInTable(Fertiliser_SourceData.Fertiliser_Products_Data4(),FertiliserProducts[[#Headers],[Company]], 91)</f>
        <v/>
      </c>
      <c r="AC194" s="192" t="str" cm="1">
        <f t="array" ref="AC194">Common_InputFunctions.Utility_DisplayArrayInTable(Fertiliser_SourceData.Fertiliser_Products_Data4(),FertiliserProducts[[#Headers],[Company]], 91)</f>
        <v/>
      </c>
      <c r="AD194" s="192" t="str" cm="1">
        <f t="array" ref="AD194">Common_InputFunctions.Utility_DisplayArrayInTable(Fertiliser_SourceData.Fertiliser_Products_Data4(),FertiliserProducts[[#Headers],[Company]], 91)</f>
        <v/>
      </c>
      <c r="AE194" s="192" t="str" cm="1">
        <f t="array" ref="AE194">Common_InputFunctions.Utility_DisplayArrayInTable(Fertiliser_SourceData.Fertiliser_Products_Data4(),FertiliserProducts[[#Headers],[Company]], 91)</f>
        <v/>
      </c>
      <c r="AF194" s="192" t="str" cm="1">
        <f t="array" ref="AF194">Common_InputFunctions.Utility_DisplayArrayInTable(Fertiliser_SourceData.Fertiliser_Products_Data4(),FertiliserProducts[[#Headers],[Company]], 91)</f>
        <v/>
      </c>
      <c r="AG194" s="192" t="str" cm="1">
        <f t="array" ref="AG194">Common_InputFunctions.Utility_DisplayArrayInTable(Fertiliser_SourceData.Fertiliser_Products_Data4(),FertiliserProducts[[#Headers],[Company]], 91)</f>
        <v/>
      </c>
      <c r="AH194" s="192" t="str" cm="1">
        <f t="array" ref="AH194">Common_InputFunctions.Utility_DisplayArrayInTable(Fertiliser_SourceData.Fertiliser_Products_Data4(),FertiliserProducts[[#Headers],[Company]], 91)</f>
        <v/>
      </c>
    </row>
    <row r="195" spans="4:34" x14ac:dyDescent="0.25">
      <c r="D195" s="192" t="str" cm="1">
        <f t="array" ref="D195">Common_InputFunctions.Utility_DisplayArrayInTable(Fertiliser_SourceData.Fertiliser_Products_Data4(),FertiliserProducts[[#Headers],[Company]], 91)</f>
        <v>Yara</v>
      </c>
      <c r="E195" s="192" t="str" cm="1">
        <f t="array" ref="E195">Common_InputFunctions.Utility_DisplayArrayInTable(Fertiliser_SourceData.Fertiliser_Products_Data4(),FertiliserProducts[[#Headers],[Company]], 91)</f>
        <v>YaraBela CAN-27</v>
      </c>
      <c r="F195" s="192" t="str" cm="1">
        <f t="array" ref="F195">Common_InputFunctions.Utility_DisplayArrayInTable(Fertiliser_SourceData.Fertiliser_Products_Data4(),FertiliserProducts[[#Headers],[Company]], 91)</f>
        <v>kg</v>
      </c>
      <c r="G195" s="192" cm="1">
        <f t="array" ref="G195">Common_InputFunctions.Utility_DisplayArrayInTable(Fertiliser_SourceData.Fertiliser_Products_Data4(),FertiliserProducts[[#Headers],[Company]], 91)</f>
        <v>1</v>
      </c>
      <c r="H195" s="192" t="str" cm="1">
        <f t="array" ref="H195">Common_InputFunctions.Utility_DisplayArrayInTable(Fertiliser_SourceData.Fertiliser_Products_Data4(),FertiliserProducts[[#Headers],[Company]], 91)</f>
        <v/>
      </c>
      <c r="I195" s="192" t="str" cm="1">
        <f t="array" ref="I195">Common_InputFunctions.Utility_DisplayArrayInTable(Fertiliser_SourceData.Fertiliser_Products_Data4(),FertiliserProducts[[#Headers],[Company]], 91)</f>
        <v/>
      </c>
      <c r="J195" s="192" t="str" cm="1">
        <f t="array" ref="J195">Common_InputFunctions.Utility_DisplayArrayInTable(Fertiliser_SourceData.Fertiliser_Products_Data4(),FertiliserProducts[[#Headers],[Company]], 91)</f>
        <v/>
      </c>
      <c r="K195" s="192" cm="1">
        <f t="array" ref="K195">Common_InputFunctions.Utility_DisplayArrayInTable(Fertiliser_SourceData.Fertiliser_Products_Data4(),FertiliserProducts[[#Headers],[Company]], 91)</f>
        <v>27</v>
      </c>
      <c r="L195" s="192" t="str" cm="1">
        <f t="array" ref="L195">Common_InputFunctions.Utility_DisplayArrayInTable(Fertiliser_SourceData.Fertiliser_Products_Data4(),FertiliserProducts[[#Headers],[Company]], 91)</f>
        <v/>
      </c>
      <c r="M195" s="192" t="str" cm="1">
        <f t="array" ref="M195">Common_InputFunctions.Utility_DisplayArrayInTable(Fertiliser_SourceData.Fertiliser_Products_Data4(),FertiliserProducts[[#Headers],[Company]], 91)</f>
        <v/>
      </c>
      <c r="N195" s="192" t="str" cm="1">
        <f t="array" ref="N195">Common_InputFunctions.Utility_DisplayArrayInTable(Fertiliser_SourceData.Fertiliser_Products_Data4(),FertiliserProducts[[#Headers],[Company]], 91)</f>
        <v/>
      </c>
      <c r="O195" s="192" t="str" cm="1">
        <f t="array" ref="O195">Common_InputFunctions.Utility_DisplayArrayInTable(Fertiliser_SourceData.Fertiliser_Products_Data4(),FertiliserProducts[[#Headers],[Company]], 91)</f>
        <v>Calcium ammonium nitrate (CAN)</v>
      </c>
      <c r="P195" s="192" cm="1">
        <f t="array" ref="P195">Common_InputFunctions.Utility_DisplayArrayInTable(Fertiliser_SourceData.Fertiliser_Products_Data4(),FertiliserProducts[[#Headers],[Company]], 91)</f>
        <v>1</v>
      </c>
      <c r="Q195" s="192" t="str" cm="1">
        <f t="array" ref="Q195">Common_InputFunctions.Utility_DisplayArrayInTable(Fertiliser_SourceData.Fertiliser_Products_Data4(),FertiliserProducts[[#Headers],[Company]], 91)</f>
        <v/>
      </c>
      <c r="R195" s="192" t="str" cm="1">
        <f t="array" ref="R195">Common_InputFunctions.Utility_DisplayArrayInTable(Fertiliser_SourceData.Fertiliser_Products_Data4(),FertiliserProducts[[#Headers],[Company]], 91)</f>
        <v/>
      </c>
      <c r="S195" s="192" t="str" cm="1">
        <f t="array" ref="S195">Common_InputFunctions.Utility_DisplayArrayInTable(Fertiliser_SourceData.Fertiliser_Products_Data4(),FertiliserProducts[[#Headers],[Company]], 91)</f>
        <v/>
      </c>
      <c r="T195" s="192" t="str" cm="1">
        <f t="array" ref="T195">Common_InputFunctions.Utility_DisplayArrayInTable(Fertiliser_SourceData.Fertiliser_Products_Data4(),FertiliserProducts[[#Headers],[Company]], 91)</f>
        <v/>
      </c>
      <c r="U195" s="192" t="str" cm="1">
        <f t="array" ref="U195">Common_InputFunctions.Utility_DisplayArrayInTable(Fertiliser_SourceData.Fertiliser_Products_Data4(),FertiliserProducts[[#Headers],[Company]], 91)</f>
        <v/>
      </c>
      <c r="V195" s="192" t="str" cm="1">
        <f t="array" ref="V195">Common_InputFunctions.Utility_DisplayArrayInTable(Fertiliser_SourceData.Fertiliser_Products_Data4(),FertiliserProducts[[#Headers],[Company]], 91)</f>
        <v/>
      </c>
      <c r="W195" s="192" t="str" cm="1">
        <f t="array" ref="W195">Common_InputFunctions.Utility_DisplayArrayInTable(Fertiliser_SourceData.Fertiliser_Products_Data4(),FertiliserProducts[[#Headers],[Company]], 91)</f>
        <v/>
      </c>
      <c r="X195" s="192" t="str" cm="1">
        <f t="array" ref="X195">Common_InputFunctions.Utility_DisplayArrayInTable(Fertiliser_SourceData.Fertiliser_Products_Data4(),FertiliserProducts[[#Headers],[Company]], 91)</f>
        <v/>
      </c>
      <c r="Y195" s="192" t="str" cm="1">
        <f t="array" ref="Y195">Common_InputFunctions.Utility_DisplayArrayInTable(Fertiliser_SourceData.Fertiliser_Products_Data4(),FertiliserProducts[[#Headers],[Company]], 91)</f>
        <v/>
      </c>
      <c r="Z195" s="192" t="str" cm="1">
        <f t="array" ref="Z195">Common_InputFunctions.Utility_DisplayArrayInTable(Fertiliser_SourceData.Fertiliser_Products_Data4(),FertiliserProducts[[#Headers],[Company]], 91)</f>
        <v/>
      </c>
      <c r="AA195" s="192" t="str" cm="1">
        <f t="array" ref="AA195">Common_InputFunctions.Utility_DisplayArrayInTable(Fertiliser_SourceData.Fertiliser_Products_Data4(),FertiliserProducts[[#Headers],[Company]], 91)</f>
        <v/>
      </c>
      <c r="AB195" s="192" t="str" cm="1">
        <f t="array" ref="AB195">Common_InputFunctions.Utility_DisplayArrayInTable(Fertiliser_SourceData.Fertiliser_Products_Data4(),FertiliserProducts[[#Headers],[Company]], 91)</f>
        <v/>
      </c>
      <c r="AC195" s="192" t="str" cm="1">
        <f t="array" ref="AC195">Common_InputFunctions.Utility_DisplayArrayInTable(Fertiliser_SourceData.Fertiliser_Products_Data4(),FertiliserProducts[[#Headers],[Company]], 91)</f>
        <v/>
      </c>
      <c r="AD195" s="192" t="str" cm="1">
        <f t="array" ref="AD195">Common_InputFunctions.Utility_DisplayArrayInTable(Fertiliser_SourceData.Fertiliser_Products_Data4(),FertiliserProducts[[#Headers],[Company]], 91)</f>
        <v/>
      </c>
      <c r="AE195" s="192" t="str" cm="1">
        <f t="array" ref="AE195">Common_InputFunctions.Utility_DisplayArrayInTable(Fertiliser_SourceData.Fertiliser_Products_Data4(),FertiliserProducts[[#Headers],[Company]], 91)</f>
        <v/>
      </c>
      <c r="AF195" s="192" t="str" cm="1">
        <f t="array" ref="AF195">Common_InputFunctions.Utility_DisplayArrayInTable(Fertiliser_SourceData.Fertiliser_Products_Data4(),FertiliserProducts[[#Headers],[Company]], 91)</f>
        <v/>
      </c>
      <c r="AG195" s="192" t="str" cm="1">
        <f t="array" ref="AG195">Common_InputFunctions.Utility_DisplayArrayInTable(Fertiliser_SourceData.Fertiliser_Products_Data4(),FertiliserProducts[[#Headers],[Company]], 91)</f>
        <v/>
      </c>
      <c r="AH195" s="192" t="str" cm="1">
        <f t="array" ref="AH195">Common_InputFunctions.Utility_DisplayArrayInTable(Fertiliser_SourceData.Fertiliser_Products_Data4(),FertiliserProducts[[#Headers],[Company]], 91)</f>
        <v/>
      </c>
    </row>
    <row r="196" spans="4:34" x14ac:dyDescent="0.25">
      <c r="D196" s="192" t="str" cm="1">
        <f t="array" ref="D196">Common_InputFunctions.Utility_DisplayArrayInTable(Fertiliser_SourceData.Fertiliser_Products_Data4(),FertiliserProducts[[#Headers],[Company]], 91)</f>
        <v>Incitec Pivot Fertilisers</v>
      </c>
      <c r="E196" s="192" t="str" cm="1">
        <f t="array" ref="E196">Common_InputFunctions.Utility_DisplayArrayInTable(Fertiliser_SourceData.Fertiliser_Products_Data4(),FertiliserProducts[[#Headers],[Company]], 91)</f>
        <v>Cal-Gran Aftergraze</v>
      </c>
      <c r="F196" s="192" t="str" cm="1">
        <f t="array" ref="F196">Common_InputFunctions.Utility_DisplayArrayInTable(Fertiliser_SourceData.Fertiliser_Products_Data4(),FertiliserProducts[[#Headers],[Company]], 91)</f>
        <v>kg</v>
      </c>
      <c r="G196" s="192" cm="1">
        <f t="array" ref="G196">Common_InputFunctions.Utility_DisplayArrayInTable(Fertiliser_SourceData.Fertiliser_Products_Data4(),FertiliserProducts[[#Headers],[Company]], 91)</f>
        <v>1</v>
      </c>
      <c r="H196" s="192" t="str" cm="1">
        <f t="array" ref="H196">Common_InputFunctions.Utility_DisplayArrayInTable(Fertiliser_SourceData.Fertiliser_Products_Data4(),FertiliserProducts[[#Headers],[Company]], 91)</f>
        <v/>
      </c>
      <c r="I196" s="192" t="str" cm="1">
        <f t="array" ref="I196">Common_InputFunctions.Utility_DisplayArrayInTable(Fertiliser_SourceData.Fertiliser_Products_Data4(),FertiliserProducts[[#Headers],[Company]], 91)</f>
        <v/>
      </c>
      <c r="J196" s="192" t="str" cm="1">
        <f t="array" ref="J196">Common_InputFunctions.Utility_DisplayArrayInTable(Fertiliser_SourceData.Fertiliser_Products_Data4(),FertiliserProducts[[#Headers],[Company]], 91)</f>
        <v/>
      </c>
      <c r="K196" s="192" cm="1">
        <f t="array" ref="K196">Common_InputFunctions.Utility_DisplayArrayInTable(Fertiliser_SourceData.Fertiliser_Products_Data4(),FertiliserProducts[[#Headers],[Company]], 91)</f>
        <v>20.6</v>
      </c>
      <c r="L196" s="192" cm="1">
        <f t="array" ref="L196">Common_InputFunctions.Utility_DisplayArrayInTable(Fertiliser_SourceData.Fertiliser_Products_Data4(),FertiliserProducts[[#Headers],[Company]], 91)</f>
        <v>3</v>
      </c>
      <c r="M196" s="192" cm="1">
        <f t="array" ref="M196">Common_InputFunctions.Utility_DisplayArrayInTable(Fertiliser_SourceData.Fertiliser_Products_Data4(),FertiliserProducts[[#Headers],[Company]], 91)</f>
        <v>7.5</v>
      </c>
      <c r="N196" s="192" cm="1">
        <f t="array" ref="N196">Common_InputFunctions.Utility_DisplayArrayInTable(Fertiliser_SourceData.Fertiliser_Products_Data4(),FertiliserProducts[[#Headers],[Company]], 91)</f>
        <v>3.8</v>
      </c>
      <c r="O196" s="192" t="str" cm="1">
        <f t="array" ref="O196">Common_InputFunctions.Utility_DisplayArrayInTable(Fertiliser_SourceData.Fertiliser_Products_Data4(),FertiliserProducts[[#Headers],[Company]], 91)</f>
        <v>Nitrogen - Nitrate</v>
      </c>
      <c r="P196" s="192" cm="1">
        <f t="array" ref="P196">Common_InputFunctions.Utility_DisplayArrayInTable(Fertiliser_SourceData.Fertiliser_Products_Data4(),FertiliserProducts[[#Headers],[Company]], 91)</f>
        <v>6.4000000000000001E-2</v>
      </c>
      <c r="Q196" s="192" t="str" cm="1">
        <f t="array" ref="Q196">Common_InputFunctions.Utility_DisplayArrayInTable(Fertiliser_SourceData.Fertiliser_Products_Data4(),FertiliserProducts[[#Headers],[Company]], 91)</f>
        <v>Nitrogen - Ammoniacal</v>
      </c>
      <c r="R196" s="192" cm="1">
        <f t="array" ref="R196">Common_InputFunctions.Utility_DisplayArrayInTable(Fertiliser_SourceData.Fertiliser_Products_Data4(),FertiliserProducts[[#Headers],[Company]], 91)</f>
        <v>0.14199999999999999</v>
      </c>
      <c r="S196" s="192" t="str" cm="1">
        <f t="array" ref="S196">Common_InputFunctions.Utility_DisplayArrayInTable(Fertiliser_SourceData.Fertiliser_Products_Data4(),FertiliserProducts[[#Headers],[Company]], 91)</f>
        <v>Phosphorus - Generic</v>
      </c>
      <c r="T196" s="192" cm="1">
        <f t="array" ref="T196">Common_InputFunctions.Utility_DisplayArrayInTable(Fertiliser_SourceData.Fertiliser_Products_Data4(),FertiliserProducts[[#Headers],[Company]], 91)</f>
        <v>0.03</v>
      </c>
      <c r="U196" s="192" t="str" cm="1">
        <f t="array" ref="U196">Common_InputFunctions.Utility_DisplayArrayInTable(Fertiliser_SourceData.Fertiliser_Products_Data4(),FertiliserProducts[[#Headers],[Company]], 91)</f>
        <v>Potassium - Generic</v>
      </c>
      <c r="V196" s="192" cm="1">
        <f t="array" ref="V196">Common_InputFunctions.Utility_DisplayArrayInTable(Fertiliser_SourceData.Fertiliser_Products_Data4(),FertiliserProducts[[#Headers],[Company]], 91)</f>
        <v>7.4999999999999997E-2</v>
      </c>
      <c r="W196" s="192" t="str" cm="1">
        <f t="array" ref="W196">Common_InputFunctions.Utility_DisplayArrayInTable(Fertiliser_SourceData.Fertiliser_Products_Data4(),FertiliserProducts[[#Headers],[Company]], 91)</f>
        <v>Sulfur - Generic</v>
      </c>
      <c r="X196" s="192" cm="1">
        <f t="array" ref="X196">Common_InputFunctions.Utility_DisplayArrayInTable(Fertiliser_SourceData.Fertiliser_Products_Data4(),FertiliserProducts[[#Headers],[Company]], 91)</f>
        <v>3.7999999999999999E-2</v>
      </c>
      <c r="Y196" s="192" t="str" cm="1">
        <f t="array" ref="Y196">Common_InputFunctions.Utility_DisplayArrayInTable(Fertiliser_SourceData.Fertiliser_Products_Data4(),FertiliserProducts[[#Headers],[Company]], 91)</f>
        <v>Calcium</v>
      </c>
      <c r="Z196" s="192" cm="1">
        <f t="array" ref="Z196">Common_InputFunctions.Utility_DisplayArrayInTable(Fertiliser_SourceData.Fertiliser_Products_Data4(),FertiliserProducts[[#Headers],[Company]], 91)</f>
        <v>4.3999999999999997E-2</v>
      </c>
      <c r="AA196" s="192" t="str" cm="1">
        <f t="array" ref="AA196">Common_InputFunctions.Utility_DisplayArrayInTable(Fertiliser_SourceData.Fertiliser_Products_Data4(),FertiliserProducts[[#Headers],[Company]], 91)</f>
        <v/>
      </c>
      <c r="AB196" s="192" t="str" cm="1">
        <f t="array" ref="AB196">Common_InputFunctions.Utility_DisplayArrayInTable(Fertiliser_SourceData.Fertiliser_Products_Data4(),FertiliserProducts[[#Headers],[Company]], 91)</f>
        <v/>
      </c>
      <c r="AC196" s="192" t="str" cm="1">
        <f t="array" ref="AC196">Common_InputFunctions.Utility_DisplayArrayInTable(Fertiliser_SourceData.Fertiliser_Products_Data4(),FertiliserProducts[[#Headers],[Company]], 91)</f>
        <v/>
      </c>
      <c r="AD196" s="192" t="str" cm="1">
        <f t="array" ref="AD196">Common_InputFunctions.Utility_DisplayArrayInTable(Fertiliser_SourceData.Fertiliser_Products_Data4(),FertiliserProducts[[#Headers],[Company]], 91)</f>
        <v/>
      </c>
      <c r="AE196" s="192" t="str" cm="1">
        <f t="array" ref="AE196">Common_InputFunctions.Utility_DisplayArrayInTable(Fertiliser_SourceData.Fertiliser_Products_Data4(),FertiliserProducts[[#Headers],[Company]], 91)</f>
        <v/>
      </c>
      <c r="AF196" s="192" t="str" cm="1">
        <f t="array" ref="AF196">Common_InputFunctions.Utility_DisplayArrayInTable(Fertiliser_SourceData.Fertiliser_Products_Data4(),FertiliserProducts[[#Headers],[Company]], 91)</f>
        <v/>
      </c>
      <c r="AG196" s="192" t="str" cm="1">
        <f t="array" ref="AG196">Common_InputFunctions.Utility_DisplayArrayInTable(Fertiliser_SourceData.Fertiliser_Products_Data4(),FertiliserProducts[[#Headers],[Company]], 91)</f>
        <v/>
      </c>
      <c r="AH196" s="192" t="str" cm="1">
        <f t="array" ref="AH196">Common_InputFunctions.Utility_DisplayArrayInTable(Fertiliser_SourceData.Fertiliser_Products_Data4(),FertiliserProducts[[#Headers],[Company]], 91)</f>
        <v/>
      </c>
    </row>
    <row r="197" spans="4:34" x14ac:dyDescent="0.25">
      <c r="D197" s="192" t="str" cm="1">
        <f t="array" ref="D197">Common_InputFunctions.Utility_DisplayArrayInTable(Fertiliser_SourceData.Fertiliser_Products_Data4(),FertiliserProducts[[#Headers],[Company]], 91)</f>
        <v>Incitec Pivot Fertilisers</v>
      </c>
      <c r="E197" s="192" t="str" cm="1">
        <f t="array" ref="E197">Common_InputFunctions.Utility_DisplayArrayInTable(Fertiliser_SourceData.Fertiliser_Products_Data4(),FertiliserProducts[[#Headers],[Company]], 91)</f>
        <v>Cal-Gran Prodress</v>
      </c>
      <c r="F197" s="192" t="str" cm="1">
        <f t="array" ref="F197">Common_InputFunctions.Utility_DisplayArrayInTable(Fertiliser_SourceData.Fertiliser_Products_Data4(),FertiliserProducts[[#Headers],[Company]], 91)</f>
        <v>kg</v>
      </c>
      <c r="G197" s="192" cm="1">
        <f t="array" ref="G197">Common_InputFunctions.Utility_DisplayArrayInTable(Fertiliser_SourceData.Fertiliser_Products_Data4(),FertiliserProducts[[#Headers],[Company]], 91)</f>
        <v>1</v>
      </c>
      <c r="H197" s="192" t="str" cm="1">
        <f t="array" ref="H197">Common_InputFunctions.Utility_DisplayArrayInTable(Fertiliser_SourceData.Fertiliser_Products_Data4(),FertiliserProducts[[#Headers],[Company]], 91)</f>
        <v/>
      </c>
      <c r="I197" s="192" t="str" cm="1">
        <f t="array" ref="I197">Common_InputFunctions.Utility_DisplayArrayInTable(Fertiliser_SourceData.Fertiliser_Products_Data4(),FertiliserProducts[[#Headers],[Company]], 91)</f>
        <v/>
      </c>
      <c r="J197" s="192" t="str" cm="1">
        <f t="array" ref="J197">Common_InputFunctions.Utility_DisplayArrayInTable(Fertiliser_SourceData.Fertiliser_Products_Data4(),FertiliserProducts[[#Headers],[Company]], 91)</f>
        <v/>
      </c>
      <c r="K197" s="192" cm="1">
        <f t="array" ref="K197">Common_InputFunctions.Utility_DisplayArrayInTable(Fertiliser_SourceData.Fertiliser_Products_Data4(),FertiliserProducts[[#Headers],[Company]], 91)</f>
        <v>17.8</v>
      </c>
      <c r="L197" s="192" cm="1">
        <f t="array" ref="L197">Common_InputFunctions.Utility_DisplayArrayInTable(Fertiliser_SourceData.Fertiliser_Products_Data4(),FertiliserProducts[[#Headers],[Company]], 91)</f>
        <v>1</v>
      </c>
      <c r="M197" s="192" cm="1">
        <f t="array" ref="M197">Common_InputFunctions.Utility_DisplayArrayInTable(Fertiliser_SourceData.Fertiliser_Products_Data4(),FertiliserProducts[[#Headers],[Company]], 91)</f>
        <v>15</v>
      </c>
      <c r="N197" s="192" cm="1">
        <f t="array" ref="N197">Common_InputFunctions.Utility_DisplayArrayInTable(Fertiliser_SourceData.Fertiliser_Products_Data4(),FertiliserProducts[[#Headers],[Company]], 91)</f>
        <v>2.5</v>
      </c>
      <c r="O197" s="192" t="str" cm="1">
        <f t="array" ref="O197">Common_InputFunctions.Utility_DisplayArrayInTable(Fertiliser_SourceData.Fertiliser_Products_Data4(),FertiliserProducts[[#Headers],[Company]], 91)</f>
        <v>Nitrogen - Nitrate</v>
      </c>
      <c r="P197" s="192" cm="1">
        <f t="array" ref="P197">Common_InputFunctions.Utility_DisplayArrayInTable(Fertiliser_SourceData.Fertiliser_Products_Data4(),FertiliserProducts[[#Headers],[Company]], 91)</f>
        <v>5.5E-2</v>
      </c>
      <c r="Q197" s="192" t="str" cm="1">
        <f t="array" ref="Q197">Common_InputFunctions.Utility_DisplayArrayInTable(Fertiliser_SourceData.Fertiliser_Products_Data4(),FertiliserProducts[[#Headers],[Company]], 91)</f>
        <v>Nitrogen - Ammoniacal</v>
      </c>
      <c r="R197" s="192" cm="1">
        <f t="array" ref="R197">Common_InputFunctions.Utility_DisplayArrayInTable(Fertiliser_SourceData.Fertiliser_Products_Data4(),FertiliserProducts[[#Headers],[Company]], 91)</f>
        <v>0.123</v>
      </c>
      <c r="S197" s="192" t="str" cm="1">
        <f t="array" ref="S197">Common_InputFunctions.Utility_DisplayArrayInTable(Fertiliser_SourceData.Fertiliser_Products_Data4(),FertiliserProducts[[#Headers],[Company]], 91)</f>
        <v>Phosphorus - Generic</v>
      </c>
      <c r="T197" s="192" cm="1">
        <f t="array" ref="T197">Common_InputFunctions.Utility_DisplayArrayInTable(Fertiliser_SourceData.Fertiliser_Products_Data4(),FertiliserProducts[[#Headers],[Company]], 91)</f>
        <v>0.01</v>
      </c>
      <c r="U197" s="192" t="str" cm="1">
        <f t="array" ref="U197">Common_InputFunctions.Utility_DisplayArrayInTable(Fertiliser_SourceData.Fertiliser_Products_Data4(),FertiliserProducts[[#Headers],[Company]], 91)</f>
        <v>Potassium - Generic</v>
      </c>
      <c r="V197" s="192" cm="1">
        <f t="array" ref="V197">Common_InputFunctions.Utility_DisplayArrayInTable(Fertiliser_SourceData.Fertiliser_Products_Data4(),FertiliserProducts[[#Headers],[Company]], 91)</f>
        <v>0.15</v>
      </c>
      <c r="W197" s="192" t="str" cm="1">
        <f t="array" ref="W197">Common_InputFunctions.Utility_DisplayArrayInTable(Fertiliser_SourceData.Fertiliser_Products_Data4(),FertiliserProducts[[#Headers],[Company]], 91)</f>
        <v>Sulfur - Generic</v>
      </c>
      <c r="X197" s="192" cm="1">
        <f t="array" ref="X197">Common_InputFunctions.Utility_DisplayArrayInTable(Fertiliser_SourceData.Fertiliser_Products_Data4(),FertiliserProducts[[#Headers],[Company]], 91)</f>
        <v>2.5000000000000001E-2</v>
      </c>
      <c r="Y197" s="192" t="str" cm="1">
        <f t="array" ref="Y197">Common_InputFunctions.Utility_DisplayArrayInTable(Fertiliser_SourceData.Fertiliser_Products_Data4(),FertiliserProducts[[#Headers],[Company]], 91)</f>
        <v>Calcium</v>
      </c>
      <c r="Z197" s="192" cm="1">
        <f t="array" ref="Z197">Common_InputFunctions.Utility_DisplayArrayInTable(Fertiliser_SourceData.Fertiliser_Products_Data4(),FertiliserProducts[[#Headers],[Company]], 91)</f>
        <v>4.3999999999999997E-2</v>
      </c>
      <c r="AA197" s="192" t="str" cm="1">
        <f t="array" ref="AA197">Common_InputFunctions.Utility_DisplayArrayInTable(Fertiliser_SourceData.Fertiliser_Products_Data4(),FertiliserProducts[[#Headers],[Company]], 91)</f>
        <v/>
      </c>
      <c r="AB197" s="192" t="str" cm="1">
        <f t="array" ref="AB197">Common_InputFunctions.Utility_DisplayArrayInTable(Fertiliser_SourceData.Fertiliser_Products_Data4(),FertiliserProducts[[#Headers],[Company]], 91)</f>
        <v/>
      </c>
      <c r="AC197" s="192" t="str" cm="1">
        <f t="array" ref="AC197">Common_InputFunctions.Utility_DisplayArrayInTable(Fertiliser_SourceData.Fertiliser_Products_Data4(),FertiliserProducts[[#Headers],[Company]], 91)</f>
        <v/>
      </c>
      <c r="AD197" s="192" t="str" cm="1">
        <f t="array" ref="AD197">Common_InputFunctions.Utility_DisplayArrayInTable(Fertiliser_SourceData.Fertiliser_Products_Data4(),FertiliserProducts[[#Headers],[Company]], 91)</f>
        <v/>
      </c>
      <c r="AE197" s="192" t="str" cm="1">
        <f t="array" ref="AE197">Common_InputFunctions.Utility_DisplayArrayInTable(Fertiliser_SourceData.Fertiliser_Products_Data4(),FertiliserProducts[[#Headers],[Company]], 91)</f>
        <v/>
      </c>
      <c r="AF197" s="192" t="str" cm="1">
        <f t="array" ref="AF197">Common_InputFunctions.Utility_DisplayArrayInTable(Fertiliser_SourceData.Fertiliser_Products_Data4(),FertiliserProducts[[#Headers],[Company]], 91)</f>
        <v/>
      </c>
      <c r="AG197" s="192" t="str" cm="1">
        <f t="array" ref="AG197">Common_InputFunctions.Utility_DisplayArrayInTable(Fertiliser_SourceData.Fertiliser_Products_Data4(),FertiliserProducts[[#Headers],[Company]], 91)</f>
        <v/>
      </c>
      <c r="AH197" s="192" t="str" cm="1">
        <f t="array" ref="AH197">Common_InputFunctions.Utility_DisplayArrayInTable(Fertiliser_SourceData.Fertiliser_Products_Data4(),FertiliserProducts[[#Headers],[Company]], 91)</f>
        <v/>
      </c>
    </row>
    <row r="198" spans="4:34" x14ac:dyDescent="0.25">
      <c r="D198" s="192" t="str" cm="1">
        <f t="array" ref="D198">Common_InputFunctions.Utility_DisplayArrayInTable(Fertiliser_SourceData.Fertiliser_Products_Data4(),FertiliserProducts[[#Headers],[Company]], 91)</f>
        <v>Wengfu Australia</v>
      </c>
      <c r="E198" s="192" t="str" cm="1">
        <f t="array" ref="E198">Common_InputFunctions.Utility_DisplayArrayInTable(Fertiliser_SourceData.Fertiliser_Products_Data4(),FertiliserProducts[[#Headers],[Company]], 91)</f>
        <v>Wengfu PrimeZinc 10</v>
      </c>
      <c r="F198" s="192" t="str" cm="1">
        <f t="array" ref="F198">Common_InputFunctions.Utility_DisplayArrayInTable(Fertiliser_SourceData.Fertiliser_Products_Data4(),FertiliserProducts[[#Headers],[Company]], 91)</f>
        <v>kg</v>
      </c>
      <c r="G198" s="192" cm="1">
        <f t="array" ref="G198">Common_InputFunctions.Utility_DisplayArrayInTable(Fertiliser_SourceData.Fertiliser_Products_Data4(),FertiliserProducts[[#Headers],[Company]], 91)</f>
        <v>1</v>
      </c>
      <c r="H198" s="192" t="str" cm="1">
        <f t="array" ref="H198">Common_InputFunctions.Utility_DisplayArrayInTable(Fertiliser_SourceData.Fertiliser_Products_Data4(),FertiliserProducts[[#Headers],[Company]], 91)</f>
        <v/>
      </c>
      <c r="I198" s="192" t="str" cm="1">
        <f t="array" ref="I198">Common_InputFunctions.Utility_DisplayArrayInTable(Fertiliser_SourceData.Fertiliser_Products_Data4(),FertiliserProducts[[#Headers],[Company]], 91)</f>
        <v/>
      </c>
      <c r="J198" s="192" t="str" cm="1">
        <f t="array" ref="J198">Common_InputFunctions.Utility_DisplayArrayInTable(Fertiliser_SourceData.Fertiliser_Products_Data4(),FertiliserProducts[[#Headers],[Company]], 91)</f>
        <v/>
      </c>
      <c r="K198" s="192" cm="1">
        <f t="array" ref="K198">Common_InputFunctions.Utility_DisplayArrayInTable(Fertiliser_SourceData.Fertiliser_Products_Data4(),FertiliserProducts[[#Headers],[Company]], 91)</f>
        <v>10</v>
      </c>
      <c r="L198" s="192" cm="1">
        <f t="array" ref="L198">Common_InputFunctions.Utility_DisplayArrayInTable(Fertiliser_SourceData.Fertiliser_Products_Data4(),FertiliserProducts[[#Headers],[Company]], 91)</f>
        <v>22</v>
      </c>
      <c r="M198" s="192" t="str" cm="1">
        <f t="array" ref="M198">Common_InputFunctions.Utility_DisplayArrayInTable(Fertiliser_SourceData.Fertiliser_Products_Data4(),FertiliserProducts[[#Headers],[Company]], 91)</f>
        <v/>
      </c>
      <c r="N198" s="192" cm="1">
        <f t="array" ref="N198">Common_InputFunctions.Utility_DisplayArrayInTable(Fertiliser_SourceData.Fertiliser_Products_Data4(),FertiliserProducts[[#Headers],[Company]], 91)</f>
        <v>1.5</v>
      </c>
      <c r="O198" s="192" t="str" cm="1">
        <f t="array" ref="O198">Common_InputFunctions.Utility_DisplayArrayInTable(Fertiliser_SourceData.Fertiliser_Products_Data4(),FertiliserProducts[[#Headers],[Company]], 91)</f>
        <v>Nitrogen - Generic</v>
      </c>
      <c r="P198" s="192" cm="1">
        <f t="array" ref="P198">Common_InputFunctions.Utility_DisplayArrayInTable(Fertiliser_SourceData.Fertiliser_Products_Data4(),FertiliserProducts[[#Headers],[Company]], 91)</f>
        <v>0.1</v>
      </c>
      <c r="Q198" s="192" t="str" cm="1">
        <f t="array" ref="Q198">Common_InputFunctions.Utility_DisplayArrayInTable(Fertiliser_SourceData.Fertiliser_Products_Data4(),FertiliserProducts[[#Headers],[Company]], 91)</f>
        <v>Phosphorus - Generic</v>
      </c>
      <c r="R198" s="192" cm="1">
        <f t="array" ref="R198">Common_InputFunctions.Utility_DisplayArrayInTable(Fertiliser_SourceData.Fertiliser_Products_Data4(),FertiliserProducts[[#Headers],[Company]], 91)</f>
        <v>0.22</v>
      </c>
      <c r="S198" s="192" t="str" cm="1">
        <f t="array" ref="S198">Common_InputFunctions.Utility_DisplayArrayInTable(Fertiliser_SourceData.Fertiliser_Products_Data4(),FertiliserProducts[[#Headers],[Company]], 91)</f>
        <v>Sulfur - Generic</v>
      </c>
      <c r="T198" s="192" cm="1">
        <f t="array" ref="T198">Common_InputFunctions.Utility_DisplayArrayInTable(Fertiliser_SourceData.Fertiliser_Products_Data4(),FertiliserProducts[[#Headers],[Company]], 91)</f>
        <v>1.4999999999999999E-2</v>
      </c>
      <c r="U198" s="192" t="str" cm="1">
        <f t="array" ref="U198">Common_InputFunctions.Utility_DisplayArrayInTable(Fertiliser_SourceData.Fertiliser_Products_Data4(),FertiliserProducts[[#Headers],[Company]], 91)</f>
        <v>Zinc</v>
      </c>
      <c r="V198" s="192" cm="1">
        <f t="array" ref="V198">Common_InputFunctions.Utility_DisplayArrayInTable(Fertiliser_SourceData.Fertiliser_Products_Data4(),FertiliserProducts[[#Headers],[Company]], 91)</f>
        <v>0.01</v>
      </c>
      <c r="W198" s="192" t="str" cm="1">
        <f t="array" ref="W198">Common_InputFunctions.Utility_DisplayArrayInTable(Fertiliser_SourceData.Fertiliser_Products_Data4(),FertiliserProducts[[#Headers],[Company]], 91)</f>
        <v/>
      </c>
      <c r="X198" s="192" t="str" cm="1">
        <f t="array" ref="X198">Common_InputFunctions.Utility_DisplayArrayInTable(Fertiliser_SourceData.Fertiliser_Products_Data4(),FertiliserProducts[[#Headers],[Company]], 91)</f>
        <v/>
      </c>
      <c r="Y198" s="192" t="str" cm="1">
        <f t="array" ref="Y198">Common_InputFunctions.Utility_DisplayArrayInTable(Fertiliser_SourceData.Fertiliser_Products_Data4(),FertiliserProducts[[#Headers],[Company]], 91)</f>
        <v/>
      </c>
      <c r="Z198" s="192" t="str" cm="1">
        <f t="array" ref="Z198">Common_InputFunctions.Utility_DisplayArrayInTable(Fertiliser_SourceData.Fertiliser_Products_Data4(),FertiliserProducts[[#Headers],[Company]], 91)</f>
        <v/>
      </c>
      <c r="AA198" s="192" t="str" cm="1">
        <f t="array" ref="AA198">Common_InputFunctions.Utility_DisplayArrayInTable(Fertiliser_SourceData.Fertiliser_Products_Data4(),FertiliserProducts[[#Headers],[Company]], 91)</f>
        <v/>
      </c>
      <c r="AB198" s="192" t="str" cm="1">
        <f t="array" ref="AB198">Common_InputFunctions.Utility_DisplayArrayInTable(Fertiliser_SourceData.Fertiliser_Products_Data4(),FertiliserProducts[[#Headers],[Company]], 91)</f>
        <v/>
      </c>
      <c r="AC198" s="192" t="str" cm="1">
        <f t="array" ref="AC198">Common_InputFunctions.Utility_DisplayArrayInTable(Fertiliser_SourceData.Fertiliser_Products_Data4(),FertiliserProducts[[#Headers],[Company]], 91)</f>
        <v/>
      </c>
      <c r="AD198" s="192" t="str" cm="1">
        <f t="array" ref="AD198">Common_InputFunctions.Utility_DisplayArrayInTable(Fertiliser_SourceData.Fertiliser_Products_Data4(),FertiliserProducts[[#Headers],[Company]], 91)</f>
        <v/>
      </c>
      <c r="AE198" s="192" t="str" cm="1">
        <f t="array" ref="AE198">Common_InputFunctions.Utility_DisplayArrayInTable(Fertiliser_SourceData.Fertiliser_Products_Data4(),FertiliserProducts[[#Headers],[Company]], 91)</f>
        <v/>
      </c>
      <c r="AF198" s="192" t="str" cm="1">
        <f t="array" ref="AF198">Common_InputFunctions.Utility_DisplayArrayInTable(Fertiliser_SourceData.Fertiliser_Products_Data4(),FertiliserProducts[[#Headers],[Company]], 91)</f>
        <v/>
      </c>
      <c r="AG198" s="192" t="str" cm="1">
        <f t="array" ref="AG198">Common_InputFunctions.Utility_DisplayArrayInTable(Fertiliser_SourceData.Fertiliser_Products_Data4(),FertiliserProducts[[#Headers],[Company]], 91)</f>
        <v/>
      </c>
      <c r="AH198" s="192" t="str" cm="1">
        <f t="array" ref="AH198">Common_InputFunctions.Utility_DisplayArrayInTable(Fertiliser_SourceData.Fertiliser_Products_Data4(),FertiliserProducts[[#Headers],[Company]], 91)</f>
        <v/>
      </c>
    </row>
    <row r="199" spans="4:34" x14ac:dyDescent="0.25">
      <c r="D199" s="192" t="str" cm="1">
        <f t="array" ref="D199">Common_InputFunctions.Utility_DisplayArrayInTable(Fertiliser_SourceData.Fertiliser_Products_Data4(),FertiliserProducts[[#Headers],[Company]], 91)</f>
        <v>Wengfu Australia</v>
      </c>
      <c r="E199" s="192" t="str" cm="1">
        <f t="array" ref="E199">Common_InputFunctions.Utility_DisplayArrayInTable(Fertiliser_SourceData.Fertiliser_Products_Data4(),FertiliserProducts[[#Headers],[Company]], 91)</f>
        <v>Wengfu Pasture King</v>
      </c>
      <c r="F199" s="192" t="str" cm="1">
        <f t="array" ref="F199">Common_InputFunctions.Utility_DisplayArrayInTable(Fertiliser_SourceData.Fertiliser_Products_Data4(),FertiliserProducts[[#Headers],[Company]], 91)</f>
        <v>kg</v>
      </c>
      <c r="G199" s="192" cm="1">
        <f t="array" ref="G199">Common_InputFunctions.Utility_DisplayArrayInTable(Fertiliser_SourceData.Fertiliser_Products_Data4(),FertiliserProducts[[#Headers],[Company]], 91)</f>
        <v>1</v>
      </c>
      <c r="H199" s="192" t="str" cm="1">
        <f t="array" ref="H199">Common_InputFunctions.Utility_DisplayArrayInTable(Fertiliser_SourceData.Fertiliser_Products_Data4(),FertiliserProducts[[#Headers],[Company]], 91)</f>
        <v/>
      </c>
      <c r="I199" s="192" t="str" cm="1">
        <f t="array" ref="I199">Common_InputFunctions.Utility_DisplayArrayInTable(Fertiliser_SourceData.Fertiliser_Products_Data4(),FertiliserProducts[[#Headers],[Company]], 91)</f>
        <v/>
      </c>
      <c r="J199" s="192" t="str" cm="1">
        <f t="array" ref="J199">Common_InputFunctions.Utility_DisplayArrayInTable(Fertiliser_SourceData.Fertiliser_Products_Data4(),FertiliserProducts[[#Headers],[Company]], 91)</f>
        <v/>
      </c>
      <c r="K199" s="192" t="str" cm="1">
        <f t="array" ref="K199">Common_InputFunctions.Utility_DisplayArrayInTable(Fertiliser_SourceData.Fertiliser_Products_Data4(),FertiliserProducts[[#Headers],[Company]], 91)</f>
        <v/>
      </c>
      <c r="L199" s="192" cm="1">
        <f t="array" ref="L199">Common_InputFunctions.Utility_DisplayArrayInTable(Fertiliser_SourceData.Fertiliser_Products_Data4(),FertiliserProducts[[#Headers],[Company]], 91)</f>
        <v>15.7</v>
      </c>
      <c r="M199" s="192" t="str" cm="1">
        <f t="array" ref="M199">Common_InputFunctions.Utility_DisplayArrayInTable(Fertiliser_SourceData.Fertiliser_Products_Data4(),FertiliserProducts[[#Headers],[Company]], 91)</f>
        <v/>
      </c>
      <c r="N199" s="192" cm="1">
        <f t="array" ref="N199">Common_InputFunctions.Utility_DisplayArrayInTable(Fertiliser_SourceData.Fertiliser_Products_Data4(),FertiliserProducts[[#Headers],[Company]], 91)</f>
        <v>4.5999999999999996</v>
      </c>
      <c r="O199" s="192" t="str" cm="1">
        <f t="array" ref="O199">Common_InputFunctions.Utility_DisplayArrayInTable(Fertiliser_SourceData.Fertiliser_Products_Data4(),FertiliserProducts[[#Headers],[Company]], 91)</f>
        <v>Phosphorus - Generic</v>
      </c>
      <c r="P199" s="192" cm="1">
        <f t="array" ref="P199">Common_InputFunctions.Utility_DisplayArrayInTable(Fertiliser_SourceData.Fertiliser_Products_Data4(),FertiliserProducts[[#Headers],[Company]], 91)</f>
        <v>0.157</v>
      </c>
      <c r="Q199" s="192" t="str" cm="1">
        <f t="array" ref="Q199">Common_InputFunctions.Utility_DisplayArrayInTable(Fertiliser_SourceData.Fertiliser_Products_Data4(),FertiliserProducts[[#Headers],[Company]], 91)</f>
        <v>Sulfur - Generic</v>
      </c>
      <c r="R199" s="192" cm="1">
        <f t="array" ref="R199">Common_InputFunctions.Utility_DisplayArrayInTable(Fertiliser_SourceData.Fertiliser_Products_Data4(),FertiliserProducts[[#Headers],[Company]], 91)</f>
        <v>4.5999999999999999E-2</v>
      </c>
      <c r="S199" s="192" t="str" cm="1">
        <f t="array" ref="S199">Common_InputFunctions.Utility_DisplayArrayInTable(Fertiliser_SourceData.Fertiliser_Products_Data4(),FertiliserProducts[[#Headers],[Company]], 91)</f>
        <v>Calcium</v>
      </c>
      <c r="T199" s="192" cm="1">
        <f t="array" ref="T199">Common_InputFunctions.Utility_DisplayArrayInTable(Fertiliser_SourceData.Fertiliser_Products_Data4(),FertiliserProducts[[#Headers],[Company]], 91)</f>
        <v>0.14000000000000001</v>
      </c>
      <c r="U199" s="192" t="str" cm="1">
        <f t="array" ref="U199">Common_InputFunctions.Utility_DisplayArrayInTable(Fertiliser_SourceData.Fertiliser_Products_Data4(),FertiliserProducts[[#Headers],[Company]], 91)</f>
        <v/>
      </c>
      <c r="V199" s="192" t="str" cm="1">
        <f t="array" ref="V199">Common_InputFunctions.Utility_DisplayArrayInTable(Fertiliser_SourceData.Fertiliser_Products_Data4(),FertiliserProducts[[#Headers],[Company]], 91)</f>
        <v/>
      </c>
      <c r="W199" s="192" t="str" cm="1">
        <f t="array" ref="W199">Common_InputFunctions.Utility_DisplayArrayInTable(Fertiliser_SourceData.Fertiliser_Products_Data4(),FertiliserProducts[[#Headers],[Company]], 91)</f>
        <v/>
      </c>
      <c r="X199" s="192" t="str" cm="1">
        <f t="array" ref="X199">Common_InputFunctions.Utility_DisplayArrayInTable(Fertiliser_SourceData.Fertiliser_Products_Data4(),FertiliserProducts[[#Headers],[Company]], 91)</f>
        <v/>
      </c>
      <c r="Y199" s="192" t="str" cm="1">
        <f t="array" ref="Y199">Common_InputFunctions.Utility_DisplayArrayInTable(Fertiliser_SourceData.Fertiliser_Products_Data4(),FertiliserProducts[[#Headers],[Company]], 91)</f>
        <v/>
      </c>
      <c r="Z199" s="192" t="str" cm="1">
        <f t="array" ref="Z199">Common_InputFunctions.Utility_DisplayArrayInTable(Fertiliser_SourceData.Fertiliser_Products_Data4(),FertiliserProducts[[#Headers],[Company]], 91)</f>
        <v/>
      </c>
      <c r="AA199" s="192" t="str" cm="1">
        <f t="array" ref="AA199">Common_InputFunctions.Utility_DisplayArrayInTable(Fertiliser_SourceData.Fertiliser_Products_Data4(),FertiliserProducts[[#Headers],[Company]], 91)</f>
        <v/>
      </c>
      <c r="AB199" s="192" t="str" cm="1">
        <f t="array" ref="AB199">Common_InputFunctions.Utility_DisplayArrayInTable(Fertiliser_SourceData.Fertiliser_Products_Data4(),FertiliserProducts[[#Headers],[Company]], 91)</f>
        <v/>
      </c>
      <c r="AC199" s="192" t="str" cm="1">
        <f t="array" ref="AC199">Common_InputFunctions.Utility_DisplayArrayInTable(Fertiliser_SourceData.Fertiliser_Products_Data4(),FertiliserProducts[[#Headers],[Company]], 91)</f>
        <v/>
      </c>
      <c r="AD199" s="192" t="str" cm="1">
        <f t="array" ref="AD199">Common_InputFunctions.Utility_DisplayArrayInTable(Fertiliser_SourceData.Fertiliser_Products_Data4(),FertiliserProducts[[#Headers],[Company]], 91)</f>
        <v/>
      </c>
      <c r="AE199" s="192" t="str" cm="1">
        <f t="array" ref="AE199">Common_InputFunctions.Utility_DisplayArrayInTable(Fertiliser_SourceData.Fertiliser_Products_Data4(),FertiliserProducts[[#Headers],[Company]], 91)</f>
        <v/>
      </c>
      <c r="AF199" s="192" t="str" cm="1">
        <f t="array" ref="AF199">Common_InputFunctions.Utility_DisplayArrayInTable(Fertiliser_SourceData.Fertiliser_Products_Data4(),FertiliserProducts[[#Headers],[Company]], 91)</f>
        <v/>
      </c>
      <c r="AG199" s="192" t="str" cm="1">
        <f t="array" ref="AG199">Common_InputFunctions.Utility_DisplayArrayInTable(Fertiliser_SourceData.Fertiliser_Products_Data4(),FertiliserProducts[[#Headers],[Company]], 91)</f>
        <v/>
      </c>
      <c r="AH199" s="192" t="str" cm="1">
        <f t="array" ref="AH199">Common_InputFunctions.Utility_DisplayArrayInTable(Fertiliser_SourceData.Fertiliser_Products_Data4(),FertiliserProducts[[#Headers],[Company]], 91)</f>
        <v/>
      </c>
    </row>
    <row r="200" spans="4:34" x14ac:dyDescent="0.25">
      <c r="D200" s="192" t="str" cm="1">
        <f t="array" ref="D200">Common_InputFunctions.Utility_DisplayArrayInTable(Fertiliser_SourceData.Fertiliser_Products_Data4(),FertiliserProducts[[#Headers],[Company]], 91)</f>
        <v>Wengfu Australia</v>
      </c>
      <c r="E200" s="192" t="str" cm="1">
        <f t="array" ref="E200">Common_InputFunctions.Utility_DisplayArrayInTable(Fertiliser_SourceData.Fertiliser_Products_Data4(),FertiliserProducts[[#Headers],[Company]], 91)</f>
        <v>Wengfu SuStain</v>
      </c>
      <c r="F200" s="192" t="str" cm="1">
        <f t="array" ref="F200">Common_InputFunctions.Utility_DisplayArrayInTable(Fertiliser_SourceData.Fertiliser_Products_Data4(),FertiliserProducts[[#Headers],[Company]], 91)</f>
        <v>kg</v>
      </c>
      <c r="G200" s="192" cm="1">
        <f t="array" ref="G200">Common_InputFunctions.Utility_DisplayArrayInTable(Fertiliser_SourceData.Fertiliser_Products_Data4(),FertiliserProducts[[#Headers],[Company]], 91)</f>
        <v>1</v>
      </c>
      <c r="H200" s="192" t="str" cm="1">
        <f t="array" ref="H200">Common_InputFunctions.Utility_DisplayArrayInTable(Fertiliser_SourceData.Fertiliser_Products_Data4(),FertiliserProducts[[#Headers],[Company]], 91)</f>
        <v/>
      </c>
      <c r="I200" s="192" t="str" cm="1">
        <f t="array" ref="I200">Common_InputFunctions.Utility_DisplayArrayInTable(Fertiliser_SourceData.Fertiliser_Products_Data4(),FertiliserProducts[[#Headers],[Company]], 91)</f>
        <v/>
      </c>
      <c r="J200" s="192" t="str" cm="1">
        <f t="array" ref="J200">Common_InputFunctions.Utility_DisplayArrayInTable(Fertiliser_SourceData.Fertiliser_Products_Data4(),FertiliserProducts[[#Headers],[Company]], 91)</f>
        <v/>
      </c>
      <c r="K200" s="192" t="str" cm="1">
        <f t="array" ref="K200">Common_InputFunctions.Utility_DisplayArrayInTable(Fertiliser_SourceData.Fertiliser_Products_Data4(),FertiliserProducts[[#Headers],[Company]], 91)</f>
        <v/>
      </c>
      <c r="L200" s="192" t="str" cm="1">
        <f t="array" ref="L200">Common_InputFunctions.Utility_DisplayArrayInTable(Fertiliser_SourceData.Fertiliser_Products_Data4(),FertiliserProducts[[#Headers],[Company]], 91)</f>
        <v/>
      </c>
      <c r="M200" s="192" t="str" cm="1">
        <f t="array" ref="M200">Common_InputFunctions.Utility_DisplayArrayInTable(Fertiliser_SourceData.Fertiliser_Products_Data4(),FertiliserProducts[[#Headers],[Company]], 91)</f>
        <v/>
      </c>
      <c r="N200" s="192" cm="1">
        <f t="array" ref="N200">Common_InputFunctions.Utility_DisplayArrayInTable(Fertiliser_SourceData.Fertiliser_Products_Data4(),FertiliserProducts[[#Headers],[Company]], 91)</f>
        <v>90</v>
      </c>
      <c r="O200" s="192" t="str" cm="1">
        <f t="array" ref="O200">Common_InputFunctions.Utility_DisplayArrayInTable(Fertiliser_SourceData.Fertiliser_Products_Data4(),FertiliserProducts[[#Headers],[Company]], 91)</f>
        <v>Sulfur - Generic</v>
      </c>
      <c r="P200" s="192" cm="1">
        <f t="array" ref="P200">Common_InputFunctions.Utility_DisplayArrayInTable(Fertiliser_SourceData.Fertiliser_Products_Data4(),FertiliserProducts[[#Headers],[Company]], 91)</f>
        <v>0.9</v>
      </c>
      <c r="Q200" s="192" t="str" cm="1">
        <f t="array" ref="Q200">Common_InputFunctions.Utility_DisplayArrayInTable(Fertiliser_SourceData.Fertiliser_Products_Data4(),FertiliserProducts[[#Headers],[Company]], 91)</f>
        <v/>
      </c>
      <c r="R200" s="192" t="str" cm="1">
        <f t="array" ref="R200">Common_InputFunctions.Utility_DisplayArrayInTable(Fertiliser_SourceData.Fertiliser_Products_Data4(),FertiliserProducts[[#Headers],[Company]], 91)</f>
        <v/>
      </c>
      <c r="S200" s="192" t="str" cm="1">
        <f t="array" ref="S200">Common_InputFunctions.Utility_DisplayArrayInTable(Fertiliser_SourceData.Fertiliser_Products_Data4(),FertiliserProducts[[#Headers],[Company]], 91)</f>
        <v/>
      </c>
      <c r="T200" s="192" t="str" cm="1">
        <f t="array" ref="T200">Common_InputFunctions.Utility_DisplayArrayInTable(Fertiliser_SourceData.Fertiliser_Products_Data4(),FertiliserProducts[[#Headers],[Company]], 91)</f>
        <v/>
      </c>
      <c r="U200" s="192" t="str" cm="1">
        <f t="array" ref="U200">Common_InputFunctions.Utility_DisplayArrayInTable(Fertiliser_SourceData.Fertiliser_Products_Data4(),FertiliserProducts[[#Headers],[Company]], 91)</f>
        <v/>
      </c>
      <c r="V200" s="192" t="str" cm="1">
        <f t="array" ref="V200">Common_InputFunctions.Utility_DisplayArrayInTable(Fertiliser_SourceData.Fertiliser_Products_Data4(),FertiliserProducts[[#Headers],[Company]], 91)</f>
        <v/>
      </c>
      <c r="W200" s="192" t="str" cm="1">
        <f t="array" ref="W200">Common_InputFunctions.Utility_DisplayArrayInTable(Fertiliser_SourceData.Fertiliser_Products_Data4(),FertiliserProducts[[#Headers],[Company]], 91)</f>
        <v/>
      </c>
      <c r="X200" s="192" t="str" cm="1">
        <f t="array" ref="X200">Common_InputFunctions.Utility_DisplayArrayInTable(Fertiliser_SourceData.Fertiliser_Products_Data4(),FertiliserProducts[[#Headers],[Company]], 91)</f>
        <v/>
      </c>
      <c r="Y200" s="192" t="str" cm="1">
        <f t="array" ref="Y200">Common_InputFunctions.Utility_DisplayArrayInTable(Fertiliser_SourceData.Fertiliser_Products_Data4(),FertiliserProducts[[#Headers],[Company]], 91)</f>
        <v/>
      </c>
      <c r="Z200" s="192" t="str" cm="1">
        <f t="array" ref="Z200">Common_InputFunctions.Utility_DisplayArrayInTable(Fertiliser_SourceData.Fertiliser_Products_Data4(),FertiliserProducts[[#Headers],[Company]], 91)</f>
        <v/>
      </c>
      <c r="AA200" s="192" t="str" cm="1">
        <f t="array" ref="AA200">Common_InputFunctions.Utility_DisplayArrayInTable(Fertiliser_SourceData.Fertiliser_Products_Data4(),FertiliserProducts[[#Headers],[Company]], 91)</f>
        <v/>
      </c>
      <c r="AB200" s="192" t="str" cm="1">
        <f t="array" ref="AB200">Common_InputFunctions.Utility_DisplayArrayInTable(Fertiliser_SourceData.Fertiliser_Products_Data4(),FertiliserProducts[[#Headers],[Company]], 91)</f>
        <v/>
      </c>
      <c r="AC200" s="192" t="str" cm="1">
        <f t="array" ref="AC200">Common_InputFunctions.Utility_DisplayArrayInTable(Fertiliser_SourceData.Fertiliser_Products_Data4(),FertiliserProducts[[#Headers],[Company]], 91)</f>
        <v/>
      </c>
      <c r="AD200" s="192" t="str" cm="1">
        <f t="array" ref="AD200">Common_InputFunctions.Utility_DisplayArrayInTable(Fertiliser_SourceData.Fertiliser_Products_Data4(),FertiliserProducts[[#Headers],[Company]], 91)</f>
        <v/>
      </c>
      <c r="AE200" s="192" t="str" cm="1">
        <f t="array" ref="AE200">Common_InputFunctions.Utility_DisplayArrayInTable(Fertiliser_SourceData.Fertiliser_Products_Data4(),FertiliserProducts[[#Headers],[Company]], 91)</f>
        <v/>
      </c>
      <c r="AF200" s="192" t="str" cm="1">
        <f t="array" ref="AF200">Common_InputFunctions.Utility_DisplayArrayInTable(Fertiliser_SourceData.Fertiliser_Products_Data4(),FertiliserProducts[[#Headers],[Company]], 91)</f>
        <v/>
      </c>
      <c r="AG200" s="192" t="str" cm="1">
        <f t="array" ref="AG200">Common_InputFunctions.Utility_DisplayArrayInTable(Fertiliser_SourceData.Fertiliser_Products_Data4(),FertiliserProducts[[#Headers],[Company]], 91)</f>
        <v/>
      </c>
      <c r="AH200" s="192" t="str" cm="1">
        <f t="array" ref="AH200">Common_InputFunctions.Utility_DisplayArrayInTable(Fertiliser_SourceData.Fertiliser_Products_Data4(),FertiliserProducts[[#Headers],[Company]], 91)</f>
        <v/>
      </c>
    </row>
    <row r="201" spans="4:34" x14ac:dyDescent="0.25">
      <c r="D201" s="192" t="str" cm="1">
        <f t="array" ref="D201">Common_InputFunctions.Utility_DisplayArrayInTable(Fertiliser_SourceData.Fertiliser_Products_Data4(),FertiliserProducts[[#Headers],[Company]], 91)</f>
        <v>Wengfu Australia</v>
      </c>
      <c r="E201" s="192" t="str" cm="1">
        <f t="array" ref="E201">Common_InputFunctions.Utility_DisplayArrayInTable(Fertiliser_SourceData.Fertiliser_Products_Data4(),FertiliserProducts[[#Headers],[Company]], 91)</f>
        <v>Wengfu Slam</v>
      </c>
      <c r="F201" s="192" t="str" cm="1">
        <f t="array" ref="F201">Common_InputFunctions.Utility_DisplayArrayInTable(Fertiliser_SourceData.Fertiliser_Products_Data4(),FertiliserProducts[[#Headers],[Company]], 91)</f>
        <v>kg</v>
      </c>
      <c r="G201" s="192" cm="1">
        <f t="array" ref="G201">Common_InputFunctions.Utility_DisplayArrayInTable(Fertiliser_SourceData.Fertiliser_Products_Data4(),FertiliserProducts[[#Headers],[Company]], 91)</f>
        <v>1</v>
      </c>
      <c r="H201" s="192" t="str" cm="1">
        <f t="array" ref="H201">Common_InputFunctions.Utility_DisplayArrayInTable(Fertiliser_SourceData.Fertiliser_Products_Data4(),FertiliserProducts[[#Headers],[Company]], 91)</f>
        <v/>
      </c>
      <c r="I201" s="192" t="str" cm="1">
        <f t="array" ref="I201">Common_InputFunctions.Utility_DisplayArrayInTable(Fertiliser_SourceData.Fertiliser_Products_Data4(),FertiliserProducts[[#Headers],[Company]], 91)</f>
        <v/>
      </c>
      <c r="J201" s="192" t="str" cm="1">
        <f t="array" ref="J201">Common_InputFunctions.Utility_DisplayArrayInTable(Fertiliser_SourceData.Fertiliser_Products_Data4(),FertiliserProducts[[#Headers],[Company]], 91)</f>
        <v/>
      </c>
      <c r="K201" s="192" cm="1">
        <f t="array" ref="K201">Common_InputFunctions.Utility_DisplayArrayInTable(Fertiliser_SourceData.Fertiliser_Products_Data4(),FertiliserProducts[[#Headers],[Company]], 91)</f>
        <v>19.5</v>
      </c>
      <c r="L201" s="192" cm="1">
        <f t="array" ref="L201">Common_InputFunctions.Utility_DisplayArrayInTable(Fertiliser_SourceData.Fertiliser_Products_Data4(),FertiliserProducts[[#Headers],[Company]], 91)</f>
        <v>0.7</v>
      </c>
      <c r="M201" s="192" t="str" cm="1">
        <f t="array" ref="M201">Common_InputFunctions.Utility_DisplayArrayInTable(Fertiliser_SourceData.Fertiliser_Products_Data4(),FertiliserProducts[[#Headers],[Company]], 91)</f>
        <v/>
      </c>
      <c r="N201" s="192" cm="1">
        <f t="array" ref="N201">Common_InputFunctions.Utility_DisplayArrayInTable(Fertiliser_SourceData.Fertiliser_Products_Data4(),FertiliserProducts[[#Headers],[Company]], 91)</f>
        <v>23</v>
      </c>
      <c r="O201" s="192" t="str" cm="1">
        <f t="array" ref="O201">Common_InputFunctions.Utility_DisplayArrayInTable(Fertiliser_SourceData.Fertiliser_Products_Data4(),FertiliserProducts[[#Headers],[Company]], 91)</f>
        <v>Nitrogen - Generic</v>
      </c>
      <c r="P201" s="192" cm="1">
        <f t="array" ref="P201">Common_InputFunctions.Utility_DisplayArrayInTable(Fertiliser_SourceData.Fertiliser_Products_Data4(),FertiliserProducts[[#Headers],[Company]], 91)</f>
        <v>0.19500000000000001</v>
      </c>
      <c r="Q201" s="192" t="str" cm="1">
        <f t="array" ref="Q201">Common_InputFunctions.Utility_DisplayArrayInTable(Fertiliser_SourceData.Fertiliser_Products_Data4(),FertiliserProducts[[#Headers],[Company]], 91)</f>
        <v>Phosphorus - Generic</v>
      </c>
      <c r="R201" s="192" cm="1">
        <f t="array" ref="R201">Common_InputFunctions.Utility_DisplayArrayInTable(Fertiliser_SourceData.Fertiliser_Products_Data4(),FertiliserProducts[[#Headers],[Company]], 91)</f>
        <v>7.0000000000000001E-3</v>
      </c>
      <c r="S201" s="192" t="str" cm="1">
        <f t="array" ref="S201">Common_InputFunctions.Utility_DisplayArrayInTable(Fertiliser_SourceData.Fertiliser_Products_Data4(),FertiliserProducts[[#Headers],[Company]], 91)</f>
        <v>Sulfur - Generic</v>
      </c>
      <c r="T201" s="192" cm="1">
        <f t="array" ref="T201">Common_InputFunctions.Utility_DisplayArrayInTable(Fertiliser_SourceData.Fertiliser_Products_Data4(),FertiliserProducts[[#Headers],[Company]], 91)</f>
        <v>0.23</v>
      </c>
      <c r="U201" s="192" t="str" cm="1">
        <f t="array" ref="U201">Common_InputFunctions.Utility_DisplayArrayInTable(Fertiliser_SourceData.Fertiliser_Products_Data4(),FertiliserProducts[[#Headers],[Company]], 91)</f>
        <v/>
      </c>
      <c r="V201" s="192" t="str" cm="1">
        <f t="array" ref="V201">Common_InputFunctions.Utility_DisplayArrayInTable(Fertiliser_SourceData.Fertiliser_Products_Data4(),FertiliserProducts[[#Headers],[Company]], 91)</f>
        <v/>
      </c>
      <c r="W201" s="192" t="str" cm="1">
        <f t="array" ref="W201">Common_InputFunctions.Utility_DisplayArrayInTable(Fertiliser_SourceData.Fertiliser_Products_Data4(),FertiliserProducts[[#Headers],[Company]], 91)</f>
        <v/>
      </c>
      <c r="X201" s="192" t="str" cm="1">
        <f t="array" ref="X201">Common_InputFunctions.Utility_DisplayArrayInTable(Fertiliser_SourceData.Fertiliser_Products_Data4(),FertiliserProducts[[#Headers],[Company]], 91)</f>
        <v/>
      </c>
      <c r="Y201" s="192" t="str" cm="1">
        <f t="array" ref="Y201">Common_InputFunctions.Utility_DisplayArrayInTable(Fertiliser_SourceData.Fertiliser_Products_Data4(),FertiliserProducts[[#Headers],[Company]], 91)</f>
        <v/>
      </c>
      <c r="Z201" s="192" t="str" cm="1">
        <f t="array" ref="Z201">Common_InputFunctions.Utility_DisplayArrayInTable(Fertiliser_SourceData.Fertiliser_Products_Data4(),FertiliserProducts[[#Headers],[Company]], 91)</f>
        <v/>
      </c>
      <c r="AA201" s="192" t="str" cm="1">
        <f t="array" ref="AA201">Common_InputFunctions.Utility_DisplayArrayInTable(Fertiliser_SourceData.Fertiliser_Products_Data4(),FertiliserProducts[[#Headers],[Company]], 91)</f>
        <v/>
      </c>
      <c r="AB201" s="192" t="str" cm="1">
        <f t="array" ref="AB201">Common_InputFunctions.Utility_DisplayArrayInTable(Fertiliser_SourceData.Fertiliser_Products_Data4(),FertiliserProducts[[#Headers],[Company]], 91)</f>
        <v/>
      </c>
      <c r="AC201" s="192" t="str" cm="1">
        <f t="array" ref="AC201">Common_InputFunctions.Utility_DisplayArrayInTable(Fertiliser_SourceData.Fertiliser_Products_Data4(),FertiliserProducts[[#Headers],[Company]], 91)</f>
        <v/>
      </c>
      <c r="AD201" s="192" t="str" cm="1">
        <f t="array" ref="AD201">Common_InputFunctions.Utility_DisplayArrayInTable(Fertiliser_SourceData.Fertiliser_Products_Data4(),FertiliserProducts[[#Headers],[Company]], 91)</f>
        <v/>
      </c>
      <c r="AE201" s="192" t="str" cm="1">
        <f t="array" ref="AE201">Common_InputFunctions.Utility_DisplayArrayInTable(Fertiliser_SourceData.Fertiliser_Products_Data4(),FertiliserProducts[[#Headers],[Company]], 91)</f>
        <v/>
      </c>
      <c r="AF201" s="192" t="str" cm="1">
        <f t="array" ref="AF201">Common_InputFunctions.Utility_DisplayArrayInTable(Fertiliser_SourceData.Fertiliser_Products_Data4(),FertiliserProducts[[#Headers],[Company]], 91)</f>
        <v/>
      </c>
      <c r="AG201" s="192" t="str" cm="1">
        <f t="array" ref="AG201">Common_InputFunctions.Utility_DisplayArrayInTable(Fertiliser_SourceData.Fertiliser_Products_Data4(),FertiliserProducts[[#Headers],[Company]], 91)</f>
        <v/>
      </c>
      <c r="AH201" s="192" t="str" cm="1">
        <f t="array" ref="AH201">Common_InputFunctions.Utility_DisplayArrayInTable(Fertiliser_SourceData.Fertiliser_Products_Data4(),FertiliserProducts[[#Headers],[Company]], 91)</f>
        <v/>
      </c>
    </row>
    <row r="202" spans="4:34" x14ac:dyDescent="0.25">
      <c r="D202" s="192" t="str" cm="1">
        <f t="array" ref="D202">Common_InputFunctions.Utility_DisplayArrayInTable(Fertiliser_SourceData.Fertiliser_Products_Data4(),FertiliserProducts[[#Headers],[Company]], 91)</f>
        <v>Wengfu Australia</v>
      </c>
      <c r="E202" s="192" t="str" cm="1">
        <f t="array" ref="E202">Common_InputFunctions.Utility_DisplayArrayInTable(Fertiliser_SourceData.Fertiliser_Products_Data4(),FertiliserProducts[[#Headers],[Company]], 91)</f>
        <v>Wengfu Prime MSZ</v>
      </c>
      <c r="F202" s="192" t="str" cm="1">
        <f t="array" ref="F202">Common_InputFunctions.Utility_DisplayArrayInTable(Fertiliser_SourceData.Fertiliser_Products_Data4(),FertiliserProducts[[#Headers],[Company]], 91)</f>
        <v>kg</v>
      </c>
      <c r="G202" s="192" cm="1">
        <f t="array" ref="G202">Common_InputFunctions.Utility_DisplayArrayInTable(Fertiliser_SourceData.Fertiliser_Products_Data4(),FertiliserProducts[[#Headers],[Company]], 91)</f>
        <v>1</v>
      </c>
      <c r="H202" s="192" t="str" cm="1">
        <f t="array" ref="H202">Common_InputFunctions.Utility_DisplayArrayInTable(Fertiliser_SourceData.Fertiliser_Products_Data4(),FertiliserProducts[[#Headers],[Company]], 91)</f>
        <v/>
      </c>
      <c r="I202" s="192" t="str" cm="1">
        <f t="array" ref="I202">Common_InputFunctions.Utility_DisplayArrayInTable(Fertiliser_SourceData.Fertiliser_Products_Data4(),FertiliserProducts[[#Headers],[Company]], 91)</f>
        <v/>
      </c>
      <c r="J202" s="192" t="str" cm="1">
        <f t="array" ref="J202">Common_InputFunctions.Utility_DisplayArrayInTable(Fertiliser_SourceData.Fertiliser_Products_Data4(),FertiliserProducts[[#Headers],[Company]], 91)</f>
        <v/>
      </c>
      <c r="K202" s="192" cm="1">
        <f t="array" ref="K202">Common_InputFunctions.Utility_DisplayArrayInTable(Fertiliser_SourceData.Fertiliser_Products_Data4(),FertiliserProducts[[#Headers],[Company]], 91)</f>
        <v>10</v>
      </c>
      <c r="L202" s="192" cm="1">
        <f t="array" ref="L202">Common_InputFunctions.Utility_DisplayArrayInTable(Fertiliser_SourceData.Fertiliser_Products_Data4(),FertiliserProducts[[#Headers],[Company]], 91)</f>
        <v>18</v>
      </c>
      <c r="M202" s="192" t="str" cm="1">
        <f t="array" ref="M202">Common_InputFunctions.Utility_DisplayArrayInTable(Fertiliser_SourceData.Fertiliser_Products_Data4(),FertiliserProducts[[#Headers],[Company]], 91)</f>
        <v/>
      </c>
      <c r="N202" s="192" cm="1">
        <f t="array" ref="N202">Common_InputFunctions.Utility_DisplayArrayInTable(Fertiliser_SourceData.Fertiliser_Products_Data4(),FertiliserProducts[[#Headers],[Company]], 91)</f>
        <v>8</v>
      </c>
      <c r="O202" s="192" t="str" cm="1">
        <f t="array" ref="O202">Common_InputFunctions.Utility_DisplayArrayInTable(Fertiliser_SourceData.Fertiliser_Products_Data4(),FertiliserProducts[[#Headers],[Company]], 91)</f>
        <v>Nitrogen - Generic</v>
      </c>
      <c r="P202" s="192" cm="1">
        <f t="array" ref="P202">Common_InputFunctions.Utility_DisplayArrayInTable(Fertiliser_SourceData.Fertiliser_Products_Data4(),FertiliserProducts[[#Headers],[Company]], 91)</f>
        <v>0.1</v>
      </c>
      <c r="Q202" s="192" t="str" cm="1">
        <f t="array" ref="Q202">Common_InputFunctions.Utility_DisplayArrayInTable(Fertiliser_SourceData.Fertiliser_Products_Data4(),FertiliserProducts[[#Headers],[Company]], 91)</f>
        <v>Phosphorus - Generic</v>
      </c>
      <c r="R202" s="192" cm="1">
        <f t="array" ref="R202">Common_InputFunctions.Utility_DisplayArrayInTable(Fertiliser_SourceData.Fertiliser_Products_Data4(),FertiliserProducts[[#Headers],[Company]], 91)</f>
        <v>0.18</v>
      </c>
      <c r="S202" s="192" t="str" cm="1">
        <f t="array" ref="S202">Common_InputFunctions.Utility_DisplayArrayInTable(Fertiliser_SourceData.Fertiliser_Products_Data4(),FertiliserProducts[[#Headers],[Company]], 91)</f>
        <v>Sulfur - Generic</v>
      </c>
      <c r="T202" s="192" cm="1">
        <f t="array" ref="T202">Common_InputFunctions.Utility_DisplayArrayInTable(Fertiliser_SourceData.Fertiliser_Products_Data4(),FertiliserProducts[[#Headers],[Company]], 91)</f>
        <v>0.08</v>
      </c>
      <c r="U202" s="192" t="str" cm="1">
        <f t="array" ref="U202">Common_InputFunctions.Utility_DisplayArrayInTable(Fertiliser_SourceData.Fertiliser_Products_Data4(),FertiliserProducts[[#Headers],[Company]], 91)</f>
        <v>Zinc</v>
      </c>
      <c r="V202" s="192" cm="1">
        <f t="array" ref="V202">Common_InputFunctions.Utility_DisplayArrayInTable(Fertiliser_SourceData.Fertiliser_Products_Data4(),FertiliserProducts[[#Headers],[Company]], 91)</f>
        <v>5.0000000000000001E-3</v>
      </c>
      <c r="W202" s="192" t="str" cm="1">
        <f t="array" ref="W202">Common_InputFunctions.Utility_DisplayArrayInTable(Fertiliser_SourceData.Fertiliser_Products_Data4(),FertiliserProducts[[#Headers],[Company]], 91)</f>
        <v/>
      </c>
      <c r="X202" s="192" t="str" cm="1">
        <f t="array" ref="X202">Common_InputFunctions.Utility_DisplayArrayInTable(Fertiliser_SourceData.Fertiliser_Products_Data4(),FertiliserProducts[[#Headers],[Company]], 91)</f>
        <v/>
      </c>
      <c r="Y202" s="192" t="str" cm="1">
        <f t="array" ref="Y202">Common_InputFunctions.Utility_DisplayArrayInTable(Fertiliser_SourceData.Fertiliser_Products_Data4(),FertiliserProducts[[#Headers],[Company]], 91)</f>
        <v/>
      </c>
      <c r="Z202" s="192" t="str" cm="1">
        <f t="array" ref="Z202">Common_InputFunctions.Utility_DisplayArrayInTable(Fertiliser_SourceData.Fertiliser_Products_Data4(),FertiliserProducts[[#Headers],[Company]], 91)</f>
        <v/>
      </c>
      <c r="AA202" s="192" t="str" cm="1">
        <f t="array" ref="AA202">Common_InputFunctions.Utility_DisplayArrayInTable(Fertiliser_SourceData.Fertiliser_Products_Data4(),FertiliserProducts[[#Headers],[Company]], 91)</f>
        <v/>
      </c>
      <c r="AB202" s="192" t="str" cm="1">
        <f t="array" ref="AB202">Common_InputFunctions.Utility_DisplayArrayInTable(Fertiliser_SourceData.Fertiliser_Products_Data4(),FertiliserProducts[[#Headers],[Company]], 91)</f>
        <v/>
      </c>
      <c r="AC202" s="192" t="str" cm="1">
        <f t="array" ref="AC202">Common_InputFunctions.Utility_DisplayArrayInTable(Fertiliser_SourceData.Fertiliser_Products_Data4(),FertiliserProducts[[#Headers],[Company]], 91)</f>
        <v/>
      </c>
      <c r="AD202" s="192" t="str" cm="1">
        <f t="array" ref="AD202">Common_InputFunctions.Utility_DisplayArrayInTable(Fertiliser_SourceData.Fertiliser_Products_Data4(),FertiliserProducts[[#Headers],[Company]], 91)</f>
        <v/>
      </c>
      <c r="AE202" s="192" t="str" cm="1">
        <f t="array" ref="AE202">Common_InputFunctions.Utility_DisplayArrayInTable(Fertiliser_SourceData.Fertiliser_Products_Data4(),FertiliserProducts[[#Headers],[Company]], 91)</f>
        <v/>
      </c>
      <c r="AF202" s="192" t="str" cm="1">
        <f t="array" ref="AF202">Common_InputFunctions.Utility_DisplayArrayInTable(Fertiliser_SourceData.Fertiliser_Products_Data4(),FertiliserProducts[[#Headers],[Company]], 91)</f>
        <v/>
      </c>
      <c r="AG202" s="192" t="str" cm="1">
        <f t="array" ref="AG202">Common_InputFunctions.Utility_DisplayArrayInTable(Fertiliser_SourceData.Fertiliser_Products_Data4(),FertiliserProducts[[#Headers],[Company]], 91)</f>
        <v/>
      </c>
      <c r="AH202" s="192" t="str" cm="1">
        <f t="array" ref="AH202">Common_InputFunctions.Utility_DisplayArrayInTable(Fertiliser_SourceData.Fertiliser_Products_Data4(),FertiliserProducts[[#Headers],[Company]], 91)</f>
        <v/>
      </c>
    </row>
    <row r="203" spans="4:34" x14ac:dyDescent="0.25">
      <c r="D203" s="192" t="str" cm="1">
        <f t="array" ref="D203">Common_InputFunctions.Utility_DisplayArrayInTable(Fertiliser_SourceData.Fertiliser_Products_Data4(),FertiliserProducts[[#Headers],[Company]], 91)</f>
        <v>Wengfu Australia</v>
      </c>
      <c r="E203" s="192" t="str" cm="1">
        <f t="array" ref="E203">Common_InputFunctions.Utility_DisplayArrayInTable(Fertiliser_SourceData.Fertiliser_Products_Data4(),FertiliserProducts[[#Headers],[Company]], 91)</f>
        <v>Wengfu 9-20-0-10 MAP SuStain</v>
      </c>
      <c r="F203" s="192" t="str" cm="1">
        <f t="array" ref="F203">Common_InputFunctions.Utility_DisplayArrayInTable(Fertiliser_SourceData.Fertiliser_Products_Data4(),FertiliserProducts[[#Headers],[Company]], 91)</f>
        <v>kg</v>
      </c>
      <c r="G203" s="192" cm="1">
        <f t="array" ref="G203">Common_InputFunctions.Utility_DisplayArrayInTable(Fertiliser_SourceData.Fertiliser_Products_Data4(),FertiliserProducts[[#Headers],[Company]], 91)</f>
        <v>1</v>
      </c>
      <c r="H203" s="192" t="str" cm="1">
        <f t="array" ref="H203">Common_InputFunctions.Utility_DisplayArrayInTable(Fertiliser_SourceData.Fertiliser_Products_Data4(),FertiliserProducts[[#Headers],[Company]], 91)</f>
        <v/>
      </c>
      <c r="I203" s="192" t="str" cm="1">
        <f t="array" ref="I203">Common_InputFunctions.Utility_DisplayArrayInTable(Fertiliser_SourceData.Fertiliser_Products_Data4(),FertiliserProducts[[#Headers],[Company]], 91)</f>
        <v/>
      </c>
      <c r="J203" s="192" t="str" cm="1">
        <f t="array" ref="J203">Common_InputFunctions.Utility_DisplayArrayInTable(Fertiliser_SourceData.Fertiliser_Products_Data4(),FertiliserProducts[[#Headers],[Company]], 91)</f>
        <v/>
      </c>
      <c r="K203" s="192" cm="1">
        <f t="array" ref="K203">Common_InputFunctions.Utility_DisplayArrayInTable(Fertiliser_SourceData.Fertiliser_Products_Data4(),FertiliserProducts[[#Headers],[Company]], 91)</f>
        <v>9</v>
      </c>
      <c r="L203" s="192" cm="1">
        <f t="array" ref="L203">Common_InputFunctions.Utility_DisplayArrayInTable(Fertiliser_SourceData.Fertiliser_Products_Data4(),FertiliserProducts[[#Headers],[Company]], 91)</f>
        <v>19.8</v>
      </c>
      <c r="M203" s="192" cm="1">
        <f t="array" ref="M203">Common_InputFunctions.Utility_DisplayArrayInTable(Fertiliser_SourceData.Fertiliser_Products_Data4(),FertiliserProducts[[#Headers],[Company]], 91)</f>
        <v>0</v>
      </c>
      <c r="N203" s="192" cm="1">
        <f t="array" ref="N203">Common_InputFunctions.Utility_DisplayArrayInTable(Fertiliser_SourceData.Fertiliser_Products_Data4(),FertiliserProducts[[#Headers],[Company]], 91)</f>
        <v>10.4</v>
      </c>
      <c r="O203" s="192" t="str" cm="1">
        <f t="array" ref="O203">Common_InputFunctions.Utility_DisplayArrayInTable(Fertiliser_SourceData.Fertiliser_Products_Data4(),FertiliserProducts[[#Headers],[Company]], 91)</f>
        <v>Nitrogen - Generic</v>
      </c>
      <c r="P203" s="192" cm="1">
        <f t="array" ref="P203">Common_InputFunctions.Utility_DisplayArrayInTable(Fertiliser_SourceData.Fertiliser_Products_Data4(),FertiliserProducts[[#Headers],[Company]], 91)</f>
        <v>0.09</v>
      </c>
      <c r="Q203" s="192" t="str" cm="1">
        <f t="array" ref="Q203">Common_InputFunctions.Utility_DisplayArrayInTable(Fertiliser_SourceData.Fertiliser_Products_Data4(),FertiliserProducts[[#Headers],[Company]], 91)</f>
        <v>Phosphorus - Generic</v>
      </c>
      <c r="R203" s="192" cm="1">
        <f t="array" ref="R203">Common_InputFunctions.Utility_DisplayArrayInTable(Fertiliser_SourceData.Fertiliser_Products_Data4(),FertiliserProducts[[#Headers],[Company]], 91)</f>
        <v>0.19800000000000001</v>
      </c>
      <c r="S203" s="192" t="str" cm="1">
        <f t="array" ref="S203">Common_InputFunctions.Utility_DisplayArrayInTable(Fertiliser_SourceData.Fertiliser_Products_Data4(),FertiliserProducts[[#Headers],[Company]], 91)</f>
        <v>Sulfur - Generic</v>
      </c>
      <c r="T203" s="192" cm="1">
        <f t="array" ref="T203">Common_InputFunctions.Utility_DisplayArrayInTable(Fertiliser_SourceData.Fertiliser_Products_Data4(),FertiliserProducts[[#Headers],[Company]], 91)</f>
        <v>0.104</v>
      </c>
      <c r="U203" s="192" t="str" cm="1">
        <f t="array" ref="U203">Common_InputFunctions.Utility_DisplayArrayInTable(Fertiliser_SourceData.Fertiliser_Products_Data4(),FertiliserProducts[[#Headers],[Company]], 91)</f>
        <v/>
      </c>
      <c r="V203" s="192" t="str" cm="1">
        <f t="array" ref="V203">Common_InputFunctions.Utility_DisplayArrayInTable(Fertiliser_SourceData.Fertiliser_Products_Data4(),FertiliserProducts[[#Headers],[Company]], 91)</f>
        <v/>
      </c>
      <c r="W203" s="192" t="str" cm="1">
        <f t="array" ref="W203">Common_InputFunctions.Utility_DisplayArrayInTable(Fertiliser_SourceData.Fertiliser_Products_Data4(),FertiliserProducts[[#Headers],[Company]], 91)</f>
        <v/>
      </c>
      <c r="X203" s="192" t="str" cm="1">
        <f t="array" ref="X203">Common_InputFunctions.Utility_DisplayArrayInTable(Fertiliser_SourceData.Fertiliser_Products_Data4(),FertiliserProducts[[#Headers],[Company]], 91)</f>
        <v/>
      </c>
      <c r="Y203" s="192" t="str" cm="1">
        <f t="array" ref="Y203">Common_InputFunctions.Utility_DisplayArrayInTable(Fertiliser_SourceData.Fertiliser_Products_Data4(),FertiliserProducts[[#Headers],[Company]], 91)</f>
        <v/>
      </c>
      <c r="Z203" s="192" t="str" cm="1">
        <f t="array" ref="Z203">Common_InputFunctions.Utility_DisplayArrayInTable(Fertiliser_SourceData.Fertiliser_Products_Data4(),FertiliserProducts[[#Headers],[Company]], 91)</f>
        <v/>
      </c>
      <c r="AA203" s="192" t="str" cm="1">
        <f t="array" ref="AA203">Common_InputFunctions.Utility_DisplayArrayInTable(Fertiliser_SourceData.Fertiliser_Products_Data4(),FertiliserProducts[[#Headers],[Company]], 91)</f>
        <v/>
      </c>
      <c r="AB203" s="192" t="str" cm="1">
        <f t="array" ref="AB203">Common_InputFunctions.Utility_DisplayArrayInTable(Fertiliser_SourceData.Fertiliser_Products_Data4(),FertiliserProducts[[#Headers],[Company]], 91)</f>
        <v/>
      </c>
      <c r="AC203" s="192" t="str" cm="1">
        <f t="array" ref="AC203">Common_InputFunctions.Utility_DisplayArrayInTable(Fertiliser_SourceData.Fertiliser_Products_Data4(),FertiliserProducts[[#Headers],[Company]], 91)</f>
        <v/>
      </c>
      <c r="AD203" s="192" t="str" cm="1">
        <f t="array" ref="AD203">Common_InputFunctions.Utility_DisplayArrayInTable(Fertiliser_SourceData.Fertiliser_Products_Data4(),FertiliserProducts[[#Headers],[Company]], 91)</f>
        <v/>
      </c>
      <c r="AE203" s="192" t="str" cm="1">
        <f t="array" ref="AE203">Common_InputFunctions.Utility_DisplayArrayInTable(Fertiliser_SourceData.Fertiliser_Products_Data4(),FertiliserProducts[[#Headers],[Company]], 91)</f>
        <v/>
      </c>
      <c r="AF203" s="192" t="str" cm="1">
        <f t="array" ref="AF203">Common_InputFunctions.Utility_DisplayArrayInTable(Fertiliser_SourceData.Fertiliser_Products_Data4(),FertiliserProducts[[#Headers],[Company]], 91)</f>
        <v/>
      </c>
      <c r="AG203" s="192" t="str" cm="1">
        <f t="array" ref="AG203">Common_InputFunctions.Utility_DisplayArrayInTable(Fertiliser_SourceData.Fertiliser_Products_Data4(),FertiliserProducts[[#Headers],[Company]], 91)</f>
        <v/>
      </c>
      <c r="AH203" s="192" t="str" cm="1">
        <f t="array" ref="AH203">Common_InputFunctions.Utility_DisplayArrayInTable(Fertiliser_SourceData.Fertiliser_Products_Data4(),FertiliserProducts[[#Headers],[Company]], 91)</f>
        <v/>
      </c>
    </row>
    <row r="204" spans="4:34" x14ac:dyDescent="0.25">
      <c r="D204" s="192" t="str" cm="1">
        <f t="array" ref="D204">Common_InputFunctions.Utility_DisplayArrayInTable(Fertiliser_SourceData.Fertiliser_Products_Data4(),FertiliserProducts[[#Headers],[Company]], 91)</f>
        <v>Wengfu Australia</v>
      </c>
      <c r="E204" s="192" t="str" cm="1">
        <f t="array" ref="E204">Common_InputFunctions.Utility_DisplayArrayInTable(Fertiliser_SourceData.Fertiliser_Products_Data4(),FertiliserProducts[[#Headers],[Company]], 91)</f>
        <v>Wengfu 15-17-0-15 DAP SuStain</v>
      </c>
      <c r="F204" s="192" t="str" cm="1">
        <f t="array" ref="F204">Common_InputFunctions.Utility_DisplayArrayInTable(Fertiliser_SourceData.Fertiliser_Products_Data4(),FertiliserProducts[[#Headers],[Company]], 91)</f>
        <v>kg</v>
      </c>
      <c r="G204" s="192" cm="1">
        <f t="array" ref="G204">Common_InputFunctions.Utility_DisplayArrayInTable(Fertiliser_SourceData.Fertiliser_Products_Data4(),FertiliserProducts[[#Headers],[Company]], 91)</f>
        <v>1</v>
      </c>
      <c r="H204" s="192" t="str" cm="1">
        <f t="array" ref="H204">Common_InputFunctions.Utility_DisplayArrayInTable(Fertiliser_SourceData.Fertiliser_Products_Data4(),FertiliserProducts[[#Headers],[Company]], 91)</f>
        <v/>
      </c>
      <c r="I204" s="192" t="str" cm="1">
        <f t="array" ref="I204">Common_InputFunctions.Utility_DisplayArrayInTable(Fertiliser_SourceData.Fertiliser_Products_Data4(),FertiliserProducts[[#Headers],[Company]], 91)</f>
        <v/>
      </c>
      <c r="J204" s="192" t="str" cm="1">
        <f t="array" ref="J204">Common_InputFunctions.Utility_DisplayArrayInTable(Fertiliser_SourceData.Fertiliser_Products_Data4(),FertiliserProducts[[#Headers],[Company]], 91)</f>
        <v/>
      </c>
      <c r="K204" s="192" cm="1">
        <f t="array" ref="K204">Common_InputFunctions.Utility_DisplayArrayInTable(Fertiliser_SourceData.Fertiliser_Products_Data4(),FertiliserProducts[[#Headers],[Company]], 91)</f>
        <v>15.2</v>
      </c>
      <c r="L204" s="192" cm="1">
        <f t="array" ref="L204">Common_InputFunctions.Utility_DisplayArrayInTable(Fertiliser_SourceData.Fertiliser_Products_Data4(),FertiliserProducts[[#Headers],[Company]], 91)</f>
        <v>16.899999999999999</v>
      </c>
      <c r="M204" s="192" cm="1">
        <f t="array" ref="M204">Common_InputFunctions.Utility_DisplayArrayInTable(Fertiliser_SourceData.Fertiliser_Products_Data4(),FertiliserProducts[[#Headers],[Company]], 91)</f>
        <v>0</v>
      </c>
      <c r="N204" s="192" cm="1">
        <f t="array" ref="N204">Common_InputFunctions.Utility_DisplayArrayInTable(Fertiliser_SourceData.Fertiliser_Products_Data4(),FertiliserProducts[[#Headers],[Company]], 91)</f>
        <v>15.2</v>
      </c>
      <c r="O204" s="192" t="str" cm="1">
        <f t="array" ref="O204">Common_InputFunctions.Utility_DisplayArrayInTable(Fertiliser_SourceData.Fertiliser_Products_Data4(),FertiliserProducts[[#Headers],[Company]], 91)</f>
        <v>Nitrogen - Generic</v>
      </c>
      <c r="P204" s="192" cm="1">
        <f t="array" ref="P204">Common_InputFunctions.Utility_DisplayArrayInTable(Fertiliser_SourceData.Fertiliser_Products_Data4(),FertiliserProducts[[#Headers],[Company]], 91)</f>
        <v>0.152</v>
      </c>
      <c r="Q204" s="192" t="str" cm="1">
        <f t="array" ref="Q204">Common_InputFunctions.Utility_DisplayArrayInTable(Fertiliser_SourceData.Fertiliser_Products_Data4(),FertiliserProducts[[#Headers],[Company]], 91)</f>
        <v>Phosphorus - Generic</v>
      </c>
      <c r="R204" s="192" cm="1">
        <f t="array" ref="R204">Common_InputFunctions.Utility_DisplayArrayInTable(Fertiliser_SourceData.Fertiliser_Products_Data4(),FertiliserProducts[[#Headers],[Company]], 91)</f>
        <v>0.16900000000000001</v>
      </c>
      <c r="S204" s="192" t="str" cm="1">
        <f t="array" ref="S204">Common_InputFunctions.Utility_DisplayArrayInTable(Fertiliser_SourceData.Fertiliser_Products_Data4(),FertiliserProducts[[#Headers],[Company]], 91)</f>
        <v>Sulfur - Generic</v>
      </c>
      <c r="T204" s="192" cm="1">
        <f t="array" ref="T204">Common_InputFunctions.Utility_DisplayArrayInTable(Fertiliser_SourceData.Fertiliser_Products_Data4(),FertiliserProducts[[#Headers],[Company]], 91)</f>
        <v>0.152</v>
      </c>
      <c r="U204" s="192" t="str" cm="1">
        <f t="array" ref="U204">Common_InputFunctions.Utility_DisplayArrayInTable(Fertiliser_SourceData.Fertiliser_Products_Data4(),FertiliserProducts[[#Headers],[Company]], 91)</f>
        <v/>
      </c>
      <c r="V204" s="192" t="str" cm="1">
        <f t="array" ref="V204">Common_InputFunctions.Utility_DisplayArrayInTable(Fertiliser_SourceData.Fertiliser_Products_Data4(),FertiliserProducts[[#Headers],[Company]], 91)</f>
        <v/>
      </c>
      <c r="W204" s="192" t="str" cm="1">
        <f t="array" ref="W204">Common_InputFunctions.Utility_DisplayArrayInTable(Fertiliser_SourceData.Fertiliser_Products_Data4(),FertiliserProducts[[#Headers],[Company]], 91)</f>
        <v/>
      </c>
      <c r="X204" s="192" t="str" cm="1">
        <f t="array" ref="X204">Common_InputFunctions.Utility_DisplayArrayInTable(Fertiliser_SourceData.Fertiliser_Products_Data4(),FertiliserProducts[[#Headers],[Company]], 91)</f>
        <v/>
      </c>
      <c r="Y204" s="192" t="str" cm="1">
        <f t="array" ref="Y204">Common_InputFunctions.Utility_DisplayArrayInTable(Fertiliser_SourceData.Fertiliser_Products_Data4(),FertiliserProducts[[#Headers],[Company]], 91)</f>
        <v/>
      </c>
      <c r="Z204" s="192" t="str" cm="1">
        <f t="array" ref="Z204">Common_InputFunctions.Utility_DisplayArrayInTable(Fertiliser_SourceData.Fertiliser_Products_Data4(),FertiliserProducts[[#Headers],[Company]], 91)</f>
        <v/>
      </c>
      <c r="AA204" s="192" t="str" cm="1">
        <f t="array" ref="AA204">Common_InputFunctions.Utility_DisplayArrayInTable(Fertiliser_SourceData.Fertiliser_Products_Data4(),FertiliserProducts[[#Headers],[Company]], 91)</f>
        <v/>
      </c>
      <c r="AB204" s="192" t="str" cm="1">
        <f t="array" ref="AB204">Common_InputFunctions.Utility_DisplayArrayInTable(Fertiliser_SourceData.Fertiliser_Products_Data4(),FertiliserProducts[[#Headers],[Company]], 91)</f>
        <v/>
      </c>
      <c r="AC204" s="192" t="str" cm="1">
        <f t="array" ref="AC204">Common_InputFunctions.Utility_DisplayArrayInTable(Fertiliser_SourceData.Fertiliser_Products_Data4(),FertiliserProducts[[#Headers],[Company]], 91)</f>
        <v/>
      </c>
      <c r="AD204" s="192" t="str" cm="1">
        <f t="array" ref="AD204">Common_InputFunctions.Utility_DisplayArrayInTable(Fertiliser_SourceData.Fertiliser_Products_Data4(),FertiliserProducts[[#Headers],[Company]], 91)</f>
        <v/>
      </c>
      <c r="AE204" s="192" t="str" cm="1">
        <f t="array" ref="AE204">Common_InputFunctions.Utility_DisplayArrayInTable(Fertiliser_SourceData.Fertiliser_Products_Data4(),FertiliserProducts[[#Headers],[Company]], 91)</f>
        <v/>
      </c>
      <c r="AF204" s="192" t="str" cm="1">
        <f t="array" ref="AF204">Common_InputFunctions.Utility_DisplayArrayInTable(Fertiliser_SourceData.Fertiliser_Products_Data4(),FertiliserProducts[[#Headers],[Company]], 91)</f>
        <v/>
      </c>
      <c r="AG204" s="192" t="str" cm="1">
        <f t="array" ref="AG204">Common_InputFunctions.Utility_DisplayArrayInTable(Fertiliser_SourceData.Fertiliser_Products_Data4(),FertiliserProducts[[#Headers],[Company]], 91)</f>
        <v/>
      </c>
      <c r="AH204" s="192" t="str" cm="1">
        <f t="array" ref="AH204">Common_InputFunctions.Utility_DisplayArrayInTable(Fertiliser_SourceData.Fertiliser_Products_Data4(),FertiliserProducts[[#Headers],[Company]], 91)</f>
        <v/>
      </c>
    </row>
    <row r="205" spans="4:34" x14ac:dyDescent="0.25">
      <c r="D205" s="192" t="str" cm="1">
        <f t="array" ref="D205">Common_InputFunctions.Utility_DisplayArrayInTable(Fertiliser_SourceData.Fertiliser_Products_Data4(),FertiliserProducts[[#Headers],[Company]], 91)</f>
        <v>Wengfu Australia</v>
      </c>
      <c r="E205" s="192" t="str" cm="1">
        <f t="array" ref="E205">Common_InputFunctions.Utility_DisplayArrayInTable(Fertiliser_SourceData.Fertiliser_Products_Data4(),FertiliserProducts[[#Headers],[Company]], 91)</f>
        <v>Wengfu 16-18-0-10 DAP SuStain</v>
      </c>
      <c r="F205" s="192" t="str" cm="1">
        <f t="array" ref="F205">Common_InputFunctions.Utility_DisplayArrayInTable(Fertiliser_SourceData.Fertiliser_Products_Data4(),FertiliserProducts[[#Headers],[Company]], 91)</f>
        <v>kg</v>
      </c>
      <c r="G205" s="192" cm="1">
        <f t="array" ref="G205">Common_InputFunctions.Utility_DisplayArrayInTable(Fertiliser_SourceData.Fertiliser_Products_Data4(),FertiliserProducts[[#Headers],[Company]], 91)</f>
        <v>1</v>
      </c>
      <c r="H205" s="192" t="str" cm="1">
        <f t="array" ref="H205">Common_InputFunctions.Utility_DisplayArrayInTable(Fertiliser_SourceData.Fertiliser_Products_Data4(),FertiliserProducts[[#Headers],[Company]], 91)</f>
        <v/>
      </c>
      <c r="I205" s="192" t="str" cm="1">
        <f t="array" ref="I205">Common_InputFunctions.Utility_DisplayArrayInTable(Fertiliser_SourceData.Fertiliser_Products_Data4(),FertiliserProducts[[#Headers],[Company]], 91)</f>
        <v/>
      </c>
      <c r="J205" s="192" t="str" cm="1">
        <f t="array" ref="J205">Common_InputFunctions.Utility_DisplayArrayInTable(Fertiliser_SourceData.Fertiliser_Products_Data4(),FertiliserProducts[[#Headers],[Company]], 91)</f>
        <v/>
      </c>
      <c r="K205" s="192" cm="1">
        <f t="array" ref="K205">Common_InputFunctions.Utility_DisplayArrayInTable(Fertiliser_SourceData.Fertiliser_Products_Data4(),FertiliserProducts[[#Headers],[Company]], 91)</f>
        <v>16.2</v>
      </c>
      <c r="L205" s="192" cm="1">
        <f t="array" ref="L205">Common_InputFunctions.Utility_DisplayArrayInTable(Fertiliser_SourceData.Fertiliser_Products_Data4(),FertiliserProducts[[#Headers],[Company]], 91)</f>
        <v>18</v>
      </c>
      <c r="M205" s="192" cm="1">
        <f t="array" ref="M205">Common_InputFunctions.Utility_DisplayArrayInTable(Fertiliser_SourceData.Fertiliser_Products_Data4(),FertiliserProducts[[#Headers],[Company]], 91)</f>
        <v>0</v>
      </c>
      <c r="N205" s="192" cm="1">
        <f t="array" ref="N205">Common_InputFunctions.Utility_DisplayArrayInTable(Fertiliser_SourceData.Fertiliser_Products_Data4(),FertiliserProducts[[#Headers],[Company]], 91)</f>
        <v>10.4</v>
      </c>
      <c r="O205" s="192" t="str" cm="1">
        <f t="array" ref="O205">Common_InputFunctions.Utility_DisplayArrayInTable(Fertiliser_SourceData.Fertiliser_Products_Data4(),FertiliserProducts[[#Headers],[Company]], 91)</f>
        <v>Nitrogen - Generic</v>
      </c>
      <c r="P205" s="192" cm="1">
        <f t="array" ref="P205">Common_InputFunctions.Utility_DisplayArrayInTable(Fertiliser_SourceData.Fertiliser_Products_Data4(),FertiliserProducts[[#Headers],[Company]], 91)</f>
        <v>0.16200000000000001</v>
      </c>
      <c r="Q205" s="192" t="str" cm="1">
        <f t="array" ref="Q205">Common_InputFunctions.Utility_DisplayArrayInTable(Fertiliser_SourceData.Fertiliser_Products_Data4(),FertiliserProducts[[#Headers],[Company]], 91)</f>
        <v>Phosphorus - Generic</v>
      </c>
      <c r="R205" s="192" cm="1">
        <f t="array" ref="R205">Common_InputFunctions.Utility_DisplayArrayInTable(Fertiliser_SourceData.Fertiliser_Products_Data4(),FertiliserProducts[[#Headers],[Company]], 91)</f>
        <v>0.18</v>
      </c>
      <c r="S205" s="192" t="str" cm="1">
        <f t="array" ref="S205">Common_InputFunctions.Utility_DisplayArrayInTable(Fertiliser_SourceData.Fertiliser_Products_Data4(),FertiliserProducts[[#Headers],[Company]], 91)</f>
        <v>Sulfur - Generic</v>
      </c>
      <c r="T205" s="192" cm="1">
        <f t="array" ref="T205">Common_InputFunctions.Utility_DisplayArrayInTable(Fertiliser_SourceData.Fertiliser_Products_Data4(),FertiliserProducts[[#Headers],[Company]], 91)</f>
        <v>0.104</v>
      </c>
      <c r="U205" s="192" t="str" cm="1">
        <f t="array" ref="U205">Common_InputFunctions.Utility_DisplayArrayInTable(Fertiliser_SourceData.Fertiliser_Products_Data4(),FertiliserProducts[[#Headers],[Company]], 91)</f>
        <v/>
      </c>
      <c r="V205" s="192" t="str" cm="1">
        <f t="array" ref="V205">Common_InputFunctions.Utility_DisplayArrayInTable(Fertiliser_SourceData.Fertiliser_Products_Data4(),FertiliserProducts[[#Headers],[Company]], 91)</f>
        <v/>
      </c>
      <c r="W205" s="192" t="str" cm="1">
        <f t="array" ref="W205">Common_InputFunctions.Utility_DisplayArrayInTable(Fertiliser_SourceData.Fertiliser_Products_Data4(),FertiliserProducts[[#Headers],[Company]], 91)</f>
        <v/>
      </c>
      <c r="X205" s="192" t="str" cm="1">
        <f t="array" ref="X205">Common_InputFunctions.Utility_DisplayArrayInTable(Fertiliser_SourceData.Fertiliser_Products_Data4(),FertiliserProducts[[#Headers],[Company]], 91)</f>
        <v/>
      </c>
      <c r="Y205" s="192" t="str" cm="1">
        <f t="array" ref="Y205">Common_InputFunctions.Utility_DisplayArrayInTable(Fertiliser_SourceData.Fertiliser_Products_Data4(),FertiliserProducts[[#Headers],[Company]], 91)</f>
        <v/>
      </c>
      <c r="Z205" s="192" t="str" cm="1">
        <f t="array" ref="Z205">Common_InputFunctions.Utility_DisplayArrayInTable(Fertiliser_SourceData.Fertiliser_Products_Data4(),FertiliserProducts[[#Headers],[Company]], 91)</f>
        <v/>
      </c>
      <c r="AA205" s="192" t="str" cm="1">
        <f t="array" ref="AA205">Common_InputFunctions.Utility_DisplayArrayInTable(Fertiliser_SourceData.Fertiliser_Products_Data4(),FertiliserProducts[[#Headers],[Company]], 91)</f>
        <v/>
      </c>
      <c r="AB205" s="192" t="str" cm="1">
        <f t="array" ref="AB205">Common_InputFunctions.Utility_DisplayArrayInTable(Fertiliser_SourceData.Fertiliser_Products_Data4(),FertiliserProducts[[#Headers],[Company]], 91)</f>
        <v/>
      </c>
      <c r="AC205" s="192" t="str" cm="1">
        <f t="array" ref="AC205">Common_InputFunctions.Utility_DisplayArrayInTable(Fertiliser_SourceData.Fertiliser_Products_Data4(),FertiliserProducts[[#Headers],[Company]], 91)</f>
        <v/>
      </c>
      <c r="AD205" s="192" t="str" cm="1">
        <f t="array" ref="AD205">Common_InputFunctions.Utility_DisplayArrayInTable(Fertiliser_SourceData.Fertiliser_Products_Data4(),FertiliserProducts[[#Headers],[Company]], 91)</f>
        <v/>
      </c>
      <c r="AE205" s="192" t="str" cm="1">
        <f t="array" ref="AE205">Common_InputFunctions.Utility_DisplayArrayInTable(Fertiliser_SourceData.Fertiliser_Products_Data4(),FertiliserProducts[[#Headers],[Company]], 91)</f>
        <v/>
      </c>
      <c r="AF205" s="192" t="str" cm="1">
        <f t="array" ref="AF205">Common_InputFunctions.Utility_DisplayArrayInTable(Fertiliser_SourceData.Fertiliser_Products_Data4(),FertiliserProducts[[#Headers],[Company]], 91)</f>
        <v/>
      </c>
      <c r="AG205" s="192" t="str" cm="1">
        <f t="array" ref="AG205">Common_InputFunctions.Utility_DisplayArrayInTable(Fertiliser_SourceData.Fertiliser_Products_Data4(),FertiliserProducts[[#Headers],[Company]], 91)</f>
        <v/>
      </c>
      <c r="AH205" s="192" t="str" cm="1">
        <f t="array" ref="AH205">Common_InputFunctions.Utility_DisplayArrayInTable(Fertiliser_SourceData.Fertiliser_Products_Data4(),FertiliserProducts[[#Headers],[Company]], 91)</f>
        <v/>
      </c>
    </row>
    <row r="206" spans="4:34" x14ac:dyDescent="0.25">
      <c r="D206" s="192" t="str" cm="1">
        <f t="array" ref="D206">Common_InputFunctions.Utility_DisplayArrayInTable(Fertiliser_SourceData.Fertiliser_Products_Data4(),FertiliserProducts[[#Headers],[Company]], 91)</f>
        <v>Wengfu Australia</v>
      </c>
      <c r="E206" s="192" t="str" cm="1">
        <f t="array" ref="E206">Common_InputFunctions.Utility_DisplayArrayInTable(Fertiliser_SourceData.Fertiliser_Products_Data4(),FertiliserProducts[[#Headers],[Company]], 91)</f>
        <v>Wengfu 5-15-0-6 Fast Start Legume</v>
      </c>
      <c r="F206" s="192" t="str" cm="1">
        <f t="array" ref="F206">Common_InputFunctions.Utility_DisplayArrayInTable(Fertiliser_SourceData.Fertiliser_Products_Data4(),FertiliserProducts[[#Headers],[Company]], 91)</f>
        <v>kg</v>
      </c>
      <c r="G206" s="192" cm="1">
        <f t="array" ref="G206">Common_InputFunctions.Utility_DisplayArrayInTable(Fertiliser_SourceData.Fertiliser_Products_Data4(),FertiliserProducts[[#Headers],[Company]], 91)</f>
        <v>1</v>
      </c>
      <c r="H206" s="192" t="str" cm="1">
        <f t="array" ref="H206">Common_InputFunctions.Utility_DisplayArrayInTable(Fertiliser_SourceData.Fertiliser_Products_Data4(),FertiliserProducts[[#Headers],[Company]], 91)</f>
        <v/>
      </c>
      <c r="I206" s="192" t="str" cm="1">
        <f t="array" ref="I206">Common_InputFunctions.Utility_DisplayArrayInTable(Fertiliser_SourceData.Fertiliser_Products_Data4(),FertiliserProducts[[#Headers],[Company]], 91)</f>
        <v/>
      </c>
      <c r="J206" s="192" t="str" cm="1">
        <f t="array" ref="J206">Common_InputFunctions.Utility_DisplayArrayInTable(Fertiliser_SourceData.Fertiliser_Products_Data4(),FertiliserProducts[[#Headers],[Company]], 91)</f>
        <v/>
      </c>
      <c r="K206" s="192" cm="1">
        <f t="array" ref="K206">Common_InputFunctions.Utility_DisplayArrayInTable(Fertiliser_SourceData.Fertiliser_Products_Data4(),FertiliserProducts[[#Headers],[Company]], 91)</f>
        <v>5</v>
      </c>
      <c r="L206" s="192" cm="1">
        <f t="array" ref="L206">Common_InputFunctions.Utility_DisplayArrayInTable(Fertiliser_SourceData.Fertiliser_Products_Data4(),FertiliserProducts[[#Headers],[Company]], 91)</f>
        <v>15.4</v>
      </c>
      <c r="M206" s="192" cm="1">
        <f t="array" ref="M206">Common_InputFunctions.Utility_DisplayArrayInTable(Fertiliser_SourceData.Fertiliser_Products_Data4(),FertiliserProducts[[#Headers],[Company]], 91)</f>
        <v>0</v>
      </c>
      <c r="N206" s="192" cm="1">
        <f t="array" ref="N206">Common_InputFunctions.Utility_DisplayArrayInTable(Fertiliser_SourceData.Fertiliser_Products_Data4(),FertiliserProducts[[#Headers],[Company]], 91)</f>
        <v>6.3</v>
      </c>
      <c r="O206" s="192" t="str" cm="1">
        <f t="array" ref="O206">Common_InputFunctions.Utility_DisplayArrayInTable(Fertiliser_SourceData.Fertiliser_Products_Data4(),FertiliserProducts[[#Headers],[Company]], 91)</f>
        <v>Nitrogen - Generic</v>
      </c>
      <c r="P206" s="192" cm="1">
        <f t="array" ref="P206">Common_InputFunctions.Utility_DisplayArrayInTable(Fertiliser_SourceData.Fertiliser_Products_Data4(),FertiliserProducts[[#Headers],[Company]], 91)</f>
        <v>0.05</v>
      </c>
      <c r="Q206" s="192" t="str" cm="1">
        <f t="array" ref="Q206">Common_InputFunctions.Utility_DisplayArrayInTable(Fertiliser_SourceData.Fertiliser_Products_Data4(),FertiliserProducts[[#Headers],[Company]], 91)</f>
        <v>Phosphorus - Generic</v>
      </c>
      <c r="R206" s="192" cm="1">
        <f t="array" ref="R206">Common_InputFunctions.Utility_DisplayArrayInTable(Fertiliser_SourceData.Fertiliser_Products_Data4(),FertiliserProducts[[#Headers],[Company]], 91)</f>
        <v>0.154</v>
      </c>
      <c r="S206" s="192" t="str" cm="1">
        <f t="array" ref="S206">Common_InputFunctions.Utility_DisplayArrayInTable(Fertiliser_SourceData.Fertiliser_Products_Data4(),FertiliserProducts[[#Headers],[Company]], 91)</f>
        <v>Sulfur - Generic</v>
      </c>
      <c r="T206" s="192" cm="1">
        <f t="array" ref="T206">Common_InputFunctions.Utility_DisplayArrayInTable(Fertiliser_SourceData.Fertiliser_Products_Data4(),FertiliserProducts[[#Headers],[Company]], 91)</f>
        <v>6.3E-2</v>
      </c>
      <c r="U206" s="192" t="str" cm="1">
        <f t="array" ref="U206">Common_InputFunctions.Utility_DisplayArrayInTable(Fertiliser_SourceData.Fertiliser_Products_Data4(),FertiliserProducts[[#Headers],[Company]], 91)</f>
        <v/>
      </c>
      <c r="V206" s="192" t="str" cm="1">
        <f t="array" ref="V206">Common_InputFunctions.Utility_DisplayArrayInTable(Fertiliser_SourceData.Fertiliser_Products_Data4(),FertiliserProducts[[#Headers],[Company]], 91)</f>
        <v/>
      </c>
      <c r="W206" s="192" t="str" cm="1">
        <f t="array" ref="W206">Common_InputFunctions.Utility_DisplayArrayInTable(Fertiliser_SourceData.Fertiliser_Products_Data4(),FertiliserProducts[[#Headers],[Company]], 91)</f>
        <v/>
      </c>
      <c r="X206" s="192" t="str" cm="1">
        <f t="array" ref="X206">Common_InputFunctions.Utility_DisplayArrayInTable(Fertiliser_SourceData.Fertiliser_Products_Data4(),FertiliserProducts[[#Headers],[Company]], 91)</f>
        <v/>
      </c>
      <c r="Y206" s="192" t="str" cm="1">
        <f t="array" ref="Y206">Common_InputFunctions.Utility_DisplayArrayInTable(Fertiliser_SourceData.Fertiliser_Products_Data4(),FertiliserProducts[[#Headers],[Company]], 91)</f>
        <v/>
      </c>
      <c r="Z206" s="192" t="str" cm="1">
        <f t="array" ref="Z206">Common_InputFunctions.Utility_DisplayArrayInTable(Fertiliser_SourceData.Fertiliser_Products_Data4(),FertiliserProducts[[#Headers],[Company]], 91)</f>
        <v/>
      </c>
      <c r="AA206" s="192" t="str" cm="1">
        <f t="array" ref="AA206">Common_InputFunctions.Utility_DisplayArrayInTable(Fertiliser_SourceData.Fertiliser_Products_Data4(),FertiliserProducts[[#Headers],[Company]], 91)</f>
        <v/>
      </c>
      <c r="AB206" s="192" t="str" cm="1">
        <f t="array" ref="AB206">Common_InputFunctions.Utility_DisplayArrayInTable(Fertiliser_SourceData.Fertiliser_Products_Data4(),FertiliserProducts[[#Headers],[Company]], 91)</f>
        <v/>
      </c>
      <c r="AC206" s="192" t="str" cm="1">
        <f t="array" ref="AC206">Common_InputFunctions.Utility_DisplayArrayInTable(Fertiliser_SourceData.Fertiliser_Products_Data4(),FertiliserProducts[[#Headers],[Company]], 91)</f>
        <v/>
      </c>
      <c r="AD206" s="192" t="str" cm="1">
        <f t="array" ref="AD206">Common_InputFunctions.Utility_DisplayArrayInTable(Fertiliser_SourceData.Fertiliser_Products_Data4(),FertiliserProducts[[#Headers],[Company]], 91)</f>
        <v/>
      </c>
      <c r="AE206" s="192" t="str" cm="1">
        <f t="array" ref="AE206">Common_InputFunctions.Utility_DisplayArrayInTable(Fertiliser_SourceData.Fertiliser_Products_Data4(),FertiliserProducts[[#Headers],[Company]], 91)</f>
        <v/>
      </c>
      <c r="AF206" s="192" t="str" cm="1">
        <f t="array" ref="AF206">Common_InputFunctions.Utility_DisplayArrayInTable(Fertiliser_SourceData.Fertiliser_Products_Data4(),FertiliserProducts[[#Headers],[Company]], 91)</f>
        <v/>
      </c>
      <c r="AG206" s="192" t="str" cm="1">
        <f t="array" ref="AG206">Common_InputFunctions.Utility_DisplayArrayInTable(Fertiliser_SourceData.Fertiliser_Products_Data4(),FertiliserProducts[[#Headers],[Company]], 91)</f>
        <v/>
      </c>
      <c r="AH206" s="192" t="str" cm="1">
        <f t="array" ref="AH206">Common_InputFunctions.Utility_DisplayArrayInTable(Fertiliser_SourceData.Fertiliser_Products_Data4(),FertiliserProducts[[#Headers],[Company]], 91)</f>
        <v/>
      </c>
    </row>
    <row r="207" spans="4:34" x14ac:dyDescent="0.25">
      <c r="D207" s="192" t="str" cm="1">
        <f t="array" ref="D207">Common_InputFunctions.Utility_DisplayArrayInTable(Fertiliser_SourceData.Fertiliser_Products_Data4(),FertiliserProducts[[#Headers],[Company]], 91)</f>
        <v>Wengfu Australia</v>
      </c>
      <c r="E207" s="192" t="str" cm="1">
        <f t="array" ref="E207">Common_InputFunctions.Utility_DisplayArrayInTable(Fertiliser_SourceData.Fertiliser_Products_Data4(),FertiliserProducts[[#Headers],[Company]], 91)</f>
        <v>Wengfu 9-20-0-10 PrimeZinc</v>
      </c>
      <c r="F207" s="192" t="str" cm="1">
        <f t="array" ref="F207">Common_InputFunctions.Utility_DisplayArrayInTable(Fertiliser_SourceData.Fertiliser_Products_Data4(),FertiliserProducts[[#Headers],[Company]], 91)</f>
        <v>kg</v>
      </c>
      <c r="G207" s="192" cm="1">
        <f t="array" ref="G207">Common_InputFunctions.Utility_DisplayArrayInTable(Fertiliser_SourceData.Fertiliser_Products_Data4(),FertiliserProducts[[#Headers],[Company]], 91)</f>
        <v>1</v>
      </c>
      <c r="H207" s="192" t="str" cm="1">
        <f t="array" ref="H207">Common_InputFunctions.Utility_DisplayArrayInTable(Fertiliser_SourceData.Fertiliser_Products_Data4(),FertiliserProducts[[#Headers],[Company]], 91)</f>
        <v/>
      </c>
      <c r="I207" s="192" t="str" cm="1">
        <f t="array" ref="I207">Common_InputFunctions.Utility_DisplayArrayInTable(Fertiliser_SourceData.Fertiliser_Products_Data4(),FertiliserProducts[[#Headers],[Company]], 91)</f>
        <v/>
      </c>
      <c r="J207" s="192" t="str" cm="1">
        <f t="array" ref="J207">Common_InputFunctions.Utility_DisplayArrayInTable(Fertiliser_SourceData.Fertiliser_Products_Data4(),FertiliserProducts[[#Headers],[Company]], 91)</f>
        <v/>
      </c>
      <c r="K207" s="192" cm="1">
        <f t="array" ref="K207">Common_InputFunctions.Utility_DisplayArrayInTable(Fertiliser_SourceData.Fertiliser_Products_Data4(),FertiliserProducts[[#Headers],[Company]], 91)</f>
        <v>9</v>
      </c>
      <c r="L207" s="192" cm="1">
        <f t="array" ref="L207">Common_InputFunctions.Utility_DisplayArrayInTable(Fertiliser_SourceData.Fertiliser_Products_Data4(),FertiliserProducts[[#Headers],[Company]], 91)</f>
        <v>19.8</v>
      </c>
      <c r="M207" s="192" cm="1">
        <f t="array" ref="M207">Common_InputFunctions.Utility_DisplayArrayInTable(Fertiliser_SourceData.Fertiliser_Products_Data4(),FertiliserProducts[[#Headers],[Company]], 91)</f>
        <v>0</v>
      </c>
      <c r="N207" s="192" cm="1">
        <f t="array" ref="N207">Common_InputFunctions.Utility_DisplayArrayInTable(Fertiliser_SourceData.Fertiliser_Products_Data4(),FertiliserProducts[[#Headers],[Company]], 91)</f>
        <v>10.4</v>
      </c>
      <c r="O207" s="192" t="str" cm="1">
        <f t="array" ref="O207">Common_InputFunctions.Utility_DisplayArrayInTable(Fertiliser_SourceData.Fertiliser_Products_Data4(),FertiliserProducts[[#Headers],[Company]], 91)</f>
        <v>Nitrogen - Generic</v>
      </c>
      <c r="P207" s="192" cm="1">
        <f t="array" ref="P207">Common_InputFunctions.Utility_DisplayArrayInTable(Fertiliser_SourceData.Fertiliser_Products_Data4(),FertiliserProducts[[#Headers],[Company]], 91)</f>
        <v>0.09</v>
      </c>
      <c r="Q207" s="192" t="str" cm="1">
        <f t="array" ref="Q207">Common_InputFunctions.Utility_DisplayArrayInTable(Fertiliser_SourceData.Fertiliser_Products_Data4(),FertiliserProducts[[#Headers],[Company]], 91)</f>
        <v>Phosphorus - Generic</v>
      </c>
      <c r="R207" s="192" cm="1">
        <f t="array" ref="R207">Common_InputFunctions.Utility_DisplayArrayInTable(Fertiliser_SourceData.Fertiliser_Products_Data4(),FertiliserProducts[[#Headers],[Company]], 91)</f>
        <v>0.19800000000000001</v>
      </c>
      <c r="S207" s="192" t="str" cm="1">
        <f t="array" ref="S207">Common_InputFunctions.Utility_DisplayArrayInTable(Fertiliser_SourceData.Fertiliser_Products_Data4(),FertiliserProducts[[#Headers],[Company]], 91)</f>
        <v>Sulfur - Generic</v>
      </c>
      <c r="T207" s="192" cm="1">
        <f t="array" ref="T207">Common_InputFunctions.Utility_DisplayArrayInTable(Fertiliser_SourceData.Fertiliser_Products_Data4(),FertiliserProducts[[#Headers],[Company]], 91)</f>
        <v>0.104</v>
      </c>
      <c r="U207" s="192" t="str" cm="1">
        <f t="array" ref="U207">Common_InputFunctions.Utility_DisplayArrayInTable(Fertiliser_SourceData.Fertiliser_Products_Data4(),FertiliserProducts[[#Headers],[Company]], 91)</f>
        <v>Zinc</v>
      </c>
      <c r="V207" s="192" cm="1">
        <f t="array" ref="V207">Common_InputFunctions.Utility_DisplayArrayInTable(Fertiliser_SourceData.Fertiliser_Products_Data4(),FertiliserProducts[[#Headers],[Company]], 91)</f>
        <v>8.9999999999999993E-3</v>
      </c>
      <c r="W207" s="192" t="str" cm="1">
        <f t="array" ref="W207">Common_InputFunctions.Utility_DisplayArrayInTable(Fertiliser_SourceData.Fertiliser_Products_Data4(),FertiliserProducts[[#Headers],[Company]], 91)</f>
        <v/>
      </c>
      <c r="X207" s="192" t="str" cm="1">
        <f t="array" ref="X207">Common_InputFunctions.Utility_DisplayArrayInTable(Fertiliser_SourceData.Fertiliser_Products_Data4(),FertiliserProducts[[#Headers],[Company]], 91)</f>
        <v/>
      </c>
      <c r="Y207" s="192" t="str" cm="1">
        <f t="array" ref="Y207">Common_InputFunctions.Utility_DisplayArrayInTable(Fertiliser_SourceData.Fertiliser_Products_Data4(),FertiliserProducts[[#Headers],[Company]], 91)</f>
        <v/>
      </c>
      <c r="Z207" s="192" t="str" cm="1">
        <f t="array" ref="Z207">Common_InputFunctions.Utility_DisplayArrayInTable(Fertiliser_SourceData.Fertiliser_Products_Data4(),FertiliserProducts[[#Headers],[Company]], 91)</f>
        <v/>
      </c>
      <c r="AA207" s="192" t="str" cm="1">
        <f t="array" ref="AA207">Common_InputFunctions.Utility_DisplayArrayInTable(Fertiliser_SourceData.Fertiliser_Products_Data4(),FertiliserProducts[[#Headers],[Company]], 91)</f>
        <v/>
      </c>
      <c r="AB207" s="192" t="str" cm="1">
        <f t="array" ref="AB207">Common_InputFunctions.Utility_DisplayArrayInTable(Fertiliser_SourceData.Fertiliser_Products_Data4(),FertiliserProducts[[#Headers],[Company]], 91)</f>
        <v/>
      </c>
      <c r="AC207" s="192" t="str" cm="1">
        <f t="array" ref="AC207">Common_InputFunctions.Utility_DisplayArrayInTable(Fertiliser_SourceData.Fertiliser_Products_Data4(),FertiliserProducts[[#Headers],[Company]], 91)</f>
        <v/>
      </c>
      <c r="AD207" s="192" t="str" cm="1">
        <f t="array" ref="AD207">Common_InputFunctions.Utility_DisplayArrayInTable(Fertiliser_SourceData.Fertiliser_Products_Data4(),FertiliserProducts[[#Headers],[Company]], 91)</f>
        <v/>
      </c>
      <c r="AE207" s="192" t="str" cm="1">
        <f t="array" ref="AE207">Common_InputFunctions.Utility_DisplayArrayInTable(Fertiliser_SourceData.Fertiliser_Products_Data4(),FertiliserProducts[[#Headers],[Company]], 91)</f>
        <v/>
      </c>
      <c r="AF207" s="192" t="str" cm="1">
        <f t="array" ref="AF207">Common_InputFunctions.Utility_DisplayArrayInTable(Fertiliser_SourceData.Fertiliser_Products_Data4(),FertiliserProducts[[#Headers],[Company]], 91)</f>
        <v/>
      </c>
      <c r="AG207" s="192" t="str" cm="1">
        <f t="array" ref="AG207">Common_InputFunctions.Utility_DisplayArrayInTable(Fertiliser_SourceData.Fertiliser_Products_Data4(),FertiliserProducts[[#Headers],[Company]], 91)</f>
        <v/>
      </c>
      <c r="AH207" s="192" t="str" cm="1">
        <f t="array" ref="AH207">Common_InputFunctions.Utility_DisplayArrayInTable(Fertiliser_SourceData.Fertiliser_Products_Data4(),FertiliserProducts[[#Headers],[Company]], 91)</f>
        <v/>
      </c>
    </row>
    <row r="208" spans="4:34" x14ac:dyDescent="0.25">
      <c r="D208" s="192" t="str" cm="1">
        <f t="array" ref="D208">Common_InputFunctions.Utility_DisplayArrayInTable(Fertiliser_SourceData.Fertiliser_Products_Data4(),FertiliserProducts[[#Headers],[Company]], 91)</f>
        <v>Wengfu Australia</v>
      </c>
      <c r="E208" s="192" t="str" cm="1">
        <f t="array" ref="E208">Common_InputFunctions.Utility_DisplayArrayInTable(Fertiliser_SourceData.Fertiliser_Products_Data4(),FertiliserProducts[[#Headers],[Company]], 91)</f>
        <v>Wengfu 12-18-0-6 PrimeZinc</v>
      </c>
      <c r="F208" s="192" t="str" cm="1">
        <f t="array" ref="F208">Common_InputFunctions.Utility_DisplayArrayInTable(Fertiliser_SourceData.Fertiliser_Products_Data4(),FertiliserProducts[[#Headers],[Company]], 91)</f>
        <v>kg</v>
      </c>
      <c r="G208" s="192" cm="1">
        <f t="array" ref="G208">Common_InputFunctions.Utility_DisplayArrayInTable(Fertiliser_SourceData.Fertiliser_Products_Data4(),FertiliserProducts[[#Headers],[Company]], 91)</f>
        <v>1</v>
      </c>
      <c r="H208" s="192" t="str" cm="1">
        <f t="array" ref="H208">Common_InputFunctions.Utility_DisplayArrayInTable(Fertiliser_SourceData.Fertiliser_Products_Data4(),FertiliserProducts[[#Headers],[Company]], 91)</f>
        <v/>
      </c>
      <c r="I208" s="192" t="str" cm="1">
        <f t="array" ref="I208">Common_InputFunctions.Utility_DisplayArrayInTable(Fertiliser_SourceData.Fertiliser_Products_Data4(),FertiliserProducts[[#Headers],[Company]], 91)</f>
        <v/>
      </c>
      <c r="J208" s="192" t="str" cm="1">
        <f t="array" ref="J208">Common_InputFunctions.Utility_DisplayArrayInTable(Fertiliser_SourceData.Fertiliser_Products_Data4(),FertiliserProducts[[#Headers],[Company]], 91)</f>
        <v/>
      </c>
      <c r="K208" s="192" cm="1">
        <f t="array" ref="K208">Common_InputFunctions.Utility_DisplayArrayInTable(Fertiliser_SourceData.Fertiliser_Products_Data4(),FertiliserProducts[[#Headers],[Company]], 91)</f>
        <v>11.9</v>
      </c>
      <c r="L208" s="192" cm="1">
        <f t="array" ref="L208">Common_InputFunctions.Utility_DisplayArrayInTable(Fertiliser_SourceData.Fertiliser_Products_Data4(),FertiliserProducts[[#Headers],[Company]], 91)</f>
        <v>17.600000000000001</v>
      </c>
      <c r="M208" s="192" cm="1">
        <f t="array" ref="M208">Common_InputFunctions.Utility_DisplayArrayInTable(Fertiliser_SourceData.Fertiliser_Products_Data4(),FertiliserProducts[[#Headers],[Company]], 91)</f>
        <v>0</v>
      </c>
      <c r="N208" s="192" cm="1">
        <f t="array" ref="N208">Common_InputFunctions.Utility_DisplayArrayInTable(Fertiliser_SourceData.Fertiliser_Products_Data4(),FertiliserProducts[[#Headers],[Company]], 91)</f>
        <v>5.9</v>
      </c>
      <c r="O208" s="192" t="str" cm="1">
        <f t="array" ref="O208">Common_InputFunctions.Utility_DisplayArrayInTable(Fertiliser_SourceData.Fertiliser_Products_Data4(),FertiliserProducts[[#Headers],[Company]], 91)</f>
        <v>Nitrogen - Generic</v>
      </c>
      <c r="P208" s="192" cm="1">
        <f t="array" ref="P208">Common_InputFunctions.Utility_DisplayArrayInTable(Fertiliser_SourceData.Fertiliser_Products_Data4(),FertiliserProducts[[#Headers],[Company]], 91)</f>
        <v>0.11899999999999999</v>
      </c>
      <c r="Q208" s="192" t="str" cm="1">
        <f t="array" ref="Q208">Common_InputFunctions.Utility_DisplayArrayInTable(Fertiliser_SourceData.Fertiliser_Products_Data4(),FertiliserProducts[[#Headers],[Company]], 91)</f>
        <v>Phosphorus - Generic</v>
      </c>
      <c r="R208" s="192" cm="1">
        <f t="array" ref="R208">Common_InputFunctions.Utility_DisplayArrayInTable(Fertiliser_SourceData.Fertiliser_Products_Data4(),FertiliserProducts[[#Headers],[Company]], 91)</f>
        <v>0.17599999999999999</v>
      </c>
      <c r="S208" s="192" t="str" cm="1">
        <f t="array" ref="S208">Common_InputFunctions.Utility_DisplayArrayInTable(Fertiliser_SourceData.Fertiliser_Products_Data4(),FertiliserProducts[[#Headers],[Company]], 91)</f>
        <v>Sulfur - Generic</v>
      </c>
      <c r="T208" s="192" cm="1">
        <f t="array" ref="T208">Common_InputFunctions.Utility_DisplayArrayInTable(Fertiliser_SourceData.Fertiliser_Products_Data4(),FertiliserProducts[[#Headers],[Company]], 91)</f>
        <v>5.8999999999999997E-2</v>
      </c>
      <c r="U208" s="192" t="str" cm="1">
        <f t="array" ref="U208">Common_InputFunctions.Utility_DisplayArrayInTable(Fertiliser_SourceData.Fertiliser_Products_Data4(),FertiliserProducts[[#Headers],[Company]], 91)</f>
        <v>Zinc</v>
      </c>
      <c r="V208" s="192" cm="1">
        <f t="array" ref="V208">Common_InputFunctions.Utility_DisplayArrayInTable(Fertiliser_SourceData.Fertiliser_Products_Data4(),FertiliserProducts[[#Headers],[Company]], 91)</f>
        <v>8.0000000000000002E-3</v>
      </c>
      <c r="W208" s="192" t="str" cm="1">
        <f t="array" ref="W208">Common_InputFunctions.Utility_DisplayArrayInTable(Fertiliser_SourceData.Fertiliser_Products_Data4(),FertiliserProducts[[#Headers],[Company]], 91)</f>
        <v/>
      </c>
      <c r="X208" s="192" t="str" cm="1">
        <f t="array" ref="X208">Common_InputFunctions.Utility_DisplayArrayInTable(Fertiliser_SourceData.Fertiliser_Products_Data4(),FertiliserProducts[[#Headers],[Company]], 91)</f>
        <v/>
      </c>
      <c r="Y208" s="192" t="str" cm="1">
        <f t="array" ref="Y208">Common_InputFunctions.Utility_DisplayArrayInTable(Fertiliser_SourceData.Fertiliser_Products_Data4(),FertiliserProducts[[#Headers],[Company]], 91)</f>
        <v/>
      </c>
      <c r="Z208" s="192" t="str" cm="1">
        <f t="array" ref="Z208">Common_InputFunctions.Utility_DisplayArrayInTable(Fertiliser_SourceData.Fertiliser_Products_Data4(),FertiliserProducts[[#Headers],[Company]], 91)</f>
        <v/>
      </c>
      <c r="AA208" s="192" t="str" cm="1">
        <f t="array" ref="AA208">Common_InputFunctions.Utility_DisplayArrayInTable(Fertiliser_SourceData.Fertiliser_Products_Data4(),FertiliserProducts[[#Headers],[Company]], 91)</f>
        <v/>
      </c>
      <c r="AB208" s="192" t="str" cm="1">
        <f t="array" ref="AB208">Common_InputFunctions.Utility_DisplayArrayInTable(Fertiliser_SourceData.Fertiliser_Products_Data4(),FertiliserProducts[[#Headers],[Company]], 91)</f>
        <v/>
      </c>
      <c r="AC208" s="192" t="str" cm="1">
        <f t="array" ref="AC208">Common_InputFunctions.Utility_DisplayArrayInTable(Fertiliser_SourceData.Fertiliser_Products_Data4(),FertiliserProducts[[#Headers],[Company]], 91)</f>
        <v/>
      </c>
      <c r="AD208" s="192" t="str" cm="1">
        <f t="array" ref="AD208">Common_InputFunctions.Utility_DisplayArrayInTable(Fertiliser_SourceData.Fertiliser_Products_Data4(),FertiliserProducts[[#Headers],[Company]], 91)</f>
        <v/>
      </c>
      <c r="AE208" s="192" t="str" cm="1">
        <f t="array" ref="AE208">Common_InputFunctions.Utility_DisplayArrayInTable(Fertiliser_SourceData.Fertiliser_Products_Data4(),FertiliserProducts[[#Headers],[Company]], 91)</f>
        <v/>
      </c>
      <c r="AF208" s="192" t="str" cm="1">
        <f t="array" ref="AF208">Common_InputFunctions.Utility_DisplayArrayInTable(Fertiliser_SourceData.Fertiliser_Products_Data4(),FertiliserProducts[[#Headers],[Company]], 91)</f>
        <v/>
      </c>
      <c r="AG208" s="192" t="str" cm="1">
        <f t="array" ref="AG208">Common_InputFunctions.Utility_DisplayArrayInTable(Fertiliser_SourceData.Fertiliser_Products_Data4(),FertiliserProducts[[#Headers],[Company]], 91)</f>
        <v/>
      </c>
      <c r="AH208" s="192" t="str" cm="1">
        <f t="array" ref="AH208">Common_InputFunctions.Utility_DisplayArrayInTable(Fertiliser_SourceData.Fertiliser_Products_Data4(),FertiliserProducts[[#Headers],[Company]], 91)</f>
        <v/>
      </c>
    </row>
    <row r="209" spans="4:34" x14ac:dyDescent="0.25">
      <c r="D209" s="192" t="str" cm="1">
        <f t="array" ref="D209">Common_InputFunctions.Utility_DisplayArrayInTable(Fertiliser_SourceData.Fertiliser_Products_Data4(),FertiliserProducts[[#Headers],[Company]], 91)</f>
        <v>Wengfu Australia</v>
      </c>
      <c r="E209" s="192" t="str" cm="1">
        <f t="array" ref="E209">Common_InputFunctions.Utility_DisplayArrayInTable(Fertiliser_SourceData.Fertiliser_Products_Data4(),FertiliserProducts[[#Headers],[Company]], 91)</f>
        <v>Wengfu 14-13-0-11 PrimeZinc</v>
      </c>
      <c r="F209" s="192" t="str" cm="1">
        <f t="array" ref="F209">Common_InputFunctions.Utility_DisplayArrayInTable(Fertiliser_SourceData.Fertiliser_Products_Data4(),FertiliserProducts[[#Headers],[Company]], 91)</f>
        <v>kg</v>
      </c>
      <c r="G209" s="192" cm="1">
        <f t="array" ref="G209">Common_InputFunctions.Utility_DisplayArrayInTable(Fertiliser_SourceData.Fertiliser_Products_Data4(),FertiliserProducts[[#Headers],[Company]], 91)</f>
        <v>1</v>
      </c>
      <c r="H209" s="192" t="str" cm="1">
        <f t="array" ref="H209">Common_InputFunctions.Utility_DisplayArrayInTable(Fertiliser_SourceData.Fertiliser_Products_Data4(),FertiliserProducts[[#Headers],[Company]], 91)</f>
        <v/>
      </c>
      <c r="I209" s="192" t="str" cm="1">
        <f t="array" ref="I209">Common_InputFunctions.Utility_DisplayArrayInTable(Fertiliser_SourceData.Fertiliser_Products_Data4(),FertiliserProducts[[#Headers],[Company]], 91)</f>
        <v/>
      </c>
      <c r="J209" s="192" t="str" cm="1">
        <f t="array" ref="J209">Common_InputFunctions.Utility_DisplayArrayInTable(Fertiliser_SourceData.Fertiliser_Products_Data4(),FertiliserProducts[[#Headers],[Company]], 91)</f>
        <v/>
      </c>
      <c r="K209" s="192" cm="1">
        <f t="array" ref="K209">Common_InputFunctions.Utility_DisplayArrayInTable(Fertiliser_SourceData.Fertiliser_Products_Data4(),FertiliserProducts[[#Headers],[Company]], 91)</f>
        <v>14.1</v>
      </c>
      <c r="L209" s="192" cm="1">
        <f t="array" ref="L209">Common_InputFunctions.Utility_DisplayArrayInTable(Fertiliser_SourceData.Fertiliser_Products_Data4(),FertiliserProducts[[#Headers],[Company]], 91)</f>
        <v>12.8</v>
      </c>
      <c r="M209" s="192" cm="1">
        <f t="array" ref="M209">Common_InputFunctions.Utility_DisplayArrayInTable(Fertiliser_SourceData.Fertiliser_Products_Data4(),FertiliserProducts[[#Headers],[Company]], 91)</f>
        <v>0</v>
      </c>
      <c r="N209" s="192" cm="1">
        <f t="array" ref="N209">Common_InputFunctions.Utility_DisplayArrayInTable(Fertiliser_SourceData.Fertiliser_Products_Data4(),FertiliserProducts[[#Headers],[Company]], 91)</f>
        <v>10.7</v>
      </c>
      <c r="O209" s="192" t="str" cm="1">
        <f t="array" ref="O209">Common_InputFunctions.Utility_DisplayArrayInTable(Fertiliser_SourceData.Fertiliser_Products_Data4(),FertiliserProducts[[#Headers],[Company]], 91)</f>
        <v>Nitrogen - Generic</v>
      </c>
      <c r="P209" s="192" cm="1">
        <f t="array" ref="P209">Common_InputFunctions.Utility_DisplayArrayInTable(Fertiliser_SourceData.Fertiliser_Products_Data4(),FertiliserProducts[[#Headers],[Company]], 91)</f>
        <v>0.14099999999999999</v>
      </c>
      <c r="Q209" s="192" t="str" cm="1">
        <f t="array" ref="Q209">Common_InputFunctions.Utility_DisplayArrayInTable(Fertiliser_SourceData.Fertiliser_Products_Data4(),FertiliserProducts[[#Headers],[Company]], 91)</f>
        <v>Phosphorus - Generic</v>
      </c>
      <c r="R209" s="192" cm="1">
        <f t="array" ref="R209">Common_InputFunctions.Utility_DisplayArrayInTable(Fertiliser_SourceData.Fertiliser_Products_Data4(),FertiliserProducts[[#Headers],[Company]], 91)</f>
        <v>0.128</v>
      </c>
      <c r="S209" s="192" t="str" cm="1">
        <f t="array" ref="S209">Common_InputFunctions.Utility_DisplayArrayInTable(Fertiliser_SourceData.Fertiliser_Products_Data4(),FertiliserProducts[[#Headers],[Company]], 91)</f>
        <v>Sulfur - Generic</v>
      </c>
      <c r="T209" s="192" cm="1">
        <f t="array" ref="T209">Common_InputFunctions.Utility_DisplayArrayInTable(Fertiliser_SourceData.Fertiliser_Products_Data4(),FertiliserProducts[[#Headers],[Company]], 91)</f>
        <v>0.107</v>
      </c>
      <c r="U209" s="192" t="str" cm="1">
        <f t="array" ref="U209">Common_InputFunctions.Utility_DisplayArrayInTable(Fertiliser_SourceData.Fertiliser_Products_Data4(),FertiliserProducts[[#Headers],[Company]], 91)</f>
        <v>Zinc</v>
      </c>
      <c r="V209" s="192" cm="1">
        <f t="array" ref="V209">Common_InputFunctions.Utility_DisplayArrayInTable(Fertiliser_SourceData.Fertiliser_Products_Data4(),FertiliserProducts[[#Headers],[Company]], 91)</f>
        <v>6.0000000000000001E-3</v>
      </c>
      <c r="W209" s="192" t="str" cm="1">
        <f t="array" ref="W209">Common_InputFunctions.Utility_DisplayArrayInTable(Fertiliser_SourceData.Fertiliser_Products_Data4(),FertiliserProducts[[#Headers],[Company]], 91)</f>
        <v/>
      </c>
      <c r="X209" s="192" t="str" cm="1">
        <f t="array" ref="X209">Common_InputFunctions.Utility_DisplayArrayInTable(Fertiliser_SourceData.Fertiliser_Products_Data4(),FertiliserProducts[[#Headers],[Company]], 91)</f>
        <v/>
      </c>
      <c r="Y209" s="192" t="str" cm="1">
        <f t="array" ref="Y209">Common_InputFunctions.Utility_DisplayArrayInTable(Fertiliser_SourceData.Fertiliser_Products_Data4(),FertiliserProducts[[#Headers],[Company]], 91)</f>
        <v/>
      </c>
      <c r="Z209" s="192" t="str" cm="1">
        <f t="array" ref="Z209">Common_InputFunctions.Utility_DisplayArrayInTable(Fertiliser_SourceData.Fertiliser_Products_Data4(),FertiliserProducts[[#Headers],[Company]], 91)</f>
        <v/>
      </c>
      <c r="AA209" s="192" t="str" cm="1">
        <f t="array" ref="AA209">Common_InputFunctions.Utility_DisplayArrayInTable(Fertiliser_SourceData.Fertiliser_Products_Data4(),FertiliserProducts[[#Headers],[Company]], 91)</f>
        <v/>
      </c>
      <c r="AB209" s="192" t="str" cm="1">
        <f t="array" ref="AB209">Common_InputFunctions.Utility_DisplayArrayInTable(Fertiliser_SourceData.Fertiliser_Products_Data4(),FertiliserProducts[[#Headers],[Company]], 91)</f>
        <v/>
      </c>
      <c r="AC209" s="192" t="str" cm="1">
        <f t="array" ref="AC209">Common_InputFunctions.Utility_DisplayArrayInTable(Fertiliser_SourceData.Fertiliser_Products_Data4(),FertiliserProducts[[#Headers],[Company]], 91)</f>
        <v/>
      </c>
      <c r="AD209" s="192" t="str" cm="1">
        <f t="array" ref="AD209">Common_InputFunctions.Utility_DisplayArrayInTable(Fertiliser_SourceData.Fertiliser_Products_Data4(),FertiliserProducts[[#Headers],[Company]], 91)</f>
        <v/>
      </c>
      <c r="AE209" s="192" t="str" cm="1">
        <f t="array" ref="AE209">Common_InputFunctions.Utility_DisplayArrayInTable(Fertiliser_SourceData.Fertiliser_Products_Data4(),FertiliserProducts[[#Headers],[Company]], 91)</f>
        <v/>
      </c>
      <c r="AF209" s="192" t="str" cm="1">
        <f t="array" ref="AF209">Common_InputFunctions.Utility_DisplayArrayInTable(Fertiliser_SourceData.Fertiliser_Products_Data4(),FertiliserProducts[[#Headers],[Company]], 91)</f>
        <v/>
      </c>
      <c r="AG209" s="192" t="str" cm="1">
        <f t="array" ref="AG209">Common_InputFunctions.Utility_DisplayArrayInTable(Fertiliser_SourceData.Fertiliser_Products_Data4(),FertiliserProducts[[#Headers],[Company]], 91)</f>
        <v/>
      </c>
      <c r="AH209" s="192" t="str" cm="1">
        <f t="array" ref="AH209">Common_InputFunctions.Utility_DisplayArrayInTable(Fertiliser_SourceData.Fertiliser_Products_Data4(),FertiliserProducts[[#Headers],[Company]], 91)</f>
        <v/>
      </c>
    </row>
    <row r="210" spans="4:34" x14ac:dyDescent="0.25">
      <c r="D210" s="192" t="str" cm="1">
        <f t="array" ref="D210">Common_InputFunctions.Utility_DisplayArrayInTable(Fertiliser_SourceData.Fertiliser_Products_Data5(),FertiliserProducts[[#Headers],[Company]], 121)</f>
        <v>Wengfu Australia</v>
      </c>
      <c r="E210" s="192" t="str" cm="1">
        <f t="array" ref="E210">Common_InputFunctions.Utility_DisplayArrayInTable(Fertiliser_SourceData.Fertiliser_Products_Data5(),FertiliserProducts[[#Headers],[Company]], 121)</f>
        <v>Wengfu 19-13-0-7 PrimeZinc</v>
      </c>
      <c r="F210" s="192" t="str" cm="1">
        <f t="array" ref="F210">Common_InputFunctions.Utility_DisplayArrayInTable(Fertiliser_SourceData.Fertiliser_Products_Data5(),FertiliserProducts[[#Headers],[Company]], 121)</f>
        <v>kg</v>
      </c>
      <c r="G210" s="192" cm="1">
        <f t="array" ref="G210">Common_InputFunctions.Utility_DisplayArrayInTable(Fertiliser_SourceData.Fertiliser_Products_Data5(),FertiliserProducts[[#Headers],[Company]], 121)</f>
        <v>1</v>
      </c>
      <c r="H210" s="192" t="str" cm="1">
        <f t="array" ref="H210">Common_InputFunctions.Utility_DisplayArrayInTable(Fertiliser_SourceData.Fertiliser_Products_Data5(),FertiliserProducts[[#Headers],[Company]], 121)</f>
        <v/>
      </c>
      <c r="I210" s="192" t="str" cm="1">
        <f t="array" ref="I210">Common_InputFunctions.Utility_DisplayArrayInTable(Fertiliser_SourceData.Fertiliser_Products_Data5(),FertiliserProducts[[#Headers],[Company]], 121)</f>
        <v/>
      </c>
      <c r="J210" s="192" t="str" cm="1">
        <f t="array" ref="J210">Common_InputFunctions.Utility_DisplayArrayInTable(Fertiliser_SourceData.Fertiliser_Products_Data5(),FertiliserProducts[[#Headers],[Company]], 121)</f>
        <v/>
      </c>
      <c r="K210" s="192" cm="1">
        <f t="array" ref="K210">Common_InputFunctions.Utility_DisplayArrayInTable(Fertiliser_SourceData.Fertiliser_Products_Data5(),FertiliserProducts[[#Headers],[Company]], 121)</f>
        <v>18.600000000000001</v>
      </c>
      <c r="L210" s="192" cm="1">
        <f t="array" ref="L210">Common_InputFunctions.Utility_DisplayArrayInTable(Fertiliser_SourceData.Fertiliser_Products_Data5(),FertiliserProducts[[#Headers],[Company]], 121)</f>
        <v>12.7</v>
      </c>
      <c r="M210" s="192" cm="1">
        <f t="array" ref="M210">Common_InputFunctions.Utility_DisplayArrayInTable(Fertiliser_SourceData.Fertiliser_Products_Data5(),FertiliserProducts[[#Headers],[Company]], 121)</f>
        <v>0</v>
      </c>
      <c r="N210" s="192" cm="1">
        <f t="array" ref="N210">Common_InputFunctions.Utility_DisplayArrayInTable(Fertiliser_SourceData.Fertiliser_Products_Data5(),FertiliserProducts[[#Headers],[Company]], 121)</f>
        <v>6.8</v>
      </c>
      <c r="O210" s="192" t="str" cm="1">
        <f t="array" ref="O210">Common_InputFunctions.Utility_DisplayArrayInTable(Fertiliser_SourceData.Fertiliser_Products_Data5(),FertiliserProducts[[#Headers],[Company]], 121)</f>
        <v>Nitrogen - Generic</v>
      </c>
      <c r="P210" s="192" cm="1">
        <f t="array" ref="P210">Common_InputFunctions.Utility_DisplayArrayInTable(Fertiliser_SourceData.Fertiliser_Products_Data5(),FertiliserProducts[[#Headers],[Company]], 121)</f>
        <v>0.186</v>
      </c>
      <c r="Q210" s="192" t="str" cm="1">
        <f t="array" ref="Q210">Common_InputFunctions.Utility_DisplayArrayInTable(Fertiliser_SourceData.Fertiliser_Products_Data5(),FertiliserProducts[[#Headers],[Company]], 121)</f>
        <v>Phosphorus - Generic</v>
      </c>
      <c r="R210" s="192" cm="1">
        <f t="array" ref="R210">Common_InputFunctions.Utility_DisplayArrayInTable(Fertiliser_SourceData.Fertiliser_Products_Data5(),FertiliserProducts[[#Headers],[Company]], 121)</f>
        <v>0.127</v>
      </c>
      <c r="S210" s="192" t="str" cm="1">
        <f t="array" ref="S210">Common_InputFunctions.Utility_DisplayArrayInTable(Fertiliser_SourceData.Fertiliser_Products_Data5(),FertiliserProducts[[#Headers],[Company]], 121)</f>
        <v>Sulfur - Generic</v>
      </c>
      <c r="T210" s="192" cm="1">
        <f t="array" ref="T210">Common_InputFunctions.Utility_DisplayArrayInTable(Fertiliser_SourceData.Fertiliser_Products_Data5(),FertiliserProducts[[#Headers],[Company]], 121)</f>
        <v>6.8000000000000005E-2</v>
      </c>
      <c r="U210" s="192" t="str" cm="1">
        <f t="array" ref="U210">Common_InputFunctions.Utility_DisplayArrayInTable(Fertiliser_SourceData.Fertiliser_Products_Data5(),FertiliserProducts[[#Headers],[Company]], 121)</f>
        <v>Zinc</v>
      </c>
      <c r="V210" s="192" cm="1">
        <f t="array" ref="V210">Common_InputFunctions.Utility_DisplayArrayInTable(Fertiliser_SourceData.Fertiliser_Products_Data5(),FertiliserProducts[[#Headers],[Company]], 121)</f>
        <v>6.0000000000000001E-3</v>
      </c>
      <c r="W210" s="192" t="str" cm="1">
        <f t="array" ref="W210">Common_InputFunctions.Utility_DisplayArrayInTable(Fertiliser_SourceData.Fertiliser_Products_Data5(),FertiliserProducts[[#Headers],[Company]], 121)</f>
        <v/>
      </c>
      <c r="X210" s="192" t="str" cm="1">
        <f t="array" ref="X210">Common_InputFunctions.Utility_DisplayArrayInTable(Fertiliser_SourceData.Fertiliser_Products_Data5(),FertiliserProducts[[#Headers],[Company]], 121)</f>
        <v/>
      </c>
      <c r="Y210" s="192" t="str" cm="1">
        <f t="array" ref="Y210">Common_InputFunctions.Utility_DisplayArrayInTable(Fertiliser_SourceData.Fertiliser_Products_Data5(),FertiliserProducts[[#Headers],[Company]], 121)</f>
        <v/>
      </c>
      <c r="Z210" s="192" t="str" cm="1">
        <f t="array" ref="Z210">Common_InputFunctions.Utility_DisplayArrayInTable(Fertiliser_SourceData.Fertiliser_Products_Data5(),FertiliserProducts[[#Headers],[Company]], 121)</f>
        <v/>
      </c>
      <c r="AA210" s="192" t="str" cm="1">
        <f t="array" ref="AA210">Common_InputFunctions.Utility_DisplayArrayInTable(Fertiliser_SourceData.Fertiliser_Products_Data5(),FertiliserProducts[[#Headers],[Company]], 121)</f>
        <v/>
      </c>
      <c r="AB210" s="192" t="str" cm="1">
        <f t="array" ref="AB210">Common_InputFunctions.Utility_DisplayArrayInTable(Fertiliser_SourceData.Fertiliser_Products_Data5(),FertiliserProducts[[#Headers],[Company]], 121)</f>
        <v/>
      </c>
      <c r="AC210" s="192" t="str" cm="1">
        <f t="array" ref="AC210">Common_InputFunctions.Utility_DisplayArrayInTable(Fertiliser_SourceData.Fertiliser_Products_Data5(),FertiliserProducts[[#Headers],[Company]], 121)</f>
        <v/>
      </c>
      <c r="AD210" s="192" t="str" cm="1">
        <f t="array" ref="AD210">Common_InputFunctions.Utility_DisplayArrayInTable(Fertiliser_SourceData.Fertiliser_Products_Data5(),FertiliserProducts[[#Headers],[Company]], 121)</f>
        <v/>
      </c>
      <c r="AE210" s="192" t="str" cm="1">
        <f t="array" ref="AE210">Common_InputFunctions.Utility_DisplayArrayInTable(Fertiliser_SourceData.Fertiliser_Products_Data5(),FertiliserProducts[[#Headers],[Company]], 121)</f>
        <v/>
      </c>
      <c r="AF210" s="192" t="str" cm="1">
        <f t="array" ref="AF210">Common_InputFunctions.Utility_DisplayArrayInTable(Fertiliser_SourceData.Fertiliser_Products_Data5(),FertiliserProducts[[#Headers],[Company]], 121)</f>
        <v/>
      </c>
      <c r="AG210" s="192" t="str" cm="1">
        <f t="array" ref="AG210">Common_InputFunctions.Utility_DisplayArrayInTable(Fertiliser_SourceData.Fertiliser_Products_Data5(),FertiliserProducts[[#Headers],[Company]], 121)</f>
        <v/>
      </c>
      <c r="AH210" s="192" t="str" cm="1">
        <f t="array" ref="AH210">Common_InputFunctions.Utility_DisplayArrayInTable(Fertiliser_SourceData.Fertiliser_Products_Data5(),FertiliserProducts[[#Headers],[Company]], 121)</f>
        <v/>
      </c>
    </row>
    <row r="211" spans="4:34" x14ac:dyDescent="0.25">
      <c r="D211" s="192" t="str" cm="1">
        <f t="array" ref="D211">Common_InputFunctions.Utility_DisplayArrayInTable(Fertiliser_SourceData.Fertiliser_Products_Data5(),FertiliserProducts[[#Headers],[Company]], 121)</f>
        <v>Wengfu Australia</v>
      </c>
      <c r="E211" s="192" t="str" cm="1">
        <f t="array" ref="E211">Common_InputFunctions.Utility_DisplayArrayInTable(Fertiliser_SourceData.Fertiliser_Products_Data5(),FertiliserProducts[[#Headers],[Company]], 121)</f>
        <v>Wengfu Booster K</v>
      </c>
      <c r="F211" s="192" t="str" cm="1">
        <f t="array" ref="F211">Common_InputFunctions.Utility_DisplayArrayInTable(Fertiliser_SourceData.Fertiliser_Products_Data5(),FertiliserProducts[[#Headers],[Company]], 121)</f>
        <v>kg</v>
      </c>
      <c r="G211" s="192" cm="1">
        <f t="array" ref="G211">Common_InputFunctions.Utility_DisplayArrayInTable(Fertiliser_SourceData.Fertiliser_Products_Data5(),FertiliserProducts[[#Headers],[Company]], 121)</f>
        <v>1</v>
      </c>
      <c r="H211" s="192" t="str" cm="1">
        <f t="array" ref="H211">Common_InputFunctions.Utility_DisplayArrayInTable(Fertiliser_SourceData.Fertiliser_Products_Data5(),FertiliserProducts[[#Headers],[Company]], 121)</f>
        <v/>
      </c>
      <c r="I211" s="192" t="str" cm="1">
        <f t="array" ref="I211">Common_InputFunctions.Utility_DisplayArrayInTable(Fertiliser_SourceData.Fertiliser_Products_Data5(),FertiliserProducts[[#Headers],[Company]], 121)</f>
        <v/>
      </c>
      <c r="J211" s="192" t="str" cm="1">
        <f t="array" ref="J211">Common_InputFunctions.Utility_DisplayArrayInTable(Fertiliser_SourceData.Fertiliser_Products_Data5(),FertiliserProducts[[#Headers],[Company]], 121)</f>
        <v/>
      </c>
      <c r="K211" s="192" cm="1">
        <f t="array" ref="K211">Common_InputFunctions.Utility_DisplayArrayInTable(Fertiliser_SourceData.Fertiliser_Products_Data5(),FertiliserProducts[[#Headers],[Company]], 121)</f>
        <v>32</v>
      </c>
      <c r="L211" s="192" cm="1">
        <f t="array" ref="L211">Common_InputFunctions.Utility_DisplayArrayInTable(Fertiliser_SourceData.Fertiliser_Products_Data5(),FertiliserProducts[[#Headers],[Company]], 121)</f>
        <v>0</v>
      </c>
      <c r="M211" s="192" cm="1">
        <f t="array" ref="M211">Common_InputFunctions.Utility_DisplayArrayInTable(Fertiliser_SourceData.Fertiliser_Products_Data5(),FertiliserProducts[[#Headers],[Company]], 121)</f>
        <v>11</v>
      </c>
      <c r="N211" s="192" cm="1">
        <f t="array" ref="N211">Common_InputFunctions.Utility_DisplayArrayInTable(Fertiliser_SourceData.Fertiliser_Products_Data5(),FertiliserProducts[[#Headers],[Company]], 121)</f>
        <v>3</v>
      </c>
      <c r="O211" s="192" t="str" cm="1">
        <f t="array" ref="O211">Common_InputFunctions.Utility_DisplayArrayInTable(Fertiliser_SourceData.Fertiliser_Products_Data5(),FertiliserProducts[[#Headers],[Company]], 121)</f>
        <v>Nitrogen - Generic</v>
      </c>
      <c r="P211" s="192" cm="1">
        <f t="array" ref="P211">Common_InputFunctions.Utility_DisplayArrayInTable(Fertiliser_SourceData.Fertiliser_Products_Data5(),FertiliserProducts[[#Headers],[Company]], 121)</f>
        <v>0.32</v>
      </c>
      <c r="Q211" s="192" t="str" cm="1">
        <f t="array" ref="Q211">Common_InputFunctions.Utility_DisplayArrayInTable(Fertiliser_SourceData.Fertiliser_Products_Data5(),FertiliserProducts[[#Headers],[Company]], 121)</f>
        <v>Potassium - Generic</v>
      </c>
      <c r="R211" s="192" cm="1">
        <f t="array" ref="R211">Common_InputFunctions.Utility_DisplayArrayInTable(Fertiliser_SourceData.Fertiliser_Products_Data5(),FertiliserProducts[[#Headers],[Company]], 121)</f>
        <v>0.11</v>
      </c>
      <c r="S211" s="192" t="str" cm="1">
        <f t="array" ref="S211">Common_InputFunctions.Utility_DisplayArrayInTable(Fertiliser_SourceData.Fertiliser_Products_Data5(),FertiliserProducts[[#Headers],[Company]], 121)</f>
        <v>Sulfur - Generic</v>
      </c>
      <c r="T211" s="192" cm="1">
        <f t="array" ref="T211">Common_InputFunctions.Utility_DisplayArrayInTable(Fertiliser_SourceData.Fertiliser_Products_Data5(),FertiliserProducts[[#Headers],[Company]], 121)</f>
        <v>0.03</v>
      </c>
      <c r="U211" s="192" t="str" cm="1">
        <f t="array" ref="U211">Common_InputFunctions.Utility_DisplayArrayInTable(Fertiliser_SourceData.Fertiliser_Products_Data5(),FertiliserProducts[[#Headers],[Company]], 121)</f>
        <v/>
      </c>
      <c r="V211" s="192" t="str" cm="1">
        <f t="array" ref="V211">Common_InputFunctions.Utility_DisplayArrayInTable(Fertiliser_SourceData.Fertiliser_Products_Data5(),FertiliserProducts[[#Headers],[Company]], 121)</f>
        <v/>
      </c>
      <c r="W211" s="192" t="str" cm="1">
        <f t="array" ref="W211">Common_InputFunctions.Utility_DisplayArrayInTable(Fertiliser_SourceData.Fertiliser_Products_Data5(),FertiliserProducts[[#Headers],[Company]], 121)</f>
        <v/>
      </c>
      <c r="X211" s="192" t="str" cm="1">
        <f t="array" ref="X211">Common_InputFunctions.Utility_DisplayArrayInTable(Fertiliser_SourceData.Fertiliser_Products_Data5(),FertiliserProducts[[#Headers],[Company]], 121)</f>
        <v/>
      </c>
      <c r="Y211" s="192" t="str" cm="1">
        <f t="array" ref="Y211">Common_InputFunctions.Utility_DisplayArrayInTable(Fertiliser_SourceData.Fertiliser_Products_Data5(),FertiliserProducts[[#Headers],[Company]], 121)</f>
        <v/>
      </c>
      <c r="Z211" s="192" t="str" cm="1">
        <f t="array" ref="Z211">Common_InputFunctions.Utility_DisplayArrayInTable(Fertiliser_SourceData.Fertiliser_Products_Data5(),FertiliserProducts[[#Headers],[Company]], 121)</f>
        <v/>
      </c>
      <c r="AA211" s="192" t="str" cm="1">
        <f t="array" ref="AA211">Common_InputFunctions.Utility_DisplayArrayInTable(Fertiliser_SourceData.Fertiliser_Products_Data5(),FertiliserProducts[[#Headers],[Company]], 121)</f>
        <v/>
      </c>
      <c r="AB211" s="192" t="str" cm="1">
        <f t="array" ref="AB211">Common_InputFunctions.Utility_DisplayArrayInTable(Fertiliser_SourceData.Fertiliser_Products_Data5(),FertiliserProducts[[#Headers],[Company]], 121)</f>
        <v/>
      </c>
      <c r="AC211" s="192" t="str" cm="1">
        <f t="array" ref="AC211">Common_InputFunctions.Utility_DisplayArrayInTable(Fertiliser_SourceData.Fertiliser_Products_Data5(),FertiliserProducts[[#Headers],[Company]], 121)</f>
        <v/>
      </c>
      <c r="AD211" s="192" t="str" cm="1">
        <f t="array" ref="AD211">Common_InputFunctions.Utility_DisplayArrayInTable(Fertiliser_SourceData.Fertiliser_Products_Data5(),FertiliserProducts[[#Headers],[Company]], 121)</f>
        <v/>
      </c>
      <c r="AE211" s="192" t="str" cm="1">
        <f t="array" ref="AE211">Common_InputFunctions.Utility_DisplayArrayInTable(Fertiliser_SourceData.Fertiliser_Products_Data5(),FertiliserProducts[[#Headers],[Company]], 121)</f>
        <v/>
      </c>
      <c r="AF211" s="192" t="str" cm="1">
        <f t="array" ref="AF211">Common_InputFunctions.Utility_DisplayArrayInTable(Fertiliser_SourceData.Fertiliser_Products_Data5(),FertiliserProducts[[#Headers],[Company]], 121)</f>
        <v/>
      </c>
      <c r="AG211" s="192" t="str" cm="1">
        <f t="array" ref="AG211">Common_InputFunctions.Utility_DisplayArrayInTable(Fertiliser_SourceData.Fertiliser_Products_Data5(),FertiliserProducts[[#Headers],[Company]], 121)</f>
        <v/>
      </c>
      <c r="AH211" s="192" t="str" cm="1">
        <f t="array" ref="AH211">Common_InputFunctions.Utility_DisplayArrayInTable(Fertiliser_SourceData.Fertiliser_Products_Data5(),FertiliserProducts[[#Headers],[Company]], 121)</f>
        <v/>
      </c>
    </row>
    <row r="212" spans="4:34" x14ac:dyDescent="0.25">
      <c r="D212" s="192" t="str" cm="1">
        <f t="array" ref="D212">Common_InputFunctions.Utility_DisplayArrayInTable(Fertiliser_SourceData.Fertiliser_Products_Data5(),FertiliserProducts[[#Headers],[Company]], 121)</f>
        <v>Wengfu Australia</v>
      </c>
      <c r="E212" s="192" t="str" cm="1">
        <f t="array" ref="E212">Common_InputFunctions.Utility_DisplayArrayInTable(Fertiliser_SourceData.Fertiliser_Products_Data5(),FertiliserProducts[[#Headers],[Company]], 121)</f>
        <v>Wengfu Booster Rich 1</v>
      </c>
      <c r="F212" s="192" t="str" cm="1">
        <f t="array" ref="F212">Common_InputFunctions.Utility_DisplayArrayInTable(Fertiliser_SourceData.Fertiliser_Products_Data5(),FertiliserProducts[[#Headers],[Company]], 121)</f>
        <v>kg</v>
      </c>
      <c r="G212" s="192" cm="1">
        <f t="array" ref="G212">Common_InputFunctions.Utility_DisplayArrayInTable(Fertiliser_SourceData.Fertiliser_Products_Data5(),FertiliserProducts[[#Headers],[Company]], 121)</f>
        <v>1</v>
      </c>
      <c r="H212" s="192" t="str" cm="1">
        <f t="array" ref="H212">Common_InputFunctions.Utility_DisplayArrayInTable(Fertiliser_SourceData.Fertiliser_Products_Data5(),FertiliserProducts[[#Headers],[Company]], 121)</f>
        <v/>
      </c>
      <c r="I212" s="192" t="str" cm="1">
        <f t="array" ref="I212">Common_InputFunctions.Utility_DisplayArrayInTable(Fertiliser_SourceData.Fertiliser_Products_Data5(),FertiliserProducts[[#Headers],[Company]], 121)</f>
        <v/>
      </c>
      <c r="J212" s="192" t="str" cm="1">
        <f t="array" ref="J212">Common_InputFunctions.Utility_DisplayArrayInTable(Fertiliser_SourceData.Fertiliser_Products_Data5(),FertiliserProducts[[#Headers],[Company]], 121)</f>
        <v/>
      </c>
      <c r="K212" s="192" cm="1">
        <f t="array" ref="K212">Common_InputFunctions.Utility_DisplayArrayInTable(Fertiliser_SourceData.Fertiliser_Products_Data5(),FertiliserProducts[[#Headers],[Company]], 121)</f>
        <v>31</v>
      </c>
      <c r="L212" s="192" cm="1">
        <f t="array" ref="L212">Common_InputFunctions.Utility_DisplayArrayInTable(Fertiliser_SourceData.Fertiliser_Products_Data5(),FertiliserProducts[[#Headers],[Company]], 121)</f>
        <v>6</v>
      </c>
      <c r="M212" s="192" cm="1">
        <f t="array" ref="M212">Common_InputFunctions.Utility_DisplayArrayInTable(Fertiliser_SourceData.Fertiliser_Products_Data5(),FertiliserProducts[[#Headers],[Company]], 121)</f>
        <v>0</v>
      </c>
      <c r="N212" s="192" cm="1">
        <f t="array" ref="N212">Common_InputFunctions.Utility_DisplayArrayInTable(Fertiliser_SourceData.Fertiliser_Products_Data5(),FertiliserProducts[[#Headers],[Company]], 121)</f>
        <v>6</v>
      </c>
      <c r="O212" s="192" t="str" cm="1">
        <f t="array" ref="O212">Common_InputFunctions.Utility_DisplayArrayInTable(Fertiliser_SourceData.Fertiliser_Products_Data5(),FertiliserProducts[[#Headers],[Company]], 121)</f>
        <v>Nitrogen - Generic</v>
      </c>
      <c r="P212" s="192" cm="1">
        <f t="array" ref="P212">Common_InputFunctions.Utility_DisplayArrayInTable(Fertiliser_SourceData.Fertiliser_Products_Data5(),FertiliserProducts[[#Headers],[Company]], 121)</f>
        <v>0.31</v>
      </c>
      <c r="Q212" s="192" t="str" cm="1">
        <f t="array" ref="Q212">Common_InputFunctions.Utility_DisplayArrayInTable(Fertiliser_SourceData.Fertiliser_Products_Data5(),FertiliserProducts[[#Headers],[Company]], 121)</f>
        <v>Phosphorus - Generic</v>
      </c>
      <c r="R212" s="192" cm="1">
        <f t="array" ref="R212">Common_InputFunctions.Utility_DisplayArrayInTable(Fertiliser_SourceData.Fertiliser_Products_Data5(),FertiliserProducts[[#Headers],[Company]], 121)</f>
        <v>0.06</v>
      </c>
      <c r="S212" s="192" t="str" cm="1">
        <f t="array" ref="S212">Common_InputFunctions.Utility_DisplayArrayInTable(Fertiliser_SourceData.Fertiliser_Products_Data5(),FertiliserProducts[[#Headers],[Company]], 121)</f>
        <v>Sulfur - Generic</v>
      </c>
      <c r="T212" s="192" cm="1">
        <f t="array" ref="T212">Common_InputFunctions.Utility_DisplayArrayInTable(Fertiliser_SourceData.Fertiliser_Products_Data5(),FertiliserProducts[[#Headers],[Company]], 121)</f>
        <v>0.06</v>
      </c>
      <c r="U212" s="192" t="str" cm="1">
        <f t="array" ref="U212">Common_InputFunctions.Utility_DisplayArrayInTable(Fertiliser_SourceData.Fertiliser_Products_Data5(),FertiliserProducts[[#Headers],[Company]], 121)</f>
        <v/>
      </c>
      <c r="V212" s="192" t="str" cm="1">
        <f t="array" ref="V212">Common_InputFunctions.Utility_DisplayArrayInTable(Fertiliser_SourceData.Fertiliser_Products_Data5(),FertiliserProducts[[#Headers],[Company]], 121)</f>
        <v/>
      </c>
      <c r="W212" s="192" t="str" cm="1">
        <f t="array" ref="W212">Common_InputFunctions.Utility_DisplayArrayInTable(Fertiliser_SourceData.Fertiliser_Products_Data5(),FertiliserProducts[[#Headers],[Company]], 121)</f>
        <v/>
      </c>
      <c r="X212" s="192" t="str" cm="1">
        <f t="array" ref="X212">Common_InputFunctions.Utility_DisplayArrayInTable(Fertiliser_SourceData.Fertiliser_Products_Data5(),FertiliserProducts[[#Headers],[Company]], 121)</f>
        <v/>
      </c>
      <c r="Y212" s="192" t="str" cm="1">
        <f t="array" ref="Y212">Common_InputFunctions.Utility_DisplayArrayInTable(Fertiliser_SourceData.Fertiliser_Products_Data5(),FertiliserProducts[[#Headers],[Company]], 121)</f>
        <v/>
      </c>
      <c r="Z212" s="192" t="str" cm="1">
        <f t="array" ref="Z212">Common_InputFunctions.Utility_DisplayArrayInTable(Fertiliser_SourceData.Fertiliser_Products_Data5(),FertiliserProducts[[#Headers],[Company]], 121)</f>
        <v/>
      </c>
      <c r="AA212" s="192" t="str" cm="1">
        <f t="array" ref="AA212">Common_InputFunctions.Utility_DisplayArrayInTable(Fertiliser_SourceData.Fertiliser_Products_Data5(),FertiliserProducts[[#Headers],[Company]], 121)</f>
        <v/>
      </c>
      <c r="AB212" s="192" t="str" cm="1">
        <f t="array" ref="AB212">Common_InputFunctions.Utility_DisplayArrayInTable(Fertiliser_SourceData.Fertiliser_Products_Data5(),FertiliserProducts[[#Headers],[Company]], 121)</f>
        <v/>
      </c>
      <c r="AC212" s="192" t="str" cm="1">
        <f t="array" ref="AC212">Common_InputFunctions.Utility_DisplayArrayInTable(Fertiliser_SourceData.Fertiliser_Products_Data5(),FertiliserProducts[[#Headers],[Company]], 121)</f>
        <v/>
      </c>
      <c r="AD212" s="192" t="str" cm="1">
        <f t="array" ref="AD212">Common_InputFunctions.Utility_DisplayArrayInTable(Fertiliser_SourceData.Fertiliser_Products_Data5(),FertiliserProducts[[#Headers],[Company]], 121)</f>
        <v/>
      </c>
      <c r="AE212" s="192" t="str" cm="1">
        <f t="array" ref="AE212">Common_InputFunctions.Utility_DisplayArrayInTable(Fertiliser_SourceData.Fertiliser_Products_Data5(),FertiliserProducts[[#Headers],[Company]], 121)</f>
        <v/>
      </c>
      <c r="AF212" s="192" t="str" cm="1">
        <f t="array" ref="AF212">Common_InputFunctions.Utility_DisplayArrayInTable(Fertiliser_SourceData.Fertiliser_Products_Data5(),FertiliserProducts[[#Headers],[Company]], 121)</f>
        <v/>
      </c>
      <c r="AG212" s="192" t="str" cm="1">
        <f t="array" ref="AG212">Common_InputFunctions.Utility_DisplayArrayInTable(Fertiliser_SourceData.Fertiliser_Products_Data5(),FertiliserProducts[[#Headers],[Company]], 121)</f>
        <v/>
      </c>
      <c r="AH212" s="192" t="str" cm="1">
        <f t="array" ref="AH212">Common_InputFunctions.Utility_DisplayArrayInTable(Fertiliser_SourceData.Fertiliser_Products_Data5(),FertiliserProducts[[#Headers],[Company]], 121)</f>
        <v/>
      </c>
    </row>
    <row r="213" spans="4:34" x14ac:dyDescent="0.25">
      <c r="D213" s="192" t="str" cm="1">
        <f t="array" ref="D213">Common_InputFunctions.Utility_DisplayArrayInTable(Fertiliser_SourceData.Fertiliser_Products_Data5(),FertiliserProducts[[#Headers],[Company]], 121)</f>
        <v>Wengfu Australia</v>
      </c>
      <c r="E213" s="192" t="str" cm="1">
        <f t="array" ref="E213">Common_InputFunctions.Utility_DisplayArrayInTable(Fertiliser_SourceData.Fertiliser_Products_Data5(),FertiliserProducts[[#Headers],[Company]], 121)</f>
        <v>Wengfu Booster Grass DAP</v>
      </c>
      <c r="F213" s="192" t="str" cm="1">
        <f t="array" ref="F213">Common_InputFunctions.Utility_DisplayArrayInTable(Fertiliser_SourceData.Fertiliser_Products_Data5(),FertiliserProducts[[#Headers],[Company]], 121)</f>
        <v>kg</v>
      </c>
      <c r="G213" s="192" cm="1">
        <f t="array" ref="G213">Common_InputFunctions.Utility_DisplayArrayInTable(Fertiliser_SourceData.Fertiliser_Products_Data5(),FertiliserProducts[[#Headers],[Company]], 121)</f>
        <v>1</v>
      </c>
      <c r="H213" s="192" t="str" cm="1">
        <f t="array" ref="H213">Common_InputFunctions.Utility_DisplayArrayInTable(Fertiliser_SourceData.Fertiliser_Products_Data5(),FertiliserProducts[[#Headers],[Company]], 121)</f>
        <v/>
      </c>
      <c r="I213" s="192" t="str" cm="1">
        <f t="array" ref="I213">Common_InputFunctions.Utility_DisplayArrayInTable(Fertiliser_SourceData.Fertiliser_Products_Data5(),FertiliserProducts[[#Headers],[Company]], 121)</f>
        <v/>
      </c>
      <c r="J213" s="192" t="str" cm="1">
        <f t="array" ref="J213">Common_InputFunctions.Utility_DisplayArrayInTable(Fertiliser_SourceData.Fertiliser_Products_Data5(),FertiliserProducts[[#Headers],[Company]], 121)</f>
        <v/>
      </c>
      <c r="K213" s="192" cm="1">
        <f t="array" ref="K213">Common_InputFunctions.Utility_DisplayArrayInTable(Fertiliser_SourceData.Fertiliser_Products_Data5(),FertiliserProducts[[#Headers],[Company]], 121)</f>
        <v>21</v>
      </c>
      <c r="L213" s="192" cm="1">
        <f t="array" ref="L213">Common_InputFunctions.Utility_DisplayArrayInTable(Fertiliser_SourceData.Fertiliser_Products_Data5(),FertiliserProducts[[#Headers],[Company]], 121)</f>
        <v>4</v>
      </c>
      <c r="M213" s="192" cm="1">
        <f t="array" ref="M213">Common_InputFunctions.Utility_DisplayArrayInTable(Fertiliser_SourceData.Fertiliser_Products_Data5(),FertiliserProducts[[#Headers],[Company]], 121)</f>
        <v>8</v>
      </c>
      <c r="N213" s="192" cm="1">
        <f t="array" ref="N213">Common_InputFunctions.Utility_DisplayArrayInTable(Fertiliser_SourceData.Fertiliser_Products_Data5(),FertiliserProducts[[#Headers],[Company]], 121)</f>
        <v>7</v>
      </c>
      <c r="O213" s="192" t="str" cm="1">
        <f t="array" ref="O213">Common_InputFunctions.Utility_DisplayArrayInTable(Fertiliser_SourceData.Fertiliser_Products_Data5(),FertiliserProducts[[#Headers],[Company]], 121)</f>
        <v>Nitrogen - Generic</v>
      </c>
      <c r="P213" s="192" cm="1">
        <f t="array" ref="P213">Common_InputFunctions.Utility_DisplayArrayInTable(Fertiliser_SourceData.Fertiliser_Products_Data5(),FertiliserProducts[[#Headers],[Company]], 121)</f>
        <v>0.21</v>
      </c>
      <c r="Q213" s="192" t="str" cm="1">
        <f t="array" ref="Q213">Common_InputFunctions.Utility_DisplayArrayInTable(Fertiliser_SourceData.Fertiliser_Products_Data5(),FertiliserProducts[[#Headers],[Company]], 121)</f>
        <v>Phosphorus - Generic</v>
      </c>
      <c r="R213" s="192" cm="1">
        <f t="array" ref="R213">Common_InputFunctions.Utility_DisplayArrayInTable(Fertiliser_SourceData.Fertiliser_Products_Data5(),FertiliserProducts[[#Headers],[Company]], 121)</f>
        <v>0.04</v>
      </c>
      <c r="S213" s="192" t="str" cm="1">
        <f t="array" ref="S213">Common_InputFunctions.Utility_DisplayArrayInTable(Fertiliser_SourceData.Fertiliser_Products_Data5(),FertiliserProducts[[#Headers],[Company]], 121)</f>
        <v>Potassium - Generic</v>
      </c>
      <c r="T213" s="192" cm="1">
        <f t="array" ref="T213">Common_InputFunctions.Utility_DisplayArrayInTable(Fertiliser_SourceData.Fertiliser_Products_Data5(),FertiliserProducts[[#Headers],[Company]], 121)</f>
        <v>0.08</v>
      </c>
      <c r="U213" s="192" t="str" cm="1">
        <f t="array" ref="U213">Common_InputFunctions.Utility_DisplayArrayInTable(Fertiliser_SourceData.Fertiliser_Products_Data5(),FertiliserProducts[[#Headers],[Company]], 121)</f>
        <v>Sulfur - Generic</v>
      </c>
      <c r="V213" s="192" cm="1">
        <f t="array" ref="V213">Common_InputFunctions.Utility_DisplayArrayInTable(Fertiliser_SourceData.Fertiliser_Products_Data5(),FertiliserProducts[[#Headers],[Company]], 121)</f>
        <v>7.0000000000000007E-2</v>
      </c>
      <c r="W213" s="192" t="str" cm="1">
        <f t="array" ref="W213">Common_InputFunctions.Utility_DisplayArrayInTable(Fertiliser_SourceData.Fertiliser_Products_Data5(),FertiliserProducts[[#Headers],[Company]], 121)</f>
        <v/>
      </c>
      <c r="X213" s="192" t="str" cm="1">
        <f t="array" ref="X213">Common_InputFunctions.Utility_DisplayArrayInTable(Fertiliser_SourceData.Fertiliser_Products_Data5(),FertiliserProducts[[#Headers],[Company]], 121)</f>
        <v/>
      </c>
      <c r="Y213" s="192" t="str" cm="1">
        <f t="array" ref="Y213">Common_InputFunctions.Utility_DisplayArrayInTable(Fertiliser_SourceData.Fertiliser_Products_Data5(),FertiliserProducts[[#Headers],[Company]], 121)</f>
        <v/>
      </c>
      <c r="Z213" s="192" t="str" cm="1">
        <f t="array" ref="Z213">Common_InputFunctions.Utility_DisplayArrayInTable(Fertiliser_SourceData.Fertiliser_Products_Data5(),FertiliserProducts[[#Headers],[Company]], 121)</f>
        <v/>
      </c>
      <c r="AA213" s="192" t="str" cm="1">
        <f t="array" ref="AA213">Common_InputFunctions.Utility_DisplayArrayInTable(Fertiliser_SourceData.Fertiliser_Products_Data5(),FertiliserProducts[[#Headers],[Company]], 121)</f>
        <v/>
      </c>
      <c r="AB213" s="192" t="str" cm="1">
        <f t="array" ref="AB213">Common_InputFunctions.Utility_DisplayArrayInTable(Fertiliser_SourceData.Fertiliser_Products_Data5(),FertiliserProducts[[#Headers],[Company]], 121)</f>
        <v/>
      </c>
      <c r="AC213" s="192" t="str" cm="1">
        <f t="array" ref="AC213">Common_InputFunctions.Utility_DisplayArrayInTable(Fertiliser_SourceData.Fertiliser_Products_Data5(),FertiliserProducts[[#Headers],[Company]], 121)</f>
        <v/>
      </c>
      <c r="AD213" s="192" t="str" cm="1">
        <f t="array" ref="AD213">Common_InputFunctions.Utility_DisplayArrayInTable(Fertiliser_SourceData.Fertiliser_Products_Data5(),FertiliserProducts[[#Headers],[Company]], 121)</f>
        <v/>
      </c>
      <c r="AE213" s="192" t="str" cm="1">
        <f t="array" ref="AE213">Common_InputFunctions.Utility_DisplayArrayInTable(Fertiliser_SourceData.Fertiliser_Products_Data5(),FertiliserProducts[[#Headers],[Company]], 121)</f>
        <v/>
      </c>
      <c r="AF213" s="192" t="str" cm="1">
        <f t="array" ref="AF213">Common_InputFunctions.Utility_DisplayArrayInTable(Fertiliser_SourceData.Fertiliser_Products_Data5(),FertiliserProducts[[#Headers],[Company]], 121)</f>
        <v/>
      </c>
      <c r="AG213" s="192" t="str" cm="1">
        <f t="array" ref="AG213">Common_InputFunctions.Utility_DisplayArrayInTable(Fertiliser_SourceData.Fertiliser_Products_Data5(),FertiliserProducts[[#Headers],[Company]], 121)</f>
        <v/>
      </c>
      <c r="AH213" s="192" t="str" cm="1">
        <f t="array" ref="AH213">Common_InputFunctions.Utility_DisplayArrayInTable(Fertiliser_SourceData.Fertiliser_Products_Data5(),FertiliserProducts[[#Headers],[Company]], 121)</f>
        <v/>
      </c>
    </row>
    <row r="214" spans="4:34" x14ac:dyDescent="0.25">
      <c r="D214" s="192" t="str" cm="1">
        <f t="array" ref="D214">Common_InputFunctions.Utility_DisplayArrayInTable(Fertiliser_SourceData.Fertiliser_Products_Data5(),FertiliserProducts[[#Headers],[Company]], 121)</f>
        <v>Wengfu Australia</v>
      </c>
      <c r="E214" s="192" t="str" cm="1">
        <f t="array" ref="E214">Common_InputFunctions.Utility_DisplayArrayInTable(Fertiliser_SourceData.Fertiliser_Products_Data5(),FertiliserProducts[[#Headers],[Company]], 121)</f>
        <v>Wengfu Aftergraze</v>
      </c>
      <c r="F214" s="192" t="str" cm="1">
        <f t="array" ref="F214">Common_InputFunctions.Utility_DisplayArrayInTable(Fertiliser_SourceData.Fertiliser_Products_Data5(),FertiliserProducts[[#Headers],[Company]], 121)</f>
        <v>kg</v>
      </c>
      <c r="G214" s="192" cm="1">
        <f t="array" ref="G214">Common_InputFunctions.Utility_DisplayArrayInTable(Fertiliser_SourceData.Fertiliser_Products_Data5(),FertiliserProducts[[#Headers],[Company]], 121)</f>
        <v>1</v>
      </c>
      <c r="H214" s="192" t="str" cm="1">
        <f t="array" ref="H214">Common_InputFunctions.Utility_DisplayArrayInTable(Fertiliser_SourceData.Fertiliser_Products_Data5(),FertiliserProducts[[#Headers],[Company]], 121)</f>
        <v/>
      </c>
      <c r="I214" s="192" t="str" cm="1">
        <f t="array" ref="I214">Common_InputFunctions.Utility_DisplayArrayInTable(Fertiliser_SourceData.Fertiliser_Products_Data5(),FertiliserProducts[[#Headers],[Company]], 121)</f>
        <v/>
      </c>
      <c r="J214" s="192" t="str" cm="1">
        <f t="array" ref="J214">Common_InputFunctions.Utility_DisplayArrayInTable(Fertiliser_SourceData.Fertiliser_Products_Data5(),FertiliserProducts[[#Headers],[Company]], 121)</f>
        <v/>
      </c>
      <c r="K214" s="192" cm="1">
        <f t="array" ref="K214">Common_InputFunctions.Utility_DisplayArrayInTable(Fertiliser_SourceData.Fertiliser_Products_Data5(),FertiliserProducts[[#Headers],[Company]], 121)</f>
        <v>23</v>
      </c>
      <c r="L214" s="192" cm="1">
        <f t="array" ref="L214">Common_InputFunctions.Utility_DisplayArrayInTable(Fertiliser_SourceData.Fertiliser_Products_Data5(),FertiliserProducts[[#Headers],[Company]], 121)</f>
        <v>0</v>
      </c>
      <c r="M214" s="192" cm="1">
        <f t="array" ref="M214">Common_InputFunctions.Utility_DisplayArrayInTable(Fertiliser_SourceData.Fertiliser_Products_Data5(),FertiliserProducts[[#Headers],[Company]], 121)</f>
        <v>25</v>
      </c>
      <c r="N214" s="192" cm="1">
        <f t="array" ref="N214">Common_InputFunctions.Utility_DisplayArrayInTable(Fertiliser_SourceData.Fertiliser_Products_Data5(),FertiliserProducts[[#Headers],[Company]], 121)</f>
        <v>0</v>
      </c>
      <c r="O214" s="192" t="str" cm="1">
        <f t="array" ref="O214">Common_InputFunctions.Utility_DisplayArrayInTable(Fertiliser_SourceData.Fertiliser_Products_Data5(),FertiliserProducts[[#Headers],[Company]], 121)</f>
        <v>Nitrogen - Generic</v>
      </c>
      <c r="P214" s="192" cm="1">
        <f t="array" ref="P214">Common_InputFunctions.Utility_DisplayArrayInTable(Fertiliser_SourceData.Fertiliser_Products_Data5(),FertiliserProducts[[#Headers],[Company]], 121)</f>
        <v>0.23</v>
      </c>
      <c r="Q214" s="192" t="str" cm="1">
        <f t="array" ref="Q214">Common_InputFunctions.Utility_DisplayArrayInTable(Fertiliser_SourceData.Fertiliser_Products_Data5(),FertiliserProducts[[#Headers],[Company]], 121)</f>
        <v>Potassium - Generic</v>
      </c>
      <c r="R214" s="192" cm="1">
        <f t="array" ref="R214">Common_InputFunctions.Utility_DisplayArrayInTable(Fertiliser_SourceData.Fertiliser_Products_Data5(),FertiliserProducts[[#Headers],[Company]], 121)</f>
        <v>0.25</v>
      </c>
      <c r="S214" s="192" t="str" cm="1">
        <f t="array" ref="S214">Common_InputFunctions.Utility_DisplayArrayInTable(Fertiliser_SourceData.Fertiliser_Products_Data5(),FertiliserProducts[[#Headers],[Company]], 121)</f>
        <v/>
      </c>
      <c r="T214" s="192" t="str" cm="1">
        <f t="array" ref="T214">Common_InputFunctions.Utility_DisplayArrayInTable(Fertiliser_SourceData.Fertiliser_Products_Data5(),FertiliserProducts[[#Headers],[Company]], 121)</f>
        <v/>
      </c>
      <c r="U214" s="192" t="str" cm="1">
        <f t="array" ref="U214">Common_InputFunctions.Utility_DisplayArrayInTable(Fertiliser_SourceData.Fertiliser_Products_Data5(),FertiliserProducts[[#Headers],[Company]], 121)</f>
        <v/>
      </c>
      <c r="V214" s="192" t="str" cm="1">
        <f t="array" ref="V214">Common_InputFunctions.Utility_DisplayArrayInTable(Fertiliser_SourceData.Fertiliser_Products_Data5(),FertiliserProducts[[#Headers],[Company]], 121)</f>
        <v/>
      </c>
      <c r="W214" s="192" t="str" cm="1">
        <f t="array" ref="W214">Common_InputFunctions.Utility_DisplayArrayInTable(Fertiliser_SourceData.Fertiliser_Products_Data5(),FertiliserProducts[[#Headers],[Company]], 121)</f>
        <v/>
      </c>
      <c r="X214" s="192" t="str" cm="1">
        <f t="array" ref="X214">Common_InputFunctions.Utility_DisplayArrayInTable(Fertiliser_SourceData.Fertiliser_Products_Data5(),FertiliserProducts[[#Headers],[Company]], 121)</f>
        <v/>
      </c>
      <c r="Y214" s="192" t="str" cm="1">
        <f t="array" ref="Y214">Common_InputFunctions.Utility_DisplayArrayInTable(Fertiliser_SourceData.Fertiliser_Products_Data5(),FertiliserProducts[[#Headers],[Company]], 121)</f>
        <v/>
      </c>
      <c r="Z214" s="192" t="str" cm="1">
        <f t="array" ref="Z214">Common_InputFunctions.Utility_DisplayArrayInTable(Fertiliser_SourceData.Fertiliser_Products_Data5(),FertiliserProducts[[#Headers],[Company]], 121)</f>
        <v/>
      </c>
      <c r="AA214" s="192" t="str" cm="1">
        <f t="array" ref="AA214">Common_InputFunctions.Utility_DisplayArrayInTable(Fertiliser_SourceData.Fertiliser_Products_Data5(),FertiliserProducts[[#Headers],[Company]], 121)</f>
        <v/>
      </c>
      <c r="AB214" s="192" t="str" cm="1">
        <f t="array" ref="AB214">Common_InputFunctions.Utility_DisplayArrayInTable(Fertiliser_SourceData.Fertiliser_Products_Data5(),FertiliserProducts[[#Headers],[Company]], 121)</f>
        <v/>
      </c>
      <c r="AC214" s="192" t="str" cm="1">
        <f t="array" ref="AC214">Common_InputFunctions.Utility_DisplayArrayInTable(Fertiliser_SourceData.Fertiliser_Products_Data5(),FertiliserProducts[[#Headers],[Company]], 121)</f>
        <v/>
      </c>
      <c r="AD214" s="192" t="str" cm="1">
        <f t="array" ref="AD214">Common_InputFunctions.Utility_DisplayArrayInTable(Fertiliser_SourceData.Fertiliser_Products_Data5(),FertiliserProducts[[#Headers],[Company]], 121)</f>
        <v/>
      </c>
      <c r="AE214" s="192" t="str" cm="1">
        <f t="array" ref="AE214">Common_InputFunctions.Utility_DisplayArrayInTable(Fertiliser_SourceData.Fertiliser_Products_Data5(),FertiliserProducts[[#Headers],[Company]], 121)</f>
        <v/>
      </c>
      <c r="AF214" s="192" t="str" cm="1">
        <f t="array" ref="AF214">Common_InputFunctions.Utility_DisplayArrayInTable(Fertiliser_SourceData.Fertiliser_Products_Data5(),FertiliserProducts[[#Headers],[Company]], 121)</f>
        <v/>
      </c>
      <c r="AG214" s="192" t="str" cm="1">
        <f t="array" ref="AG214">Common_InputFunctions.Utility_DisplayArrayInTable(Fertiliser_SourceData.Fertiliser_Products_Data5(),FertiliserProducts[[#Headers],[Company]], 121)</f>
        <v/>
      </c>
      <c r="AH214" s="192" t="str" cm="1">
        <f t="array" ref="AH214">Common_InputFunctions.Utility_DisplayArrayInTable(Fertiliser_SourceData.Fertiliser_Products_Data5(),FertiliserProducts[[#Headers],[Company]], 121)</f>
        <v/>
      </c>
    </row>
    <row r="215" spans="4:34" x14ac:dyDescent="0.25">
      <c r="D215" s="192" t="str" cm="1">
        <f t="array" ref="D215">Common_InputFunctions.Utility_DisplayArrayInTable(Fertiliser_SourceData.Fertiliser_Products_Data5(),FertiliserProducts[[#Headers],[Company]], 121)</f>
        <v>Wengfu Australia</v>
      </c>
      <c r="E215" s="192" t="str" cm="1">
        <f t="array" ref="E215">Common_InputFunctions.Utility_DisplayArrayInTable(Fertiliser_SourceData.Fertiliser_Products_Data5(),FertiliserProducts[[#Headers],[Company]], 121)</f>
        <v>Wengfu Sidedress</v>
      </c>
      <c r="F215" s="192" t="str" cm="1">
        <f t="array" ref="F215">Common_InputFunctions.Utility_DisplayArrayInTable(Fertiliser_SourceData.Fertiliser_Products_Data5(),FertiliserProducts[[#Headers],[Company]], 121)</f>
        <v>kg</v>
      </c>
      <c r="G215" s="192" cm="1">
        <f t="array" ref="G215">Common_InputFunctions.Utility_DisplayArrayInTable(Fertiliser_SourceData.Fertiliser_Products_Data5(),FertiliserProducts[[#Headers],[Company]], 121)</f>
        <v>1</v>
      </c>
      <c r="H215" s="192" t="str" cm="1">
        <f t="array" ref="H215">Common_InputFunctions.Utility_DisplayArrayInTable(Fertiliser_SourceData.Fertiliser_Products_Data5(),FertiliserProducts[[#Headers],[Company]], 121)</f>
        <v/>
      </c>
      <c r="I215" s="192" t="str" cm="1">
        <f t="array" ref="I215">Common_InputFunctions.Utility_DisplayArrayInTable(Fertiliser_SourceData.Fertiliser_Products_Data5(),FertiliserProducts[[#Headers],[Company]], 121)</f>
        <v/>
      </c>
      <c r="J215" s="192" t="str" cm="1">
        <f t="array" ref="J215">Common_InputFunctions.Utility_DisplayArrayInTable(Fertiliser_SourceData.Fertiliser_Products_Data5(),FertiliserProducts[[#Headers],[Company]], 121)</f>
        <v/>
      </c>
      <c r="K215" s="192" cm="1">
        <f t="array" ref="K215">Common_InputFunctions.Utility_DisplayArrayInTable(Fertiliser_SourceData.Fertiliser_Products_Data5(),FertiliserProducts[[#Headers],[Company]], 121)</f>
        <v>25</v>
      </c>
      <c r="L215" s="192" cm="1">
        <f t="array" ref="L215">Common_InputFunctions.Utility_DisplayArrayInTable(Fertiliser_SourceData.Fertiliser_Products_Data5(),FertiliserProducts[[#Headers],[Company]], 121)</f>
        <v>4</v>
      </c>
      <c r="M215" s="192" cm="1">
        <f t="array" ref="M215">Common_InputFunctions.Utility_DisplayArrayInTable(Fertiliser_SourceData.Fertiliser_Products_Data5(),FertiliserProducts[[#Headers],[Company]], 121)</f>
        <v>13</v>
      </c>
      <c r="N215" s="192" cm="1">
        <f t="array" ref="N215">Common_InputFunctions.Utility_DisplayArrayInTable(Fertiliser_SourceData.Fertiliser_Products_Data5(),FertiliserProducts[[#Headers],[Company]], 121)</f>
        <v>4</v>
      </c>
      <c r="O215" s="192" t="str" cm="1">
        <f t="array" ref="O215">Common_InputFunctions.Utility_DisplayArrayInTable(Fertiliser_SourceData.Fertiliser_Products_Data5(),FertiliserProducts[[#Headers],[Company]], 121)</f>
        <v>Nitrogen - Generic</v>
      </c>
      <c r="P215" s="192" cm="1">
        <f t="array" ref="P215">Common_InputFunctions.Utility_DisplayArrayInTable(Fertiliser_SourceData.Fertiliser_Products_Data5(),FertiliserProducts[[#Headers],[Company]], 121)</f>
        <v>0.25</v>
      </c>
      <c r="Q215" s="192" t="str" cm="1">
        <f t="array" ref="Q215">Common_InputFunctions.Utility_DisplayArrayInTable(Fertiliser_SourceData.Fertiliser_Products_Data5(),FertiliserProducts[[#Headers],[Company]], 121)</f>
        <v>Phosphorus - Generic</v>
      </c>
      <c r="R215" s="192" cm="1">
        <f t="array" ref="R215">Common_InputFunctions.Utility_DisplayArrayInTable(Fertiliser_SourceData.Fertiliser_Products_Data5(),FertiliserProducts[[#Headers],[Company]], 121)</f>
        <v>0.04</v>
      </c>
      <c r="S215" s="192" t="str" cm="1">
        <f t="array" ref="S215">Common_InputFunctions.Utility_DisplayArrayInTable(Fertiliser_SourceData.Fertiliser_Products_Data5(),FertiliserProducts[[#Headers],[Company]], 121)</f>
        <v>Potassium - Generic</v>
      </c>
      <c r="T215" s="192" cm="1">
        <f t="array" ref="T215">Common_InputFunctions.Utility_DisplayArrayInTable(Fertiliser_SourceData.Fertiliser_Products_Data5(),FertiliserProducts[[#Headers],[Company]], 121)</f>
        <v>0.13</v>
      </c>
      <c r="U215" s="192" t="str" cm="1">
        <f t="array" ref="U215">Common_InputFunctions.Utility_DisplayArrayInTable(Fertiliser_SourceData.Fertiliser_Products_Data5(),FertiliserProducts[[#Headers],[Company]], 121)</f>
        <v>Sulfur - Generic</v>
      </c>
      <c r="V215" s="192" cm="1">
        <f t="array" ref="V215">Common_InputFunctions.Utility_DisplayArrayInTable(Fertiliser_SourceData.Fertiliser_Products_Data5(),FertiliserProducts[[#Headers],[Company]], 121)</f>
        <v>0.04</v>
      </c>
      <c r="W215" s="192" t="str" cm="1">
        <f t="array" ref="W215">Common_InputFunctions.Utility_DisplayArrayInTable(Fertiliser_SourceData.Fertiliser_Products_Data5(),FertiliserProducts[[#Headers],[Company]], 121)</f>
        <v/>
      </c>
      <c r="X215" s="192" t="str" cm="1">
        <f t="array" ref="X215">Common_InputFunctions.Utility_DisplayArrayInTable(Fertiliser_SourceData.Fertiliser_Products_Data5(),FertiliserProducts[[#Headers],[Company]], 121)</f>
        <v/>
      </c>
      <c r="Y215" s="192" t="str" cm="1">
        <f t="array" ref="Y215">Common_InputFunctions.Utility_DisplayArrayInTable(Fertiliser_SourceData.Fertiliser_Products_Data5(),FertiliserProducts[[#Headers],[Company]], 121)</f>
        <v/>
      </c>
      <c r="Z215" s="192" t="str" cm="1">
        <f t="array" ref="Z215">Common_InputFunctions.Utility_DisplayArrayInTable(Fertiliser_SourceData.Fertiliser_Products_Data5(),FertiliserProducts[[#Headers],[Company]], 121)</f>
        <v/>
      </c>
      <c r="AA215" s="192" t="str" cm="1">
        <f t="array" ref="AA215">Common_InputFunctions.Utility_DisplayArrayInTable(Fertiliser_SourceData.Fertiliser_Products_Data5(),FertiliserProducts[[#Headers],[Company]], 121)</f>
        <v/>
      </c>
      <c r="AB215" s="192" t="str" cm="1">
        <f t="array" ref="AB215">Common_InputFunctions.Utility_DisplayArrayInTable(Fertiliser_SourceData.Fertiliser_Products_Data5(),FertiliserProducts[[#Headers],[Company]], 121)</f>
        <v/>
      </c>
      <c r="AC215" s="192" t="str" cm="1">
        <f t="array" ref="AC215">Common_InputFunctions.Utility_DisplayArrayInTable(Fertiliser_SourceData.Fertiliser_Products_Data5(),FertiliserProducts[[#Headers],[Company]], 121)</f>
        <v/>
      </c>
      <c r="AD215" s="192" t="str" cm="1">
        <f t="array" ref="AD215">Common_InputFunctions.Utility_DisplayArrayInTable(Fertiliser_SourceData.Fertiliser_Products_Data5(),FertiliserProducts[[#Headers],[Company]], 121)</f>
        <v/>
      </c>
      <c r="AE215" s="192" t="str" cm="1">
        <f t="array" ref="AE215">Common_InputFunctions.Utility_DisplayArrayInTable(Fertiliser_SourceData.Fertiliser_Products_Data5(),FertiliserProducts[[#Headers],[Company]], 121)</f>
        <v/>
      </c>
      <c r="AF215" s="192" t="str" cm="1">
        <f t="array" ref="AF215">Common_InputFunctions.Utility_DisplayArrayInTable(Fertiliser_SourceData.Fertiliser_Products_Data5(),FertiliserProducts[[#Headers],[Company]], 121)</f>
        <v/>
      </c>
      <c r="AG215" s="192" t="str" cm="1">
        <f t="array" ref="AG215">Common_InputFunctions.Utility_DisplayArrayInTable(Fertiliser_SourceData.Fertiliser_Products_Data5(),FertiliserProducts[[#Headers],[Company]], 121)</f>
        <v/>
      </c>
      <c r="AH215" s="192" t="str" cm="1">
        <f t="array" ref="AH215">Common_InputFunctions.Utility_DisplayArrayInTable(Fertiliser_SourceData.Fertiliser_Products_Data5(),FertiliserProducts[[#Headers],[Company]], 121)</f>
        <v/>
      </c>
    </row>
    <row r="216" spans="4:34" x14ac:dyDescent="0.25">
      <c r="D216" s="192" t="str" cm="1">
        <f t="array" ref="D216">Common_InputFunctions.Utility_DisplayArrayInTable(Fertiliser_SourceData.Fertiliser_Products_Data5(),FertiliserProducts[[#Headers],[Company]], 121)</f>
        <v>Wengfu Australia</v>
      </c>
      <c r="E216" s="192" t="str" cm="1">
        <f t="array" ref="E216">Common_InputFunctions.Utility_DisplayArrayInTable(Fertiliser_SourceData.Fertiliser_Products_Data5(),FertiliserProducts[[#Headers],[Company]], 121)</f>
        <v>Wengfu Pasture Booster</v>
      </c>
      <c r="F216" s="192" t="str" cm="1">
        <f t="array" ref="F216">Common_InputFunctions.Utility_DisplayArrayInTable(Fertiliser_SourceData.Fertiliser_Products_Data5(),FertiliserProducts[[#Headers],[Company]], 121)</f>
        <v>kg</v>
      </c>
      <c r="G216" s="192" cm="1">
        <f t="array" ref="G216">Common_InputFunctions.Utility_DisplayArrayInTable(Fertiliser_SourceData.Fertiliser_Products_Data5(),FertiliserProducts[[#Headers],[Company]], 121)</f>
        <v>1</v>
      </c>
      <c r="H216" s="192" t="str" cm="1">
        <f t="array" ref="H216">Common_InputFunctions.Utility_DisplayArrayInTable(Fertiliser_SourceData.Fertiliser_Products_Data5(),FertiliserProducts[[#Headers],[Company]], 121)</f>
        <v/>
      </c>
      <c r="I216" s="192" t="str" cm="1">
        <f t="array" ref="I216">Common_InputFunctions.Utility_DisplayArrayInTable(Fertiliser_SourceData.Fertiliser_Products_Data5(),FertiliserProducts[[#Headers],[Company]], 121)</f>
        <v/>
      </c>
      <c r="J216" s="192" t="str" cm="1">
        <f t="array" ref="J216">Common_InputFunctions.Utility_DisplayArrayInTable(Fertiliser_SourceData.Fertiliser_Products_Data5(),FertiliserProducts[[#Headers],[Company]], 121)</f>
        <v/>
      </c>
      <c r="K216" s="192" cm="1">
        <f t="array" ref="K216">Common_InputFunctions.Utility_DisplayArrayInTable(Fertiliser_SourceData.Fertiliser_Products_Data5(),FertiliserProducts[[#Headers],[Company]], 121)</f>
        <v>13</v>
      </c>
      <c r="L216" s="192" cm="1">
        <f t="array" ref="L216">Common_InputFunctions.Utility_DisplayArrayInTable(Fertiliser_SourceData.Fertiliser_Products_Data5(),FertiliserProducts[[#Headers],[Company]], 121)</f>
        <v>5</v>
      </c>
      <c r="M216" s="192" cm="1">
        <f t="array" ref="M216">Common_InputFunctions.Utility_DisplayArrayInTable(Fertiliser_SourceData.Fertiliser_Products_Data5(),FertiliserProducts[[#Headers],[Company]], 121)</f>
        <v>24</v>
      </c>
      <c r="N216" s="192" cm="1">
        <f t="array" ref="N216">Common_InputFunctions.Utility_DisplayArrayInTable(Fertiliser_SourceData.Fertiliser_Products_Data5(),FertiliserProducts[[#Headers],[Company]], 121)</f>
        <v>5</v>
      </c>
      <c r="O216" s="192" t="str" cm="1">
        <f t="array" ref="O216">Common_InputFunctions.Utility_DisplayArrayInTable(Fertiliser_SourceData.Fertiliser_Products_Data5(),FertiliserProducts[[#Headers],[Company]], 121)</f>
        <v>Nitrogen - Generic</v>
      </c>
      <c r="P216" s="192" cm="1">
        <f t="array" ref="P216">Common_InputFunctions.Utility_DisplayArrayInTable(Fertiliser_SourceData.Fertiliser_Products_Data5(),FertiliserProducts[[#Headers],[Company]], 121)</f>
        <v>0.13</v>
      </c>
      <c r="Q216" s="192" t="str" cm="1">
        <f t="array" ref="Q216">Common_InputFunctions.Utility_DisplayArrayInTable(Fertiliser_SourceData.Fertiliser_Products_Data5(),FertiliserProducts[[#Headers],[Company]], 121)</f>
        <v>Phosphorus - Generic</v>
      </c>
      <c r="R216" s="192" cm="1">
        <f t="array" ref="R216">Common_InputFunctions.Utility_DisplayArrayInTable(Fertiliser_SourceData.Fertiliser_Products_Data5(),FertiliserProducts[[#Headers],[Company]], 121)</f>
        <v>0.05</v>
      </c>
      <c r="S216" s="192" t="str" cm="1">
        <f t="array" ref="S216">Common_InputFunctions.Utility_DisplayArrayInTable(Fertiliser_SourceData.Fertiliser_Products_Data5(),FertiliserProducts[[#Headers],[Company]], 121)</f>
        <v>Potassium - Generic</v>
      </c>
      <c r="T216" s="192" cm="1">
        <f t="array" ref="T216">Common_InputFunctions.Utility_DisplayArrayInTable(Fertiliser_SourceData.Fertiliser_Products_Data5(),FertiliserProducts[[#Headers],[Company]], 121)</f>
        <v>0.24</v>
      </c>
      <c r="U216" s="192" t="str" cm="1">
        <f t="array" ref="U216">Common_InputFunctions.Utility_DisplayArrayInTable(Fertiliser_SourceData.Fertiliser_Products_Data5(),FertiliserProducts[[#Headers],[Company]], 121)</f>
        <v>Sulfur - Generic</v>
      </c>
      <c r="V216" s="192" cm="1">
        <f t="array" ref="V216">Common_InputFunctions.Utility_DisplayArrayInTable(Fertiliser_SourceData.Fertiliser_Products_Data5(),FertiliserProducts[[#Headers],[Company]], 121)</f>
        <v>0.05</v>
      </c>
      <c r="W216" s="192" t="str" cm="1">
        <f t="array" ref="W216">Common_InputFunctions.Utility_DisplayArrayInTable(Fertiliser_SourceData.Fertiliser_Products_Data5(),FertiliserProducts[[#Headers],[Company]], 121)</f>
        <v/>
      </c>
      <c r="X216" s="192" t="str" cm="1">
        <f t="array" ref="X216">Common_InputFunctions.Utility_DisplayArrayInTable(Fertiliser_SourceData.Fertiliser_Products_Data5(),FertiliserProducts[[#Headers],[Company]], 121)</f>
        <v/>
      </c>
      <c r="Y216" s="192" t="str" cm="1">
        <f t="array" ref="Y216">Common_InputFunctions.Utility_DisplayArrayInTable(Fertiliser_SourceData.Fertiliser_Products_Data5(),FertiliserProducts[[#Headers],[Company]], 121)</f>
        <v/>
      </c>
      <c r="Z216" s="192" t="str" cm="1">
        <f t="array" ref="Z216">Common_InputFunctions.Utility_DisplayArrayInTable(Fertiliser_SourceData.Fertiliser_Products_Data5(),FertiliserProducts[[#Headers],[Company]], 121)</f>
        <v/>
      </c>
      <c r="AA216" s="192" t="str" cm="1">
        <f t="array" ref="AA216">Common_InputFunctions.Utility_DisplayArrayInTable(Fertiliser_SourceData.Fertiliser_Products_Data5(),FertiliserProducts[[#Headers],[Company]], 121)</f>
        <v/>
      </c>
      <c r="AB216" s="192" t="str" cm="1">
        <f t="array" ref="AB216">Common_InputFunctions.Utility_DisplayArrayInTable(Fertiliser_SourceData.Fertiliser_Products_Data5(),FertiliserProducts[[#Headers],[Company]], 121)</f>
        <v/>
      </c>
      <c r="AC216" s="192" t="str" cm="1">
        <f t="array" ref="AC216">Common_InputFunctions.Utility_DisplayArrayInTable(Fertiliser_SourceData.Fertiliser_Products_Data5(),FertiliserProducts[[#Headers],[Company]], 121)</f>
        <v/>
      </c>
      <c r="AD216" s="192" t="str" cm="1">
        <f t="array" ref="AD216">Common_InputFunctions.Utility_DisplayArrayInTable(Fertiliser_SourceData.Fertiliser_Products_Data5(),FertiliserProducts[[#Headers],[Company]], 121)</f>
        <v/>
      </c>
      <c r="AE216" s="192" t="str" cm="1">
        <f t="array" ref="AE216">Common_InputFunctions.Utility_DisplayArrayInTable(Fertiliser_SourceData.Fertiliser_Products_Data5(),FertiliserProducts[[#Headers],[Company]], 121)</f>
        <v/>
      </c>
      <c r="AF216" s="192" t="str" cm="1">
        <f t="array" ref="AF216">Common_InputFunctions.Utility_DisplayArrayInTable(Fertiliser_SourceData.Fertiliser_Products_Data5(),FertiliserProducts[[#Headers],[Company]], 121)</f>
        <v/>
      </c>
      <c r="AG216" s="192" t="str" cm="1">
        <f t="array" ref="AG216">Common_InputFunctions.Utility_DisplayArrayInTable(Fertiliser_SourceData.Fertiliser_Products_Data5(),FertiliserProducts[[#Headers],[Company]], 121)</f>
        <v/>
      </c>
      <c r="AH216" s="192" t="str" cm="1">
        <f t="array" ref="AH216">Common_InputFunctions.Utility_DisplayArrayInTable(Fertiliser_SourceData.Fertiliser_Products_Data5(),FertiliserProducts[[#Headers],[Company]], 121)</f>
        <v/>
      </c>
    </row>
    <row r="217" spans="4:34" x14ac:dyDescent="0.25">
      <c r="D217" s="192" t="str" cm="1">
        <f t="array" ref="D217">Common_InputFunctions.Utility_DisplayArrayInTable(Fertiliser_SourceData.Fertiliser_Products_Data5(),FertiliserProducts[[#Headers],[Company]], 121)</f>
        <v>Wengfu Australia</v>
      </c>
      <c r="E217" s="192" t="str" cm="1">
        <f t="array" ref="E217">Common_InputFunctions.Utility_DisplayArrayInTable(Fertiliser_SourceData.Fertiliser_Products_Data5(),FertiliserProducts[[#Headers],[Company]], 121)</f>
        <v>Wengfu DAP Hay Booster</v>
      </c>
      <c r="F217" s="192" t="str" cm="1">
        <f t="array" ref="F217">Common_InputFunctions.Utility_DisplayArrayInTable(Fertiliser_SourceData.Fertiliser_Products_Data5(),FertiliserProducts[[#Headers],[Company]], 121)</f>
        <v>kg</v>
      </c>
      <c r="G217" s="192" cm="1">
        <f t="array" ref="G217">Common_InputFunctions.Utility_DisplayArrayInTable(Fertiliser_SourceData.Fertiliser_Products_Data5(),FertiliserProducts[[#Headers],[Company]], 121)</f>
        <v>1</v>
      </c>
      <c r="H217" s="192" t="str" cm="1">
        <f t="array" ref="H217">Common_InputFunctions.Utility_DisplayArrayInTable(Fertiliser_SourceData.Fertiliser_Products_Data5(),FertiliserProducts[[#Headers],[Company]], 121)</f>
        <v/>
      </c>
      <c r="I217" s="192" t="str" cm="1">
        <f t="array" ref="I217">Common_InputFunctions.Utility_DisplayArrayInTable(Fertiliser_SourceData.Fertiliser_Products_Data5(),FertiliserProducts[[#Headers],[Company]], 121)</f>
        <v/>
      </c>
      <c r="J217" s="192" t="str" cm="1">
        <f t="array" ref="J217">Common_InputFunctions.Utility_DisplayArrayInTable(Fertiliser_SourceData.Fertiliser_Products_Data5(),FertiliserProducts[[#Headers],[Company]], 121)</f>
        <v/>
      </c>
      <c r="K217" s="192" cm="1">
        <f t="array" ref="K217">Common_InputFunctions.Utility_DisplayArrayInTable(Fertiliser_SourceData.Fertiliser_Products_Data5(),FertiliserProducts[[#Headers],[Company]], 121)</f>
        <v>11</v>
      </c>
      <c r="L217" s="192" cm="1">
        <f t="array" ref="L217">Common_InputFunctions.Utility_DisplayArrayInTable(Fertiliser_SourceData.Fertiliser_Products_Data5(),FertiliserProducts[[#Headers],[Company]], 121)</f>
        <v>5</v>
      </c>
      <c r="M217" s="192" cm="1">
        <f t="array" ref="M217">Common_InputFunctions.Utility_DisplayArrayInTable(Fertiliser_SourceData.Fertiliser_Products_Data5(),FertiliserProducts[[#Headers],[Company]], 121)</f>
        <v>24</v>
      </c>
      <c r="N217" s="192" cm="1">
        <f t="array" ref="N217">Common_InputFunctions.Utility_DisplayArrayInTable(Fertiliser_SourceData.Fertiliser_Products_Data5(),FertiliserProducts[[#Headers],[Company]], 121)</f>
        <v>4</v>
      </c>
      <c r="O217" s="192" t="str" cm="1">
        <f t="array" ref="O217">Common_InputFunctions.Utility_DisplayArrayInTable(Fertiliser_SourceData.Fertiliser_Products_Data5(),FertiliserProducts[[#Headers],[Company]], 121)</f>
        <v>Nitrogen - Generic</v>
      </c>
      <c r="P217" s="192" cm="1">
        <f t="array" ref="P217">Common_InputFunctions.Utility_DisplayArrayInTable(Fertiliser_SourceData.Fertiliser_Products_Data5(),FertiliserProducts[[#Headers],[Company]], 121)</f>
        <v>0.11</v>
      </c>
      <c r="Q217" s="192" t="str" cm="1">
        <f t="array" ref="Q217">Common_InputFunctions.Utility_DisplayArrayInTable(Fertiliser_SourceData.Fertiliser_Products_Data5(),FertiliserProducts[[#Headers],[Company]], 121)</f>
        <v>Phosphorus - Generic</v>
      </c>
      <c r="R217" s="192" cm="1">
        <f t="array" ref="R217">Common_InputFunctions.Utility_DisplayArrayInTable(Fertiliser_SourceData.Fertiliser_Products_Data5(),FertiliserProducts[[#Headers],[Company]], 121)</f>
        <v>0.05</v>
      </c>
      <c r="S217" s="192" t="str" cm="1">
        <f t="array" ref="S217">Common_InputFunctions.Utility_DisplayArrayInTable(Fertiliser_SourceData.Fertiliser_Products_Data5(),FertiliserProducts[[#Headers],[Company]], 121)</f>
        <v>Potassium - Generic</v>
      </c>
      <c r="T217" s="192" cm="1">
        <f t="array" ref="T217">Common_InputFunctions.Utility_DisplayArrayInTable(Fertiliser_SourceData.Fertiliser_Products_Data5(),FertiliserProducts[[#Headers],[Company]], 121)</f>
        <v>0.24</v>
      </c>
      <c r="U217" s="192" t="str" cm="1">
        <f t="array" ref="U217">Common_InputFunctions.Utility_DisplayArrayInTable(Fertiliser_SourceData.Fertiliser_Products_Data5(),FertiliserProducts[[#Headers],[Company]], 121)</f>
        <v>Sulfur - Generic</v>
      </c>
      <c r="V217" s="192" cm="1">
        <f t="array" ref="V217">Common_InputFunctions.Utility_DisplayArrayInTable(Fertiliser_SourceData.Fertiliser_Products_Data5(),FertiliserProducts[[#Headers],[Company]], 121)</f>
        <v>0.04</v>
      </c>
      <c r="W217" s="192" t="str" cm="1">
        <f t="array" ref="W217">Common_InputFunctions.Utility_DisplayArrayInTable(Fertiliser_SourceData.Fertiliser_Products_Data5(),FertiliserProducts[[#Headers],[Company]], 121)</f>
        <v/>
      </c>
      <c r="X217" s="192" t="str" cm="1">
        <f t="array" ref="X217">Common_InputFunctions.Utility_DisplayArrayInTable(Fertiliser_SourceData.Fertiliser_Products_Data5(),FertiliserProducts[[#Headers],[Company]], 121)</f>
        <v/>
      </c>
      <c r="Y217" s="192" t="str" cm="1">
        <f t="array" ref="Y217">Common_InputFunctions.Utility_DisplayArrayInTable(Fertiliser_SourceData.Fertiliser_Products_Data5(),FertiliserProducts[[#Headers],[Company]], 121)</f>
        <v/>
      </c>
      <c r="Z217" s="192" t="str" cm="1">
        <f t="array" ref="Z217">Common_InputFunctions.Utility_DisplayArrayInTable(Fertiliser_SourceData.Fertiliser_Products_Data5(),FertiliserProducts[[#Headers],[Company]], 121)</f>
        <v/>
      </c>
      <c r="AA217" s="192" t="str" cm="1">
        <f t="array" ref="AA217">Common_InputFunctions.Utility_DisplayArrayInTable(Fertiliser_SourceData.Fertiliser_Products_Data5(),FertiliserProducts[[#Headers],[Company]], 121)</f>
        <v/>
      </c>
      <c r="AB217" s="192" t="str" cm="1">
        <f t="array" ref="AB217">Common_InputFunctions.Utility_DisplayArrayInTable(Fertiliser_SourceData.Fertiliser_Products_Data5(),FertiliserProducts[[#Headers],[Company]], 121)</f>
        <v/>
      </c>
      <c r="AC217" s="192" t="str" cm="1">
        <f t="array" ref="AC217">Common_InputFunctions.Utility_DisplayArrayInTable(Fertiliser_SourceData.Fertiliser_Products_Data5(),FertiliserProducts[[#Headers],[Company]], 121)</f>
        <v/>
      </c>
      <c r="AD217" s="192" t="str" cm="1">
        <f t="array" ref="AD217">Common_InputFunctions.Utility_DisplayArrayInTable(Fertiliser_SourceData.Fertiliser_Products_Data5(),FertiliserProducts[[#Headers],[Company]], 121)</f>
        <v/>
      </c>
      <c r="AE217" s="192" t="str" cm="1">
        <f t="array" ref="AE217">Common_InputFunctions.Utility_DisplayArrayInTable(Fertiliser_SourceData.Fertiliser_Products_Data5(),FertiliserProducts[[#Headers],[Company]], 121)</f>
        <v/>
      </c>
      <c r="AF217" s="192" t="str" cm="1">
        <f t="array" ref="AF217">Common_InputFunctions.Utility_DisplayArrayInTable(Fertiliser_SourceData.Fertiliser_Products_Data5(),FertiliserProducts[[#Headers],[Company]], 121)</f>
        <v/>
      </c>
      <c r="AG217" s="192" t="str" cm="1">
        <f t="array" ref="AG217">Common_InputFunctions.Utility_DisplayArrayInTable(Fertiliser_SourceData.Fertiliser_Products_Data5(),FertiliserProducts[[#Headers],[Company]], 121)</f>
        <v/>
      </c>
      <c r="AH217" s="192" t="str" cm="1">
        <f t="array" ref="AH217">Common_InputFunctions.Utility_DisplayArrayInTable(Fertiliser_SourceData.Fertiliser_Products_Data5(),FertiliserProducts[[#Headers],[Company]], 121)</f>
        <v/>
      </c>
    </row>
    <row r="218" spans="4:34" x14ac:dyDescent="0.25">
      <c r="D218" s="192" t="str" cm="1">
        <f t="array" ref="D218">Common_InputFunctions.Utility_DisplayArrayInTable(Fertiliser_SourceData.Fertiliser_Products_Data5(),FertiliserProducts[[#Headers],[Company]], 121)</f>
        <v>Wengfu Australia</v>
      </c>
      <c r="E218" s="192" t="str" cm="1">
        <f t="array" ref="E218">Common_InputFunctions.Utility_DisplayArrayInTable(Fertiliser_SourceData.Fertiliser_Products_Data5(),FertiliserProducts[[#Headers],[Company]], 121)</f>
        <v>Wengfu MAP Hay Booster</v>
      </c>
      <c r="F218" s="192" t="str" cm="1">
        <f t="array" ref="F218">Common_InputFunctions.Utility_DisplayArrayInTable(Fertiliser_SourceData.Fertiliser_Products_Data5(),FertiliserProducts[[#Headers],[Company]], 121)</f>
        <v>kg</v>
      </c>
      <c r="G218" s="192" cm="1">
        <f t="array" ref="G218">Common_InputFunctions.Utility_DisplayArrayInTable(Fertiliser_SourceData.Fertiliser_Products_Data5(),FertiliserProducts[[#Headers],[Company]], 121)</f>
        <v>1</v>
      </c>
      <c r="H218" s="192" t="str" cm="1">
        <f t="array" ref="H218">Common_InputFunctions.Utility_DisplayArrayInTable(Fertiliser_SourceData.Fertiliser_Products_Data5(),FertiliserProducts[[#Headers],[Company]], 121)</f>
        <v/>
      </c>
      <c r="I218" s="192" t="str" cm="1">
        <f t="array" ref="I218">Common_InputFunctions.Utility_DisplayArrayInTable(Fertiliser_SourceData.Fertiliser_Products_Data5(),FertiliserProducts[[#Headers],[Company]], 121)</f>
        <v/>
      </c>
      <c r="J218" s="192" t="str" cm="1">
        <f t="array" ref="J218">Common_InputFunctions.Utility_DisplayArrayInTable(Fertiliser_SourceData.Fertiliser_Products_Data5(),FertiliserProducts[[#Headers],[Company]], 121)</f>
        <v/>
      </c>
      <c r="K218" s="192" cm="1">
        <f t="array" ref="K218">Common_InputFunctions.Utility_DisplayArrayInTable(Fertiliser_SourceData.Fertiliser_Products_Data5(),FertiliserProducts[[#Headers],[Company]], 121)</f>
        <v>11</v>
      </c>
      <c r="L218" s="192" cm="1">
        <f t="array" ref="L218">Common_InputFunctions.Utility_DisplayArrayInTable(Fertiliser_SourceData.Fertiliser_Products_Data5(),FertiliserProducts[[#Headers],[Company]], 121)</f>
        <v>8</v>
      </c>
      <c r="M218" s="192" cm="1">
        <f t="array" ref="M218">Common_InputFunctions.Utility_DisplayArrayInTable(Fertiliser_SourceData.Fertiliser_Products_Data5(),FertiliserProducts[[#Headers],[Company]], 121)</f>
        <v>20</v>
      </c>
      <c r="N218" s="192" cm="1">
        <f t="array" ref="N218">Common_InputFunctions.Utility_DisplayArrayInTable(Fertiliser_SourceData.Fertiliser_Products_Data5(),FertiliserProducts[[#Headers],[Company]], 121)</f>
        <v>6</v>
      </c>
      <c r="O218" s="192" t="str" cm="1">
        <f t="array" ref="O218">Common_InputFunctions.Utility_DisplayArrayInTable(Fertiliser_SourceData.Fertiliser_Products_Data5(),FertiliserProducts[[#Headers],[Company]], 121)</f>
        <v>Nitrogen - Generic</v>
      </c>
      <c r="P218" s="192" cm="1">
        <f t="array" ref="P218">Common_InputFunctions.Utility_DisplayArrayInTable(Fertiliser_SourceData.Fertiliser_Products_Data5(),FertiliserProducts[[#Headers],[Company]], 121)</f>
        <v>0.11</v>
      </c>
      <c r="Q218" s="192" t="str" cm="1">
        <f t="array" ref="Q218">Common_InputFunctions.Utility_DisplayArrayInTable(Fertiliser_SourceData.Fertiliser_Products_Data5(),FertiliserProducts[[#Headers],[Company]], 121)</f>
        <v>Phosphorus - Generic</v>
      </c>
      <c r="R218" s="192" cm="1">
        <f t="array" ref="R218">Common_InputFunctions.Utility_DisplayArrayInTable(Fertiliser_SourceData.Fertiliser_Products_Data5(),FertiliserProducts[[#Headers],[Company]], 121)</f>
        <v>0.08</v>
      </c>
      <c r="S218" s="192" t="str" cm="1">
        <f t="array" ref="S218">Common_InputFunctions.Utility_DisplayArrayInTable(Fertiliser_SourceData.Fertiliser_Products_Data5(),FertiliserProducts[[#Headers],[Company]], 121)</f>
        <v>Potassium - Generic</v>
      </c>
      <c r="T218" s="192" cm="1">
        <f t="array" ref="T218">Common_InputFunctions.Utility_DisplayArrayInTable(Fertiliser_SourceData.Fertiliser_Products_Data5(),FertiliserProducts[[#Headers],[Company]], 121)</f>
        <v>0.2</v>
      </c>
      <c r="U218" s="192" t="str" cm="1">
        <f t="array" ref="U218">Common_InputFunctions.Utility_DisplayArrayInTable(Fertiliser_SourceData.Fertiliser_Products_Data5(),FertiliserProducts[[#Headers],[Company]], 121)</f>
        <v>Sulfur - Generic</v>
      </c>
      <c r="V218" s="192" cm="1">
        <f t="array" ref="V218">Common_InputFunctions.Utility_DisplayArrayInTable(Fertiliser_SourceData.Fertiliser_Products_Data5(),FertiliserProducts[[#Headers],[Company]], 121)</f>
        <v>0.06</v>
      </c>
      <c r="W218" s="192" t="str" cm="1">
        <f t="array" ref="W218">Common_InputFunctions.Utility_DisplayArrayInTable(Fertiliser_SourceData.Fertiliser_Products_Data5(),FertiliserProducts[[#Headers],[Company]], 121)</f>
        <v/>
      </c>
      <c r="X218" s="192" t="str" cm="1">
        <f t="array" ref="X218">Common_InputFunctions.Utility_DisplayArrayInTable(Fertiliser_SourceData.Fertiliser_Products_Data5(),FertiliserProducts[[#Headers],[Company]], 121)</f>
        <v/>
      </c>
      <c r="Y218" s="192" t="str" cm="1">
        <f t="array" ref="Y218">Common_InputFunctions.Utility_DisplayArrayInTable(Fertiliser_SourceData.Fertiliser_Products_Data5(),FertiliserProducts[[#Headers],[Company]], 121)</f>
        <v/>
      </c>
      <c r="Z218" s="192" t="str" cm="1">
        <f t="array" ref="Z218">Common_InputFunctions.Utility_DisplayArrayInTable(Fertiliser_SourceData.Fertiliser_Products_Data5(),FertiliserProducts[[#Headers],[Company]], 121)</f>
        <v/>
      </c>
      <c r="AA218" s="192" t="str" cm="1">
        <f t="array" ref="AA218">Common_InputFunctions.Utility_DisplayArrayInTable(Fertiliser_SourceData.Fertiliser_Products_Data5(),FertiliserProducts[[#Headers],[Company]], 121)</f>
        <v/>
      </c>
      <c r="AB218" s="192" t="str" cm="1">
        <f t="array" ref="AB218">Common_InputFunctions.Utility_DisplayArrayInTable(Fertiliser_SourceData.Fertiliser_Products_Data5(),FertiliserProducts[[#Headers],[Company]], 121)</f>
        <v/>
      </c>
      <c r="AC218" s="192" t="str" cm="1">
        <f t="array" ref="AC218">Common_InputFunctions.Utility_DisplayArrayInTable(Fertiliser_SourceData.Fertiliser_Products_Data5(),FertiliserProducts[[#Headers],[Company]], 121)</f>
        <v/>
      </c>
      <c r="AD218" s="192" t="str" cm="1">
        <f t="array" ref="AD218">Common_InputFunctions.Utility_DisplayArrayInTable(Fertiliser_SourceData.Fertiliser_Products_Data5(),FertiliserProducts[[#Headers],[Company]], 121)</f>
        <v/>
      </c>
      <c r="AE218" s="192" t="str" cm="1">
        <f t="array" ref="AE218">Common_InputFunctions.Utility_DisplayArrayInTable(Fertiliser_SourceData.Fertiliser_Products_Data5(),FertiliserProducts[[#Headers],[Company]], 121)</f>
        <v/>
      </c>
      <c r="AF218" s="192" t="str" cm="1">
        <f t="array" ref="AF218">Common_InputFunctions.Utility_DisplayArrayInTable(Fertiliser_SourceData.Fertiliser_Products_Data5(),FertiliserProducts[[#Headers],[Company]], 121)</f>
        <v/>
      </c>
      <c r="AG218" s="192" t="str" cm="1">
        <f t="array" ref="AG218">Common_InputFunctions.Utility_DisplayArrayInTable(Fertiliser_SourceData.Fertiliser_Products_Data5(),FertiliserProducts[[#Headers],[Company]], 121)</f>
        <v/>
      </c>
      <c r="AH218" s="192" t="str" cm="1">
        <f t="array" ref="AH218">Common_InputFunctions.Utility_DisplayArrayInTable(Fertiliser_SourceData.Fertiliser_Products_Data5(),FertiliserProducts[[#Headers],[Company]], 121)</f>
        <v/>
      </c>
    </row>
    <row r="219" spans="4:34" x14ac:dyDescent="0.25">
      <c r="D219" s="192" t="str" cm="1">
        <f t="array" ref="D219">Common_InputFunctions.Utility_DisplayArrayInTable(Fertiliser_SourceData.Fertiliser_Products_Data5(),FertiliserProducts[[#Headers],[Company]], 121)</f>
        <v>Wengfu Australia</v>
      </c>
      <c r="E219" s="192" t="str" cm="1">
        <f t="array" ref="E219">Common_InputFunctions.Utility_DisplayArrayInTable(Fertiliser_SourceData.Fertiliser_Products_Data5(),FertiliserProducts[[#Headers],[Company]], 121)</f>
        <v>Wengfu Fodder Booster</v>
      </c>
      <c r="F219" s="192" t="str" cm="1">
        <f t="array" ref="F219">Common_InputFunctions.Utility_DisplayArrayInTable(Fertiliser_SourceData.Fertiliser_Products_Data5(),FertiliserProducts[[#Headers],[Company]], 121)</f>
        <v>kg</v>
      </c>
      <c r="G219" s="192" cm="1">
        <f t="array" ref="G219">Common_InputFunctions.Utility_DisplayArrayInTable(Fertiliser_SourceData.Fertiliser_Products_Data5(),FertiliserProducts[[#Headers],[Company]], 121)</f>
        <v>1</v>
      </c>
      <c r="H219" s="192" t="str" cm="1">
        <f t="array" ref="H219">Common_InputFunctions.Utility_DisplayArrayInTable(Fertiliser_SourceData.Fertiliser_Products_Data5(),FertiliserProducts[[#Headers],[Company]], 121)</f>
        <v/>
      </c>
      <c r="I219" s="192" t="str" cm="1">
        <f t="array" ref="I219">Common_InputFunctions.Utility_DisplayArrayInTable(Fertiliser_SourceData.Fertiliser_Products_Data5(),FertiliserProducts[[#Headers],[Company]], 121)</f>
        <v/>
      </c>
      <c r="J219" s="192" t="str" cm="1">
        <f t="array" ref="J219">Common_InputFunctions.Utility_DisplayArrayInTable(Fertiliser_SourceData.Fertiliser_Products_Data5(),FertiliserProducts[[#Headers],[Company]], 121)</f>
        <v/>
      </c>
      <c r="K219" s="192" cm="1">
        <f t="array" ref="K219">Common_InputFunctions.Utility_DisplayArrayInTable(Fertiliser_SourceData.Fertiliser_Products_Data5(),FertiliserProducts[[#Headers],[Company]], 121)</f>
        <v>9</v>
      </c>
      <c r="L219" s="192" cm="1">
        <f t="array" ref="L219">Common_InputFunctions.Utility_DisplayArrayInTable(Fertiliser_SourceData.Fertiliser_Products_Data5(),FertiliserProducts[[#Headers],[Company]], 121)</f>
        <v>4</v>
      </c>
      <c r="M219" s="192" cm="1">
        <f t="array" ref="M219">Common_InputFunctions.Utility_DisplayArrayInTable(Fertiliser_SourceData.Fertiliser_Products_Data5(),FertiliserProducts[[#Headers],[Company]], 121)</f>
        <v>5</v>
      </c>
      <c r="N219" s="192" cm="1">
        <f t="array" ref="N219">Common_InputFunctions.Utility_DisplayArrayInTable(Fertiliser_SourceData.Fertiliser_Products_Data5(),FertiliserProducts[[#Headers],[Company]], 121)</f>
        <v>15</v>
      </c>
      <c r="O219" s="192" t="str" cm="1">
        <f t="array" ref="O219">Common_InputFunctions.Utility_DisplayArrayInTable(Fertiliser_SourceData.Fertiliser_Products_Data5(),FertiliserProducts[[#Headers],[Company]], 121)</f>
        <v>Nitrogen - Generic</v>
      </c>
      <c r="P219" s="192" cm="1">
        <f t="array" ref="P219">Common_InputFunctions.Utility_DisplayArrayInTable(Fertiliser_SourceData.Fertiliser_Products_Data5(),FertiliserProducts[[#Headers],[Company]], 121)</f>
        <v>0.09</v>
      </c>
      <c r="Q219" s="192" t="str" cm="1">
        <f t="array" ref="Q219">Common_InputFunctions.Utility_DisplayArrayInTable(Fertiliser_SourceData.Fertiliser_Products_Data5(),FertiliserProducts[[#Headers],[Company]], 121)</f>
        <v>Phosphorus - Generic</v>
      </c>
      <c r="R219" s="192" cm="1">
        <f t="array" ref="R219">Common_InputFunctions.Utility_DisplayArrayInTable(Fertiliser_SourceData.Fertiliser_Products_Data5(),FertiliserProducts[[#Headers],[Company]], 121)</f>
        <v>0.04</v>
      </c>
      <c r="S219" s="192" t="str" cm="1">
        <f t="array" ref="S219">Common_InputFunctions.Utility_DisplayArrayInTable(Fertiliser_SourceData.Fertiliser_Products_Data5(),FertiliserProducts[[#Headers],[Company]], 121)</f>
        <v>Potassium - Generic</v>
      </c>
      <c r="T219" s="192" cm="1">
        <f t="array" ref="T219">Common_InputFunctions.Utility_DisplayArrayInTable(Fertiliser_SourceData.Fertiliser_Products_Data5(),FertiliserProducts[[#Headers],[Company]], 121)</f>
        <v>0.05</v>
      </c>
      <c r="U219" s="192" t="str" cm="1">
        <f t="array" ref="U219">Common_InputFunctions.Utility_DisplayArrayInTable(Fertiliser_SourceData.Fertiliser_Products_Data5(),FertiliserProducts[[#Headers],[Company]], 121)</f>
        <v>Sulfur - Generic</v>
      </c>
      <c r="V219" s="192" cm="1">
        <f t="array" ref="V219">Common_InputFunctions.Utility_DisplayArrayInTable(Fertiliser_SourceData.Fertiliser_Products_Data5(),FertiliserProducts[[#Headers],[Company]], 121)</f>
        <v>0.15</v>
      </c>
      <c r="W219" s="192" t="str" cm="1">
        <f t="array" ref="W219">Common_InputFunctions.Utility_DisplayArrayInTable(Fertiliser_SourceData.Fertiliser_Products_Data5(),FertiliserProducts[[#Headers],[Company]], 121)</f>
        <v/>
      </c>
      <c r="X219" s="192" t="str" cm="1">
        <f t="array" ref="X219">Common_InputFunctions.Utility_DisplayArrayInTable(Fertiliser_SourceData.Fertiliser_Products_Data5(),FertiliserProducts[[#Headers],[Company]], 121)</f>
        <v/>
      </c>
      <c r="Y219" s="192" t="str" cm="1">
        <f t="array" ref="Y219">Common_InputFunctions.Utility_DisplayArrayInTable(Fertiliser_SourceData.Fertiliser_Products_Data5(),FertiliserProducts[[#Headers],[Company]], 121)</f>
        <v/>
      </c>
      <c r="Z219" s="192" t="str" cm="1">
        <f t="array" ref="Z219">Common_InputFunctions.Utility_DisplayArrayInTable(Fertiliser_SourceData.Fertiliser_Products_Data5(),FertiliserProducts[[#Headers],[Company]], 121)</f>
        <v/>
      </c>
      <c r="AA219" s="192" t="str" cm="1">
        <f t="array" ref="AA219">Common_InputFunctions.Utility_DisplayArrayInTable(Fertiliser_SourceData.Fertiliser_Products_Data5(),FertiliserProducts[[#Headers],[Company]], 121)</f>
        <v/>
      </c>
      <c r="AB219" s="192" t="str" cm="1">
        <f t="array" ref="AB219">Common_InputFunctions.Utility_DisplayArrayInTable(Fertiliser_SourceData.Fertiliser_Products_Data5(),FertiliserProducts[[#Headers],[Company]], 121)</f>
        <v/>
      </c>
      <c r="AC219" s="192" t="str" cm="1">
        <f t="array" ref="AC219">Common_InputFunctions.Utility_DisplayArrayInTable(Fertiliser_SourceData.Fertiliser_Products_Data5(),FertiliserProducts[[#Headers],[Company]], 121)</f>
        <v/>
      </c>
      <c r="AD219" s="192" t="str" cm="1">
        <f t="array" ref="AD219">Common_InputFunctions.Utility_DisplayArrayInTable(Fertiliser_SourceData.Fertiliser_Products_Data5(),FertiliserProducts[[#Headers],[Company]], 121)</f>
        <v/>
      </c>
      <c r="AE219" s="192" t="str" cm="1">
        <f t="array" ref="AE219">Common_InputFunctions.Utility_DisplayArrayInTable(Fertiliser_SourceData.Fertiliser_Products_Data5(),FertiliserProducts[[#Headers],[Company]], 121)</f>
        <v/>
      </c>
      <c r="AF219" s="192" t="str" cm="1">
        <f t="array" ref="AF219">Common_InputFunctions.Utility_DisplayArrayInTable(Fertiliser_SourceData.Fertiliser_Products_Data5(),FertiliserProducts[[#Headers],[Company]], 121)</f>
        <v/>
      </c>
      <c r="AG219" s="192" t="str" cm="1">
        <f t="array" ref="AG219">Common_InputFunctions.Utility_DisplayArrayInTable(Fertiliser_SourceData.Fertiliser_Products_Data5(),FertiliserProducts[[#Headers],[Company]], 121)</f>
        <v/>
      </c>
      <c r="AH219" s="192" t="str" cm="1">
        <f t="array" ref="AH219">Common_InputFunctions.Utility_DisplayArrayInTable(Fertiliser_SourceData.Fertiliser_Products_Data5(),FertiliserProducts[[#Headers],[Company]], 121)</f>
        <v/>
      </c>
    </row>
    <row r="220" spans="4:34" x14ac:dyDescent="0.25">
      <c r="D220" s="192" t="str" cm="1">
        <f t="array" ref="D220">Common_InputFunctions.Utility_DisplayArrayInTable(Fertiliser_SourceData.Fertiliser_Products_Data5(),FertiliserProducts[[#Headers],[Company]], 121)</f>
        <v>CSBP</v>
      </c>
      <c r="E220" s="192" t="str" cm="1">
        <f t="array" ref="E220">Common_InputFunctions.Utility_DisplayArrayInTable(Fertiliser_SourceData.Fertiliser_Products_Data5(),FertiliserProducts[[#Headers],[Company]], 121)</f>
        <v>K-Till Extra</v>
      </c>
      <c r="F220" s="192" t="str" cm="1">
        <f t="array" ref="F220">Common_InputFunctions.Utility_DisplayArrayInTable(Fertiliser_SourceData.Fertiliser_Products_Data5(),FertiliserProducts[[#Headers],[Company]], 121)</f>
        <v>kg</v>
      </c>
      <c r="G220" s="192" cm="1">
        <f t="array" ref="G220">Common_InputFunctions.Utility_DisplayArrayInTable(Fertiliser_SourceData.Fertiliser_Products_Data5(),FertiliserProducts[[#Headers],[Company]], 121)</f>
        <v>1</v>
      </c>
      <c r="H220" s="192" t="str" cm="1">
        <f t="array" ref="H220">Common_InputFunctions.Utility_DisplayArrayInTable(Fertiliser_SourceData.Fertiliser_Products_Data5(),FertiliserProducts[[#Headers],[Company]], 121)</f>
        <v/>
      </c>
      <c r="I220" s="192" t="str" cm="1">
        <f t="array" ref="I220">Common_InputFunctions.Utility_DisplayArrayInTable(Fertiliser_SourceData.Fertiliser_Products_Data5(),FertiliserProducts[[#Headers],[Company]], 121)</f>
        <v/>
      </c>
      <c r="J220" s="192" t="str" cm="1">
        <f t="array" ref="J220">Common_InputFunctions.Utility_DisplayArrayInTable(Fertiliser_SourceData.Fertiliser_Products_Data5(),FertiliserProducts[[#Headers],[Company]], 121)</f>
        <v/>
      </c>
      <c r="K220" s="192" cm="1">
        <f t="array" ref="K220">Common_InputFunctions.Utility_DisplayArrayInTable(Fertiliser_SourceData.Fertiliser_Products_Data5(),FertiliserProducts[[#Headers],[Company]], 121)</f>
        <v>10.73</v>
      </c>
      <c r="L220" s="192" cm="1">
        <f t="array" ref="L220">Common_InputFunctions.Utility_DisplayArrayInTable(Fertiliser_SourceData.Fertiliser_Products_Data5(),FertiliserProducts[[#Headers],[Company]], 121)</f>
        <v>10.95</v>
      </c>
      <c r="M220" s="192" cm="1">
        <f t="array" ref="M220">Common_InputFunctions.Utility_DisplayArrayInTable(Fertiliser_SourceData.Fertiliser_Products_Data5(),FertiliserProducts[[#Headers],[Company]], 121)</f>
        <v>11.35</v>
      </c>
      <c r="N220" s="192" cm="1">
        <f t="array" ref="N220">Common_InputFunctions.Utility_DisplayArrayInTable(Fertiliser_SourceData.Fertiliser_Products_Data5(),FertiliserProducts[[#Headers],[Company]], 121)</f>
        <v>6.55</v>
      </c>
      <c r="O220" s="192" t="str" cm="1">
        <f t="array" ref="O220">Common_InputFunctions.Utility_DisplayArrayInTable(Fertiliser_SourceData.Fertiliser_Products_Data5(),FertiliserProducts[[#Headers],[Company]], 121)</f>
        <v>Monoammonium phosphate (MAP)</v>
      </c>
      <c r="P220" s="192" cm="1">
        <f t="array" ref="P220">Common_InputFunctions.Utility_DisplayArrayInTable(Fertiliser_SourceData.Fertiliser_Products_Data5(),FertiliserProducts[[#Headers],[Company]], 121)</f>
        <v>0.5</v>
      </c>
      <c r="Q220" s="192" t="str" cm="1">
        <f t="array" ref="Q220">Common_InputFunctions.Utility_DisplayArrayInTable(Fertiliser_SourceData.Fertiliser_Products_Data5(),FertiliserProducts[[#Headers],[Company]], 121)</f>
        <v>Sulphate of ammonia (SOA)</v>
      </c>
      <c r="R220" s="192" cm="1">
        <f t="array" ref="R220">Common_InputFunctions.Utility_DisplayArrayInTable(Fertiliser_SourceData.Fertiliser_Products_Data5(),FertiliserProducts[[#Headers],[Company]], 121)</f>
        <v>0.27300000000000002</v>
      </c>
      <c r="S220" s="192" t="str" cm="1">
        <f t="array" ref="S220">Common_InputFunctions.Utility_DisplayArrayInTable(Fertiliser_SourceData.Fertiliser_Products_Data5(),FertiliserProducts[[#Headers],[Company]], 121)</f>
        <v>Muriate of potash (MOP)</v>
      </c>
      <c r="T220" s="192" cm="1">
        <f t="array" ref="T220">Common_InputFunctions.Utility_DisplayArrayInTable(Fertiliser_SourceData.Fertiliser_Products_Data5(),FertiliserProducts[[#Headers],[Company]], 121)</f>
        <v>0.22700000000000001</v>
      </c>
      <c r="U220" s="192" t="str" cm="1">
        <f t="array" ref="U220">Common_InputFunctions.Utility_DisplayArrayInTable(Fertiliser_SourceData.Fertiliser_Products_Data5(),FertiliserProducts[[#Headers],[Company]], 121)</f>
        <v>Copper</v>
      </c>
      <c r="V220" s="192" t="str" cm="1">
        <f t="array" ref="V220">Common_InputFunctions.Utility_DisplayArrayInTable(Fertiliser_SourceData.Fertiliser_Products_Data5(),FertiliserProducts[[#Headers],[Company]], 121)</f>
        <v>No data</v>
      </c>
      <c r="W220" s="192" t="str" cm="1">
        <f t="array" ref="W220">Common_InputFunctions.Utility_DisplayArrayInTable(Fertiliser_SourceData.Fertiliser_Products_Data5(),FertiliserProducts[[#Headers],[Company]], 121)</f>
        <v>Zinc</v>
      </c>
      <c r="X220" s="192" t="str" cm="1">
        <f t="array" ref="X220">Common_InputFunctions.Utility_DisplayArrayInTable(Fertiliser_SourceData.Fertiliser_Products_Data5(),FertiliserProducts[[#Headers],[Company]], 121)</f>
        <v>No data</v>
      </c>
      <c r="Y220" s="192" t="str" cm="1">
        <f t="array" ref="Y220">Common_InputFunctions.Utility_DisplayArrayInTable(Fertiliser_SourceData.Fertiliser_Products_Data5(),FertiliserProducts[[#Headers],[Company]], 121)</f>
        <v/>
      </c>
      <c r="Z220" s="192" t="str" cm="1">
        <f t="array" ref="Z220">Common_InputFunctions.Utility_DisplayArrayInTable(Fertiliser_SourceData.Fertiliser_Products_Data5(),FertiliserProducts[[#Headers],[Company]], 121)</f>
        <v/>
      </c>
      <c r="AA220" s="192" t="str" cm="1">
        <f t="array" ref="AA220">Common_InputFunctions.Utility_DisplayArrayInTable(Fertiliser_SourceData.Fertiliser_Products_Data5(),FertiliserProducts[[#Headers],[Company]], 121)</f>
        <v/>
      </c>
      <c r="AB220" s="192" t="str" cm="1">
        <f t="array" ref="AB220">Common_InputFunctions.Utility_DisplayArrayInTable(Fertiliser_SourceData.Fertiliser_Products_Data5(),FertiliserProducts[[#Headers],[Company]], 121)</f>
        <v/>
      </c>
      <c r="AC220" s="192" t="str" cm="1">
        <f t="array" ref="AC220">Common_InputFunctions.Utility_DisplayArrayInTable(Fertiliser_SourceData.Fertiliser_Products_Data5(),FertiliserProducts[[#Headers],[Company]], 121)</f>
        <v/>
      </c>
      <c r="AD220" s="192" t="str" cm="1">
        <f t="array" ref="AD220">Common_InputFunctions.Utility_DisplayArrayInTable(Fertiliser_SourceData.Fertiliser_Products_Data5(),FertiliserProducts[[#Headers],[Company]], 121)</f>
        <v/>
      </c>
      <c r="AE220" s="192" t="str" cm="1">
        <f t="array" ref="AE220">Common_InputFunctions.Utility_DisplayArrayInTable(Fertiliser_SourceData.Fertiliser_Products_Data5(),FertiliserProducts[[#Headers],[Company]], 121)</f>
        <v/>
      </c>
      <c r="AF220" s="192" t="str" cm="1">
        <f t="array" ref="AF220">Common_InputFunctions.Utility_DisplayArrayInTable(Fertiliser_SourceData.Fertiliser_Products_Data5(),FertiliserProducts[[#Headers],[Company]], 121)</f>
        <v/>
      </c>
      <c r="AG220" s="192" t="str" cm="1">
        <f t="array" ref="AG220">Common_InputFunctions.Utility_DisplayArrayInTable(Fertiliser_SourceData.Fertiliser_Products_Data5(),FertiliserProducts[[#Headers],[Company]], 121)</f>
        <v/>
      </c>
      <c r="AH220" s="192" t="str" cm="1">
        <f t="array" ref="AH220">Common_InputFunctions.Utility_DisplayArrayInTable(Fertiliser_SourceData.Fertiliser_Products_Data5(),FertiliserProducts[[#Headers],[Company]], 121)</f>
        <v/>
      </c>
    </row>
    <row r="221" spans="4:34" x14ac:dyDescent="0.25">
      <c r="D221" s="192" t="str" cm="1">
        <f t="array" ref="D221">Common_InputFunctions.Utility_DisplayArrayInTable(Fertiliser_SourceData.Fertiliser_Products_Data5(),FertiliserProducts[[#Headers],[Company]], 121)</f>
        <v>CSBP</v>
      </c>
      <c r="E221" s="192" t="str" cm="1">
        <f t="array" ref="E221">Common_InputFunctions.Utility_DisplayArrayInTable(Fertiliser_SourceData.Fertiliser_Products_Data5(),FertiliserProducts[[#Headers],[Company]], 121)</f>
        <v>Agras Extra</v>
      </c>
      <c r="F221" s="192" t="str" cm="1">
        <f t="array" ref="F221">Common_InputFunctions.Utility_DisplayArrayInTable(Fertiliser_SourceData.Fertiliser_Products_Data5(),FertiliserProducts[[#Headers],[Company]], 121)</f>
        <v>kg</v>
      </c>
      <c r="G221" s="192" cm="1">
        <f t="array" ref="G221">Common_InputFunctions.Utility_DisplayArrayInTable(Fertiliser_SourceData.Fertiliser_Products_Data5(),FertiliserProducts[[#Headers],[Company]], 121)</f>
        <v>1</v>
      </c>
      <c r="H221" s="192" t="str" cm="1">
        <f t="array" ref="H221">Common_InputFunctions.Utility_DisplayArrayInTable(Fertiliser_SourceData.Fertiliser_Products_Data5(),FertiliserProducts[[#Headers],[Company]], 121)</f>
        <v/>
      </c>
      <c r="I221" s="192" t="str" cm="1">
        <f t="array" ref="I221">Common_InputFunctions.Utility_DisplayArrayInTable(Fertiliser_SourceData.Fertiliser_Products_Data5(),FertiliserProducts[[#Headers],[Company]], 121)</f>
        <v/>
      </c>
      <c r="J221" s="192" t="str" cm="1">
        <f t="array" ref="J221">Common_InputFunctions.Utility_DisplayArrayInTable(Fertiliser_SourceData.Fertiliser_Products_Data5(),FertiliserProducts[[#Headers],[Company]], 121)</f>
        <v/>
      </c>
      <c r="K221" s="192" cm="1">
        <f t="array" ref="K221">Common_InputFunctions.Utility_DisplayArrayInTable(Fertiliser_SourceData.Fertiliser_Products_Data5(),FertiliserProducts[[#Headers],[Company]], 121)</f>
        <v>16.95</v>
      </c>
      <c r="L221" s="192" cm="1">
        <f t="array" ref="L221">Common_InputFunctions.Utility_DisplayArrayInTable(Fertiliser_SourceData.Fertiliser_Products_Data5(),FertiliserProducts[[#Headers],[Company]], 121)</f>
        <v>8.06</v>
      </c>
      <c r="M221" s="192" t="str" cm="1">
        <f t="array" ref="M221">Common_InputFunctions.Utility_DisplayArrayInTable(Fertiliser_SourceData.Fertiliser_Products_Data5(),FertiliserProducts[[#Headers],[Company]], 121)</f>
        <v/>
      </c>
      <c r="N221" s="192" cm="1">
        <f t="array" ref="N221">Common_InputFunctions.Utility_DisplayArrayInTable(Fertiliser_SourceData.Fertiliser_Products_Data5(),FertiliserProducts[[#Headers],[Company]], 121)</f>
        <v>15.17</v>
      </c>
      <c r="O221" s="192" t="str" cm="1">
        <f t="array" ref="O221">Common_InputFunctions.Utility_DisplayArrayInTable(Fertiliser_SourceData.Fertiliser_Products_Data5(),FertiliserProducts[[#Headers],[Company]], 121)</f>
        <v>Sulphate of ammonia (SOA)</v>
      </c>
      <c r="P221" s="192" cm="1">
        <f t="array" ref="P221">Common_InputFunctions.Utility_DisplayArrayInTable(Fertiliser_SourceData.Fertiliser_Products_Data5(),FertiliserProducts[[#Headers],[Company]], 121)</f>
        <v>0.63200000000000001</v>
      </c>
      <c r="Q221" s="192" t="str" cm="1">
        <f t="array" ref="Q221">Common_InputFunctions.Utility_DisplayArrayInTable(Fertiliser_SourceData.Fertiliser_Products_Data5(),FertiliserProducts[[#Headers],[Company]], 121)</f>
        <v>Monoammonium phosphate (MAP)</v>
      </c>
      <c r="R221" s="192" cm="1">
        <f t="array" ref="R221">Common_InputFunctions.Utility_DisplayArrayInTable(Fertiliser_SourceData.Fertiliser_Products_Data5(),FertiliserProducts[[#Headers],[Company]], 121)</f>
        <v>0.36799999999999999</v>
      </c>
      <c r="S221" s="192" t="str" cm="1">
        <f t="array" ref="S221">Common_InputFunctions.Utility_DisplayArrayInTable(Fertiliser_SourceData.Fertiliser_Products_Data5(),FertiliserProducts[[#Headers],[Company]], 121)</f>
        <v>Zinc</v>
      </c>
      <c r="T221" s="192" t="str" cm="1">
        <f t="array" ref="T221">Common_InputFunctions.Utility_DisplayArrayInTable(Fertiliser_SourceData.Fertiliser_Products_Data5(),FertiliserProducts[[#Headers],[Company]], 121)</f>
        <v>No data</v>
      </c>
      <c r="U221" s="192" t="str" cm="1">
        <f t="array" ref="U221">Common_InputFunctions.Utility_DisplayArrayInTable(Fertiliser_SourceData.Fertiliser_Products_Data5(),FertiliserProducts[[#Headers],[Company]], 121)</f>
        <v>Copper</v>
      </c>
      <c r="V221" s="192" t="str" cm="1">
        <f t="array" ref="V221">Common_InputFunctions.Utility_DisplayArrayInTable(Fertiliser_SourceData.Fertiliser_Products_Data5(),FertiliserProducts[[#Headers],[Company]], 121)</f>
        <v>No data</v>
      </c>
      <c r="W221" s="192" t="str" cm="1">
        <f t="array" ref="W221">Common_InputFunctions.Utility_DisplayArrayInTable(Fertiliser_SourceData.Fertiliser_Products_Data5(),FertiliserProducts[[#Headers],[Company]], 121)</f>
        <v>Molybdenum</v>
      </c>
      <c r="X221" s="192" t="str" cm="1">
        <f t="array" ref="X221">Common_InputFunctions.Utility_DisplayArrayInTable(Fertiliser_SourceData.Fertiliser_Products_Data5(),FertiliserProducts[[#Headers],[Company]], 121)</f>
        <v>No data</v>
      </c>
      <c r="Y221" s="192" t="str" cm="1">
        <f t="array" ref="Y221">Common_InputFunctions.Utility_DisplayArrayInTable(Fertiliser_SourceData.Fertiliser_Products_Data5(),FertiliserProducts[[#Headers],[Company]], 121)</f>
        <v>Cobalt</v>
      </c>
      <c r="Z221" s="192" t="str" cm="1">
        <f t="array" ref="Z221">Common_InputFunctions.Utility_DisplayArrayInTable(Fertiliser_SourceData.Fertiliser_Products_Data5(),FertiliserProducts[[#Headers],[Company]], 121)</f>
        <v>No data</v>
      </c>
      <c r="AA221" s="192" t="str" cm="1">
        <f t="array" ref="AA221">Common_InputFunctions.Utility_DisplayArrayInTable(Fertiliser_SourceData.Fertiliser_Products_Data5(),FertiliserProducts[[#Headers],[Company]], 121)</f>
        <v/>
      </c>
      <c r="AB221" s="192" t="str" cm="1">
        <f t="array" ref="AB221">Common_InputFunctions.Utility_DisplayArrayInTable(Fertiliser_SourceData.Fertiliser_Products_Data5(),FertiliserProducts[[#Headers],[Company]], 121)</f>
        <v/>
      </c>
      <c r="AC221" s="192" t="str" cm="1">
        <f t="array" ref="AC221">Common_InputFunctions.Utility_DisplayArrayInTable(Fertiliser_SourceData.Fertiliser_Products_Data5(),FertiliserProducts[[#Headers],[Company]], 121)</f>
        <v/>
      </c>
      <c r="AD221" s="192" t="str" cm="1">
        <f t="array" ref="AD221">Common_InputFunctions.Utility_DisplayArrayInTable(Fertiliser_SourceData.Fertiliser_Products_Data5(),FertiliserProducts[[#Headers],[Company]], 121)</f>
        <v/>
      </c>
      <c r="AE221" s="192" t="str" cm="1">
        <f t="array" ref="AE221">Common_InputFunctions.Utility_DisplayArrayInTable(Fertiliser_SourceData.Fertiliser_Products_Data5(),FertiliserProducts[[#Headers],[Company]], 121)</f>
        <v/>
      </c>
      <c r="AF221" s="192" t="str" cm="1">
        <f t="array" ref="AF221">Common_InputFunctions.Utility_DisplayArrayInTable(Fertiliser_SourceData.Fertiliser_Products_Data5(),FertiliserProducts[[#Headers],[Company]], 121)</f>
        <v/>
      </c>
      <c r="AG221" s="192" t="str" cm="1">
        <f t="array" ref="AG221">Common_InputFunctions.Utility_DisplayArrayInTable(Fertiliser_SourceData.Fertiliser_Products_Data5(),FertiliserProducts[[#Headers],[Company]], 121)</f>
        <v/>
      </c>
      <c r="AH221" s="192" t="str" cm="1">
        <f t="array" ref="AH221">Common_InputFunctions.Utility_DisplayArrayInTable(Fertiliser_SourceData.Fertiliser_Products_Data5(),FertiliserProducts[[#Headers],[Company]], 121)</f>
        <v/>
      </c>
    </row>
    <row r="222" spans="4:34" x14ac:dyDescent="0.25">
      <c r="D222" s="192" t="str" cm="1">
        <f t="array" ref="D222">Common_InputFunctions.Utility_DisplayArrayInTable(Fertiliser_SourceData.Fertiliser_Products_Data5(),FertiliserProducts[[#Headers],[Company]], 121)</f>
        <v>CSBP</v>
      </c>
      <c r="E222" s="192" t="str" cm="1">
        <f t="array" ref="E222">Common_InputFunctions.Utility_DisplayArrayInTable(Fertiliser_SourceData.Fertiliser_Products_Data5(),FertiliserProducts[[#Headers],[Company]], 121)</f>
        <v>Super Copper Zinc Moly</v>
      </c>
      <c r="F222" s="192" t="str" cm="1">
        <f t="array" ref="F222">Common_InputFunctions.Utility_DisplayArrayInTable(Fertiliser_SourceData.Fertiliser_Products_Data5(),FertiliserProducts[[#Headers],[Company]], 121)</f>
        <v>kg</v>
      </c>
      <c r="G222" s="192" cm="1">
        <f t="array" ref="G222">Common_InputFunctions.Utility_DisplayArrayInTable(Fertiliser_SourceData.Fertiliser_Products_Data5(),FertiliserProducts[[#Headers],[Company]], 121)</f>
        <v>1</v>
      </c>
      <c r="H222" s="192" t="str" cm="1">
        <f t="array" ref="H222">Common_InputFunctions.Utility_DisplayArrayInTable(Fertiliser_SourceData.Fertiliser_Products_Data5(),FertiliserProducts[[#Headers],[Company]], 121)</f>
        <v/>
      </c>
      <c r="I222" s="192" t="str" cm="1">
        <f t="array" ref="I222">Common_InputFunctions.Utility_DisplayArrayInTable(Fertiliser_SourceData.Fertiliser_Products_Data5(),FertiliserProducts[[#Headers],[Company]], 121)</f>
        <v/>
      </c>
      <c r="J222" s="192" t="str" cm="1">
        <f t="array" ref="J222">Common_InputFunctions.Utility_DisplayArrayInTable(Fertiliser_SourceData.Fertiliser_Products_Data5(),FertiliserProducts[[#Headers],[Company]], 121)</f>
        <v/>
      </c>
      <c r="K222" s="192" t="str" cm="1">
        <f t="array" ref="K222">Common_InputFunctions.Utility_DisplayArrayInTable(Fertiliser_SourceData.Fertiliser_Products_Data5(),FertiliserProducts[[#Headers],[Company]], 121)</f>
        <v/>
      </c>
      <c r="L222" s="192" cm="1">
        <f t="array" ref="L222">Common_InputFunctions.Utility_DisplayArrayInTable(Fertiliser_SourceData.Fertiliser_Products_Data5(),FertiliserProducts[[#Headers],[Company]], 121)</f>
        <v>8.8000000000000007</v>
      </c>
      <c r="M222" s="192" t="str" cm="1">
        <f t="array" ref="M222">Common_InputFunctions.Utility_DisplayArrayInTable(Fertiliser_SourceData.Fertiliser_Products_Data5(),FertiliserProducts[[#Headers],[Company]], 121)</f>
        <v/>
      </c>
      <c r="N222" s="192" cm="1">
        <f t="array" ref="N222">Common_InputFunctions.Utility_DisplayArrayInTable(Fertiliser_SourceData.Fertiliser_Products_Data5(),FertiliserProducts[[#Headers],[Company]], 121)</f>
        <v>11</v>
      </c>
      <c r="O222" s="192" t="str" cm="1">
        <f t="array" ref="O222">Common_InputFunctions.Utility_DisplayArrayInTable(Fertiliser_SourceData.Fertiliser_Products_Data5(),FertiliserProducts[[#Headers],[Company]], 121)</f>
        <v>Single superphosphate (SSP)</v>
      </c>
      <c r="P222" s="192" cm="1">
        <f t="array" ref="P222">Common_InputFunctions.Utility_DisplayArrayInTable(Fertiliser_SourceData.Fertiliser_Products_Data5(),FertiliserProducts[[#Headers],[Company]], 121)</f>
        <v>1</v>
      </c>
      <c r="Q222" s="192" t="str" cm="1">
        <f t="array" ref="Q222">Common_InputFunctions.Utility_DisplayArrayInTable(Fertiliser_SourceData.Fertiliser_Products_Data5(),FertiliserProducts[[#Headers],[Company]], 121)</f>
        <v>Copper</v>
      </c>
      <c r="R222" s="192" cm="1">
        <f t="array" ref="R222">Common_InputFunctions.Utility_DisplayArrayInTable(Fertiliser_SourceData.Fertiliser_Products_Data5(),FertiliserProducts[[#Headers],[Company]], 121)</f>
        <v>6.0000000000000001E-3</v>
      </c>
      <c r="S222" s="192" t="str" cm="1">
        <f t="array" ref="S222">Common_InputFunctions.Utility_DisplayArrayInTable(Fertiliser_SourceData.Fertiliser_Products_Data5(),FertiliserProducts[[#Headers],[Company]], 121)</f>
        <v>Zinc</v>
      </c>
      <c r="T222" s="192" cm="1">
        <f t="array" ref="T222">Common_InputFunctions.Utility_DisplayArrayInTable(Fertiliser_SourceData.Fertiliser_Products_Data5(),FertiliserProducts[[#Headers],[Company]], 121)</f>
        <v>3.0000000000000001E-3</v>
      </c>
      <c r="U222" s="192" t="str" cm="1">
        <f t="array" ref="U222">Common_InputFunctions.Utility_DisplayArrayInTable(Fertiliser_SourceData.Fertiliser_Products_Data5(),FertiliserProducts[[#Headers],[Company]], 121)</f>
        <v>Molybdenum</v>
      </c>
      <c r="V222" s="192" cm="1">
        <f t="array" ref="V222">Common_InputFunctions.Utility_DisplayArrayInTable(Fertiliser_SourceData.Fertiliser_Products_Data5(),FertiliserProducts[[#Headers],[Company]], 121)</f>
        <v>5.9999999999999995E-4</v>
      </c>
      <c r="W222" s="192" t="str" cm="1">
        <f t="array" ref="W222">Common_InputFunctions.Utility_DisplayArrayInTable(Fertiliser_SourceData.Fertiliser_Products_Data5(),FertiliserProducts[[#Headers],[Company]], 121)</f>
        <v/>
      </c>
      <c r="X222" s="192" t="str" cm="1">
        <f t="array" ref="X222">Common_InputFunctions.Utility_DisplayArrayInTable(Fertiliser_SourceData.Fertiliser_Products_Data5(),FertiliserProducts[[#Headers],[Company]], 121)</f>
        <v/>
      </c>
      <c r="Y222" s="192" t="str" cm="1">
        <f t="array" ref="Y222">Common_InputFunctions.Utility_DisplayArrayInTable(Fertiliser_SourceData.Fertiliser_Products_Data5(),FertiliserProducts[[#Headers],[Company]], 121)</f>
        <v/>
      </c>
      <c r="Z222" s="192" t="str" cm="1">
        <f t="array" ref="Z222">Common_InputFunctions.Utility_DisplayArrayInTable(Fertiliser_SourceData.Fertiliser_Products_Data5(),FertiliserProducts[[#Headers],[Company]], 121)</f>
        <v/>
      </c>
      <c r="AA222" s="192" t="str" cm="1">
        <f t="array" ref="AA222">Common_InputFunctions.Utility_DisplayArrayInTable(Fertiliser_SourceData.Fertiliser_Products_Data5(),FertiliserProducts[[#Headers],[Company]], 121)</f>
        <v/>
      </c>
      <c r="AB222" s="192" t="str" cm="1">
        <f t="array" ref="AB222">Common_InputFunctions.Utility_DisplayArrayInTable(Fertiliser_SourceData.Fertiliser_Products_Data5(),FertiliserProducts[[#Headers],[Company]], 121)</f>
        <v/>
      </c>
      <c r="AC222" s="192" t="str" cm="1">
        <f t="array" ref="AC222">Common_InputFunctions.Utility_DisplayArrayInTable(Fertiliser_SourceData.Fertiliser_Products_Data5(),FertiliserProducts[[#Headers],[Company]], 121)</f>
        <v/>
      </c>
      <c r="AD222" s="192" t="str" cm="1">
        <f t="array" ref="AD222">Common_InputFunctions.Utility_DisplayArrayInTable(Fertiliser_SourceData.Fertiliser_Products_Data5(),FertiliserProducts[[#Headers],[Company]], 121)</f>
        <v/>
      </c>
      <c r="AE222" s="192" t="str" cm="1">
        <f t="array" ref="AE222">Common_InputFunctions.Utility_DisplayArrayInTable(Fertiliser_SourceData.Fertiliser_Products_Data5(),FertiliserProducts[[#Headers],[Company]], 121)</f>
        <v/>
      </c>
      <c r="AF222" s="192" t="str" cm="1">
        <f t="array" ref="AF222">Common_InputFunctions.Utility_DisplayArrayInTable(Fertiliser_SourceData.Fertiliser_Products_Data5(),FertiliserProducts[[#Headers],[Company]], 121)</f>
        <v/>
      </c>
      <c r="AG222" s="192" t="str" cm="1">
        <f t="array" ref="AG222">Common_InputFunctions.Utility_DisplayArrayInTable(Fertiliser_SourceData.Fertiliser_Products_Data5(),FertiliserProducts[[#Headers],[Company]], 121)</f>
        <v/>
      </c>
      <c r="AH222" s="192" t="str" cm="1">
        <f t="array" ref="AH222">Common_InputFunctions.Utility_DisplayArrayInTable(Fertiliser_SourceData.Fertiliser_Products_Data5(),FertiliserProducts[[#Headers],[Company]], 121)</f>
        <v/>
      </c>
    </row>
    <row r="223" spans="4:34" x14ac:dyDescent="0.25">
      <c r="D223" s="192" t="str" cm="1">
        <f t="array" ref="D223">Common_InputFunctions.Utility_DisplayArrayInTable(Fertiliser_SourceData.Fertiliser_Products_Data5(),FertiliserProducts[[#Headers],[Company]], 121)</f>
        <v>CSBP</v>
      </c>
      <c r="E223" s="192" t="str" cm="1">
        <f t="array" ref="E223">Common_InputFunctions.Utility_DisplayArrayInTable(Fertiliser_SourceData.Fertiliser_Products_Data5(),FertiliserProducts[[#Headers],[Company]], 121)</f>
        <v>Flexi-N</v>
      </c>
      <c r="F223" s="192" t="str" cm="1">
        <f t="array" ref="F223">Common_InputFunctions.Utility_DisplayArrayInTable(Fertiliser_SourceData.Fertiliser_Products_Data5(),FertiliserProducts[[#Headers],[Company]], 121)</f>
        <v>L</v>
      </c>
      <c r="G223" s="192" cm="1">
        <f t="array" ref="G223">Common_InputFunctions.Utility_DisplayArrayInTable(Fertiliser_SourceData.Fertiliser_Products_Data5(),FertiliserProducts[[#Headers],[Company]], 121)</f>
        <v>1.32</v>
      </c>
      <c r="H223" s="192" t="str" cm="1">
        <f t="array" ref="H223">Common_InputFunctions.Utility_DisplayArrayInTable(Fertiliser_SourceData.Fertiliser_Products_Data5(),FertiliserProducts[[#Headers],[Company]], 121)</f>
        <v/>
      </c>
      <c r="I223" s="192" t="str" cm="1">
        <f t="array" ref="I223">Common_InputFunctions.Utility_DisplayArrayInTable(Fertiliser_SourceData.Fertiliser_Products_Data5(),FertiliserProducts[[#Headers],[Company]], 121)</f>
        <v/>
      </c>
      <c r="J223" s="192" t="str" cm="1">
        <f t="array" ref="J223">Common_InputFunctions.Utility_DisplayArrayInTable(Fertiliser_SourceData.Fertiliser_Products_Data5(),FertiliserProducts[[#Headers],[Company]], 121)</f>
        <v/>
      </c>
      <c r="K223" s="192" cm="1">
        <f t="array" ref="K223">Common_InputFunctions.Utility_DisplayArrayInTable(Fertiliser_SourceData.Fertiliser_Products_Data5(),FertiliserProducts[[#Headers],[Company]], 121)</f>
        <v>32</v>
      </c>
      <c r="L223" s="192" t="str" cm="1">
        <f t="array" ref="L223">Common_InputFunctions.Utility_DisplayArrayInTable(Fertiliser_SourceData.Fertiliser_Products_Data5(),FertiliserProducts[[#Headers],[Company]], 121)</f>
        <v/>
      </c>
      <c r="M223" s="192" t="str" cm="1">
        <f t="array" ref="M223">Common_InputFunctions.Utility_DisplayArrayInTable(Fertiliser_SourceData.Fertiliser_Products_Data5(),FertiliserProducts[[#Headers],[Company]], 121)</f>
        <v/>
      </c>
      <c r="N223" s="192" t="str" cm="1">
        <f t="array" ref="N223">Common_InputFunctions.Utility_DisplayArrayInTable(Fertiliser_SourceData.Fertiliser_Products_Data5(),FertiliserProducts[[#Headers],[Company]], 121)</f>
        <v/>
      </c>
      <c r="O223" s="192" t="str" cm="1">
        <f t="array" ref="O223">Common_InputFunctions.Utility_DisplayArrayInTable(Fertiliser_SourceData.Fertiliser_Products_Data5(),FertiliserProducts[[#Headers],[Company]], 121)</f>
        <v>Urea-ammonium nitrate (UAN)</v>
      </c>
      <c r="P223" s="192" cm="1">
        <f t="array" ref="P223">Common_InputFunctions.Utility_DisplayArrayInTable(Fertiliser_SourceData.Fertiliser_Products_Data5(),FertiliserProducts[[#Headers],[Company]], 121)</f>
        <v>1</v>
      </c>
      <c r="Q223" s="192" t="str" cm="1">
        <f t="array" ref="Q223">Common_InputFunctions.Utility_DisplayArrayInTable(Fertiliser_SourceData.Fertiliser_Products_Data5(),FertiliserProducts[[#Headers],[Company]], 121)</f>
        <v/>
      </c>
      <c r="R223" s="192" t="str" cm="1">
        <f t="array" ref="R223">Common_InputFunctions.Utility_DisplayArrayInTable(Fertiliser_SourceData.Fertiliser_Products_Data5(),FertiliserProducts[[#Headers],[Company]], 121)</f>
        <v/>
      </c>
      <c r="S223" s="192" t="str" cm="1">
        <f t="array" ref="S223">Common_InputFunctions.Utility_DisplayArrayInTable(Fertiliser_SourceData.Fertiliser_Products_Data5(),FertiliserProducts[[#Headers],[Company]], 121)</f>
        <v/>
      </c>
      <c r="T223" s="192" t="str" cm="1">
        <f t="array" ref="T223">Common_InputFunctions.Utility_DisplayArrayInTable(Fertiliser_SourceData.Fertiliser_Products_Data5(),FertiliserProducts[[#Headers],[Company]], 121)</f>
        <v/>
      </c>
      <c r="U223" s="192" t="str" cm="1">
        <f t="array" ref="U223">Common_InputFunctions.Utility_DisplayArrayInTable(Fertiliser_SourceData.Fertiliser_Products_Data5(),FertiliserProducts[[#Headers],[Company]], 121)</f>
        <v/>
      </c>
      <c r="V223" s="192" t="str" cm="1">
        <f t="array" ref="V223">Common_InputFunctions.Utility_DisplayArrayInTable(Fertiliser_SourceData.Fertiliser_Products_Data5(),FertiliserProducts[[#Headers],[Company]], 121)</f>
        <v/>
      </c>
      <c r="W223" s="192" t="str" cm="1">
        <f t="array" ref="W223">Common_InputFunctions.Utility_DisplayArrayInTable(Fertiliser_SourceData.Fertiliser_Products_Data5(),FertiliserProducts[[#Headers],[Company]], 121)</f>
        <v/>
      </c>
      <c r="X223" s="192" t="str" cm="1">
        <f t="array" ref="X223">Common_InputFunctions.Utility_DisplayArrayInTable(Fertiliser_SourceData.Fertiliser_Products_Data5(),FertiliserProducts[[#Headers],[Company]], 121)</f>
        <v/>
      </c>
      <c r="Y223" s="192" t="str" cm="1">
        <f t="array" ref="Y223">Common_InputFunctions.Utility_DisplayArrayInTable(Fertiliser_SourceData.Fertiliser_Products_Data5(),FertiliserProducts[[#Headers],[Company]], 121)</f>
        <v/>
      </c>
      <c r="Z223" s="192" t="str" cm="1">
        <f t="array" ref="Z223">Common_InputFunctions.Utility_DisplayArrayInTable(Fertiliser_SourceData.Fertiliser_Products_Data5(),FertiliserProducts[[#Headers],[Company]], 121)</f>
        <v/>
      </c>
      <c r="AA223" s="192" t="str" cm="1">
        <f t="array" ref="AA223">Common_InputFunctions.Utility_DisplayArrayInTable(Fertiliser_SourceData.Fertiliser_Products_Data5(),FertiliserProducts[[#Headers],[Company]], 121)</f>
        <v/>
      </c>
      <c r="AB223" s="192" t="str" cm="1">
        <f t="array" ref="AB223">Common_InputFunctions.Utility_DisplayArrayInTable(Fertiliser_SourceData.Fertiliser_Products_Data5(),FertiliserProducts[[#Headers],[Company]], 121)</f>
        <v/>
      </c>
      <c r="AC223" s="192" t="str" cm="1">
        <f t="array" ref="AC223">Common_InputFunctions.Utility_DisplayArrayInTable(Fertiliser_SourceData.Fertiliser_Products_Data5(),FertiliserProducts[[#Headers],[Company]], 121)</f>
        <v/>
      </c>
      <c r="AD223" s="192" t="str" cm="1">
        <f t="array" ref="AD223">Common_InputFunctions.Utility_DisplayArrayInTable(Fertiliser_SourceData.Fertiliser_Products_Data5(),FertiliserProducts[[#Headers],[Company]], 121)</f>
        <v/>
      </c>
      <c r="AE223" s="192" t="str" cm="1">
        <f t="array" ref="AE223">Common_InputFunctions.Utility_DisplayArrayInTable(Fertiliser_SourceData.Fertiliser_Products_Data5(),FertiliserProducts[[#Headers],[Company]], 121)</f>
        <v/>
      </c>
      <c r="AF223" s="192" t="str" cm="1">
        <f t="array" ref="AF223">Common_InputFunctions.Utility_DisplayArrayInTable(Fertiliser_SourceData.Fertiliser_Products_Data5(),FertiliserProducts[[#Headers],[Company]], 121)</f>
        <v/>
      </c>
      <c r="AG223" s="192" t="str" cm="1">
        <f t="array" ref="AG223">Common_InputFunctions.Utility_DisplayArrayInTable(Fertiliser_SourceData.Fertiliser_Products_Data5(),FertiliserProducts[[#Headers],[Company]], 121)</f>
        <v/>
      </c>
      <c r="AH223" s="192" t="str" cm="1">
        <f t="array" ref="AH223">Common_InputFunctions.Utility_DisplayArrayInTable(Fertiliser_SourceData.Fertiliser_Products_Data5(),FertiliserProducts[[#Headers],[Company]], 121)</f>
        <v/>
      </c>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81E65-5301-456B-9974-7DBA1994F846}">
  <sheetPr>
    <tabColor theme="2" tint="-0.499984740745262"/>
  </sheetPr>
  <dimension ref="A1:AI165"/>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959</v>
      </c>
      <c r="AG1"/>
      <c r="AH1"/>
      <c r="AI1"/>
    </row>
    <row r="2" spans="1:35" s="3" customFormat="1" ht="20.100000000000001" customHeight="1" x14ac:dyDescent="0.25">
      <c r="A2"/>
      <c r="AG2"/>
      <c r="AH2"/>
      <c r="AI2"/>
    </row>
    <row r="3" spans="1:35"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Fuel_SourceData.Fuel_Scope1Scope3EmissionFactorsTransport_Title()</f>
        <v>Fuel scope 1 and 3 emission factors - Transport</v>
      </c>
      <c r="E5" s="184"/>
      <c r="F5" s="184"/>
      <c r="G5" s="184"/>
      <c r="H5" s="184"/>
      <c r="I5" s="184"/>
      <c r="J5" s="184"/>
      <c r="K5" s="184"/>
      <c r="L5" s="184"/>
    </row>
    <row r="6" spans="1:35" ht="20.100000000000001" customHeight="1" x14ac:dyDescent="0.25">
      <c r="A6" s="5" t="str">
        <f>HYPERLINK("#'Results'!A1", "Results")</f>
        <v>Results</v>
      </c>
      <c r="D6" s="1" t="str" cm="1">
        <f t="array" ref="D6">Fuel_SourceData.Fuel_Scope1Scope3EmissionFactorsTransport_Description()</f>
        <v>Direct (scope 1) and indirect (scope 3) emission factors for the consumption of transport fuels in different transport equipment</v>
      </c>
      <c r="E6" s="184"/>
      <c r="F6" s="184"/>
      <c r="G6" s="184"/>
      <c r="H6" s="184"/>
      <c r="I6" s="184"/>
      <c r="J6" s="184"/>
      <c r="K6" s="184"/>
      <c r="L6" s="184"/>
    </row>
    <row r="7" spans="1:35" ht="20.100000000000001" customHeight="1" x14ac:dyDescent="0.25">
      <c r="D7" s="17" t="str" cm="1">
        <f t="array" ref="D7">Fuel_SourceData.Fuel_Scope1Scope3EmissionFactorsTransport_Source()</f>
        <v>Australian National Greenhouse Accounts Factors 2025 - Table 9</v>
      </c>
      <c r="E7" s="184"/>
      <c r="F7" s="184"/>
      <c r="G7" s="184"/>
      <c r="H7" s="184"/>
      <c r="I7" s="184"/>
      <c r="J7" s="184"/>
      <c r="K7" s="184"/>
      <c r="L7" s="184"/>
    </row>
    <row r="8" spans="1:35" ht="20.100000000000001" customHeight="1" x14ac:dyDescent="0.25">
      <c r="D8" s="25" t="str" cm="1">
        <f t="array" ref="D8">"⚠️" &amp; Fuel_SourceData.Fuel_Scope1Scope3EmissionFactorsTransport_Variation()</f>
        <v>⚠️VARIATION OF SOURCE DATA: 'NE' values returned as zero for calculations.</v>
      </c>
      <c r="E8" s="184"/>
      <c r="F8" s="184"/>
      <c r="G8" s="184"/>
      <c r="H8" s="184"/>
      <c r="I8" s="184"/>
      <c r="J8" s="184"/>
      <c r="K8" s="184"/>
      <c r="L8" s="184"/>
    </row>
    <row r="9" spans="1:35" ht="20.100000000000001" customHeight="1" x14ac:dyDescent="0.25">
      <c r="A9" s="7" t="s">
        <v>0</v>
      </c>
      <c r="D9" s="232" t="s">
        <v>960</v>
      </c>
      <c r="E9" s="232" t="s">
        <v>961</v>
      </c>
      <c r="F9" s="232" t="s">
        <v>962</v>
      </c>
      <c r="G9" s="232" t="s">
        <v>963</v>
      </c>
      <c r="H9" s="232" t="s">
        <v>964</v>
      </c>
      <c r="I9" s="232" t="s">
        <v>965</v>
      </c>
      <c r="J9" s="232" t="s">
        <v>966</v>
      </c>
      <c r="K9" s="232" t="s">
        <v>967</v>
      </c>
      <c r="L9" s="232" t="s">
        <v>968</v>
      </c>
    </row>
    <row r="10" spans="1:35" ht="20.100000000000001" customHeight="1" x14ac:dyDescent="0.25">
      <c r="A10" s="5" t="str">
        <f>HYPERLINK("#'Input - Enterprise'!A1", "Enterprise")</f>
        <v>Enterprise</v>
      </c>
      <c r="D10" s="233" t="str" cm="1">
        <f t="array" ref="D10">Common_InputFunctions.Utility_DisplayArrayInTable(Fuel_SourceData.Fuel_Scope1Scope3EmissionFactorsTransport_Data(), Table_Fuel_EFs_Transport[[#Headers],[Transport type]], 0)</f>
        <v>Cars and light commercial vehicles</v>
      </c>
      <c r="E10" s="233" t="str" cm="1">
        <f t="array" ref="E10">Common_InputFunctions.Utility_DisplayArrayInTable(Fuel_SourceData.Fuel_Scope1Scope3EmissionFactorsTransport_Data(), Table_Fuel_EFs_Transport[[#Headers],[Transport type]], 0)</f>
        <v>Gasoline</v>
      </c>
      <c r="F10" s="233" cm="1">
        <f t="array" ref="F10">Common_InputFunctions.Utility_DisplayArrayInTable(Fuel_SourceData.Fuel_Scope1Scope3EmissionFactorsTransport_Data(), Table_Fuel_EFs_Transport[[#Headers],[Transport type]], 0)</f>
        <v>34.200000000000003</v>
      </c>
      <c r="G10" s="233" t="str" cm="1">
        <f t="array" ref="G10">Common_InputFunctions.Utility_DisplayArrayInTable(Fuel_SourceData.Fuel_Scope1Scope3EmissionFactorsTransport_Data(), Table_Fuel_EFs_Transport[[#Headers],[Transport type]], 0)</f>
        <v>kl</v>
      </c>
      <c r="H10" s="233" cm="1">
        <f t="array" ref="H10">Common_InputFunctions.Utility_DisplayArrayInTable(Fuel_SourceData.Fuel_Scope1Scope3EmissionFactorsTransport_Data(), Table_Fuel_EFs_Transport[[#Headers],[Transport type]], 0)</f>
        <v>67.400000000000006</v>
      </c>
      <c r="I10" s="233" cm="1">
        <f t="array" ref="I10">Common_InputFunctions.Utility_DisplayArrayInTable(Fuel_SourceData.Fuel_Scope1Scope3EmissionFactorsTransport_Data(), Table_Fuel_EFs_Transport[[#Headers],[Transport type]], 0)</f>
        <v>0.02</v>
      </c>
      <c r="J10" s="233" cm="1">
        <f t="array" ref="J10">Common_InputFunctions.Utility_DisplayArrayInTable(Fuel_SourceData.Fuel_Scope1Scope3EmissionFactorsTransport_Data(), Table_Fuel_EFs_Transport[[#Headers],[Transport type]], 0)</f>
        <v>0.2</v>
      </c>
      <c r="K10" s="233" cm="1">
        <f t="array" ref="K10">Common_InputFunctions.Utility_DisplayArrayInTable(Fuel_SourceData.Fuel_Scope1Scope3EmissionFactorsTransport_Data(), Table_Fuel_EFs_Transport[[#Headers],[Transport type]], 0)</f>
        <v>67.62</v>
      </c>
      <c r="L10" s="233" cm="1">
        <f t="array" ref="L10">Common_InputFunctions.Utility_DisplayArrayInTable(Fuel_SourceData.Fuel_Scope1Scope3EmissionFactorsTransport_Data(), Table_Fuel_EFs_Transport[[#Headers],[Transport type]], 0)</f>
        <v>17.2</v>
      </c>
    </row>
    <row r="11" spans="1:35" ht="20.100000000000001" customHeight="1" x14ac:dyDescent="0.25">
      <c r="A11" s="5" t="str">
        <f>HYPERLINK("#'Input - Site'!A1", "Site")</f>
        <v>Site</v>
      </c>
      <c r="D11" s="233" t="str" cm="1">
        <f t="array" ref="D11">Common_InputFunctions.Utility_DisplayArrayInTable(Fuel_SourceData.Fuel_Scope1Scope3EmissionFactorsTransport_Data(), Table_Fuel_EFs_Transport[[#Headers],[Transport type]], 0)</f>
        <v>Cars and light commercial vehicles</v>
      </c>
      <c r="E11" s="233" t="str" cm="1">
        <f t="array" ref="E11">Common_InputFunctions.Utility_DisplayArrayInTable(Fuel_SourceData.Fuel_Scope1Scope3EmissionFactorsTransport_Data(), Table_Fuel_EFs_Transport[[#Headers],[Transport type]], 0)</f>
        <v>Diesel oil</v>
      </c>
      <c r="F11" s="233" cm="1">
        <f t="array" ref="F11">Common_InputFunctions.Utility_DisplayArrayInTable(Fuel_SourceData.Fuel_Scope1Scope3EmissionFactorsTransport_Data(), Table_Fuel_EFs_Transport[[#Headers],[Transport type]], 0)</f>
        <v>38.6</v>
      </c>
      <c r="G11" s="233" t="str" cm="1">
        <f t="array" ref="G11">Common_InputFunctions.Utility_DisplayArrayInTable(Fuel_SourceData.Fuel_Scope1Scope3EmissionFactorsTransport_Data(), Table_Fuel_EFs_Transport[[#Headers],[Transport type]], 0)</f>
        <v>kl</v>
      </c>
      <c r="H11" s="233" cm="1">
        <f t="array" ref="H11">Common_InputFunctions.Utility_DisplayArrayInTable(Fuel_SourceData.Fuel_Scope1Scope3EmissionFactorsTransport_Data(), Table_Fuel_EFs_Transport[[#Headers],[Transport type]], 0)</f>
        <v>69.900000000000006</v>
      </c>
      <c r="I11" s="233" cm="1">
        <f t="array" ref="I11">Common_InputFunctions.Utility_DisplayArrayInTable(Fuel_SourceData.Fuel_Scope1Scope3EmissionFactorsTransport_Data(), Table_Fuel_EFs_Transport[[#Headers],[Transport type]], 0)</f>
        <v>0.01</v>
      </c>
      <c r="J11" s="233" cm="1">
        <f t="array" ref="J11">Common_InputFunctions.Utility_DisplayArrayInTable(Fuel_SourceData.Fuel_Scope1Scope3EmissionFactorsTransport_Data(), Table_Fuel_EFs_Transport[[#Headers],[Transport type]], 0)</f>
        <v>0.5</v>
      </c>
      <c r="K11" s="233" cm="1">
        <f t="array" ref="K11">Common_InputFunctions.Utility_DisplayArrayInTable(Fuel_SourceData.Fuel_Scope1Scope3EmissionFactorsTransport_Data(), Table_Fuel_EFs_Transport[[#Headers],[Transport type]], 0)</f>
        <v>70.41</v>
      </c>
      <c r="L11" s="233" cm="1">
        <f t="array" ref="L11">Common_InputFunctions.Utility_DisplayArrayInTable(Fuel_SourceData.Fuel_Scope1Scope3EmissionFactorsTransport_Data(), Table_Fuel_EFs_Transport[[#Headers],[Transport type]], 0)</f>
        <v>17.3</v>
      </c>
    </row>
    <row r="12" spans="1:35" ht="20.100000000000001" customHeight="1" x14ac:dyDescent="0.25">
      <c r="A12" s="5" t="str">
        <f>HYPERLINK("#'Input - Dairy'!A1", "Dairy")</f>
        <v>Dairy</v>
      </c>
      <c r="D12" s="233" t="str" cm="1">
        <f t="array" ref="D12">Common_InputFunctions.Utility_DisplayArrayInTable(Fuel_SourceData.Fuel_Scope1Scope3EmissionFactorsTransport_Data(), Table_Fuel_EFs_Transport[[#Headers],[Transport type]], 0)</f>
        <v>Cars and light commercial vehicles</v>
      </c>
      <c r="E12" s="233" t="str" cm="1">
        <f t="array" ref="E12">Common_InputFunctions.Utility_DisplayArrayInTable(Fuel_SourceData.Fuel_Scope1Scope3EmissionFactorsTransport_Data(), Table_Fuel_EFs_Transport[[#Headers],[Transport type]], 0)</f>
        <v>Liquefied petroleum gas (LPG)</v>
      </c>
      <c r="F12" s="233" cm="1">
        <f t="array" ref="F12">Common_InputFunctions.Utility_DisplayArrayInTable(Fuel_SourceData.Fuel_Scope1Scope3EmissionFactorsTransport_Data(), Table_Fuel_EFs_Transport[[#Headers],[Transport type]], 0)</f>
        <v>26.2</v>
      </c>
      <c r="G12" s="233" t="str" cm="1">
        <f t="array" ref="G12">Common_InputFunctions.Utility_DisplayArrayInTable(Fuel_SourceData.Fuel_Scope1Scope3EmissionFactorsTransport_Data(), Table_Fuel_EFs_Transport[[#Headers],[Transport type]], 0)</f>
        <v>kl</v>
      </c>
      <c r="H12" s="233" cm="1">
        <f t="array" ref="H12">Common_InputFunctions.Utility_DisplayArrayInTable(Fuel_SourceData.Fuel_Scope1Scope3EmissionFactorsTransport_Data(), Table_Fuel_EFs_Transport[[#Headers],[Transport type]], 0)</f>
        <v>60.2</v>
      </c>
      <c r="I12" s="233" cm="1">
        <f t="array" ref="I12">Common_InputFunctions.Utility_DisplayArrayInTable(Fuel_SourceData.Fuel_Scope1Scope3EmissionFactorsTransport_Data(), Table_Fuel_EFs_Transport[[#Headers],[Transport type]], 0)</f>
        <v>0.5</v>
      </c>
      <c r="J12" s="233" cm="1">
        <f t="array" ref="J12">Common_InputFunctions.Utility_DisplayArrayInTable(Fuel_SourceData.Fuel_Scope1Scope3EmissionFactorsTransport_Data(), Table_Fuel_EFs_Transport[[#Headers],[Transport type]], 0)</f>
        <v>0.3</v>
      </c>
      <c r="K12" s="233" cm="1">
        <f t="array" ref="K12">Common_InputFunctions.Utility_DisplayArrayInTable(Fuel_SourceData.Fuel_Scope1Scope3EmissionFactorsTransport_Data(), Table_Fuel_EFs_Transport[[#Headers],[Transport type]], 0)</f>
        <v>61</v>
      </c>
      <c r="L12" s="233" cm="1">
        <f t="array" ref="L12">Common_InputFunctions.Utility_DisplayArrayInTable(Fuel_SourceData.Fuel_Scope1Scope3EmissionFactorsTransport_Data(), Table_Fuel_EFs_Transport[[#Headers],[Transport type]], 0)</f>
        <v>20.2</v>
      </c>
    </row>
    <row r="13" spans="1:35" ht="20.100000000000001" customHeight="1" x14ac:dyDescent="0.25">
      <c r="A13" s="5" t="str">
        <f>HYPERLINK("#'Input - Livestock sales'!A1", "Livestock sales")</f>
        <v>Livestock sales</v>
      </c>
      <c r="D13" s="233" t="str" cm="1">
        <f t="array" ref="D13">Common_InputFunctions.Utility_DisplayArrayInTable(Fuel_SourceData.Fuel_Scope1Scope3EmissionFactorsTransport_Data(), Table_Fuel_EFs_Transport[[#Headers],[Transport type]], 0)</f>
        <v>Cars and light commercial vehicles</v>
      </c>
      <c r="E13" s="233" t="str" cm="1">
        <f t="array" ref="E13">Common_InputFunctions.Utility_DisplayArrayInTable(Fuel_SourceData.Fuel_Scope1Scope3EmissionFactorsTransport_Data(), Table_Fuel_EFs_Transport[[#Headers],[Transport type]], 0)</f>
        <v>Fuel oil</v>
      </c>
      <c r="F13" s="233" cm="1">
        <f t="array" ref="F13">Common_InputFunctions.Utility_DisplayArrayInTable(Fuel_SourceData.Fuel_Scope1Scope3EmissionFactorsTransport_Data(), Table_Fuel_EFs_Transport[[#Headers],[Transport type]], 0)</f>
        <v>39.700000000000003</v>
      </c>
      <c r="G13" s="233" t="str" cm="1">
        <f t="array" ref="G13">Common_InputFunctions.Utility_DisplayArrayInTable(Fuel_SourceData.Fuel_Scope1Scope3EmissionFactorsTransport_Data(), Table_Fuel_EFs_Transport[[#Headers],[Transport type]], 0)</f>
        <v>kl</v>
      </c>
      <c r="H13" s="233" cm="1">
        <f t="array" ref="H13">Common_InputFunctions.Utility_DisplayArrayInTable(Fuel_SourceData.Fuel_Scope1Scope3EmissionFactorsTransport_Data(), Table_Fuel_EFs_Transport[[#Headers],[Transport type]], 0)</f>
        <v>73.599999999999994</v>
      </c>
      <c r="I13" s="233" cm="1">
        <f t="array" ref="I13">Common_InputFunctions.Utility_DisplayArrayInTable(Fuel_SourceData.Fuel_Scope1Scope3EmissionFactorsTransport_Data(), Table_Fuel_EFs_Transport[[#Headers],[Transport type]], 0)</f>
        <v>0.08</v>
      </c>
      <c r="J13" s="233" cm="1">
        <f t="array" ref="J13">Common_InputFunctions.Utility_DisplayArrayInTable(Fuel_SourceData.Fuel_Scope1Scope3EmissionFactorsTransport_Data(), Table_Fuel_EFs_Transport[[#Headers],[Transport type]], 0)</f>
        <v>0.5</v>
      </c>
      <c r="K13" s="233" cm="1">
        <f t="array" ref="K13">Common_InputFunctions.Utility_DisplayArrayInTable(Fuel_SourceData.Fuel_Scope1Scope3EmissionFactorsTransport_Data(), Table_Fuel_EFs_Transport[[#Headers],[Transport type]], 0)</f>
        <v>74.180000000000007</v>
      </c>
      <c r="L13" s="233" cm="1">
        <f t="array" ref="L13">Common_InputFunctions.Utility_DisplayArrayInTable(Fuel_SourceData.Fuel_Scope1Scope3EmissionFactorsTransport_Data(), Table_Fuel_EFs_Transport[[#Headers],[Transport type]], 0)</f>
        <v>18</v>
      </c>
    </row>
    <row r="14" spans="1:35" ht="20.100000000000001" customHeight="1" x14ac:dyDescent="0.25">
      <c r="A14" s="5" t="str">
        <f>HYPERLINK("#'Input - Dairy cattle purchases'!A1", "Dairy cattle purchases")</f>
        <v>Dairy cattle purchases</v>
      </c>
      <c r="D14" s="233" t="str" cm="1">
        <f t="array" ref="D14">Common_InputFunctions.Utility_DisplayArrayInTable(Fuel_SourceData.Fuel_Scope1Scope3EmissionFactorsTransport_Data(), Table_Fuel_EFs_Transport[[#Headers],[Transport type]], 0)</f>
        <v>Cars and light commercial vehicles</v>
      </c>
      <c r="E14" s="233" t="str" cm="1">
        <f t="array" ref="E14">Common_InputFunctions.Utility_DisplayArrayInTable(Fuel_SourceData.Fuel_Scope1Scope3EmissionFactorsTransport_Data(), Table_Fuel_EFs_Transport[[#Headers],[Transport type]], 0)</f>
        <v>Ethanol</v>
      </c>
      <c r="F14" s="233" cm="1">
        <f t="array" ref="F14">Common_InputFunctions.Utility_DisplayArrayInTable(Fuel_SourceData.Fuel_Scope1Scope3EmissionFactorsTransport_Data(), Table_Fuel_EFs_Transport[[#Headers],[Transport type]], 0)</f>
        <v>23.4</v>
      </c>
      <c r="G14" s="233" t="str" cm="1">
        <f t="array" ref="G14">Common_InputFunctions.Utility_DisplayArrayInTable(Fuel_SourceData.Fuel_Scope1Scope3EmissionFactorsTransport_Data(), Table_Fuel_EFs_Transport[[#Headers],[Transport type]], 0)</f>
        <v>kl</v>
      </c>
      <c r="H14" s="233" cm="1">
        <f t="array" ref="H14">Common_InputFunctions.Utility_DisplayArrayInTable(Fuel_SourceData.Fuel_Scope1Scope3EmissionFactorsTransport_Data(), Table_Fuel_EFs_Transport[[#Headers],[Transport type]], 0)</f>
        <v>0</v>
      </c>
      <c r="I14" s="233" cm="1">
        <f t="array" ref="I14">Common_InputFunctions.Utility_DisplayArrayInTable(Fuel_SourceData.Fuel_Scope1Scope3EmissionFactorsTransport_Data(), Table_Fuel_EFs_Transport[[#Headers],[Transport type]], 0)</f>
        <v>0.2</v>
      </c>
      <c r="J14" s="233" cm="1">
        <f t="array" ref="J14">Common_InputFunctions.Utility_DisplayArrayInTable(Fuel_SourceData.Fuel_Scope1Scope3EmissionFactorsTransport_Data(), Table_Fuel_EFs_Transport[[#Headers],[Transport type]], 0)</f>
        <v>0.2</v>
      </c>
      <c r="K14" s="233" cm="1">
        <f t="array" ref="K14">Common_InputFunctions.Utility_DisplayArrayInTable(Fuel_SourceData.Fuel_Scope1Scope3EmissionFactorsTransport_Data(), Table_Fuel_EFs_Transport[[#Headers],[Transport type]], 0)</f>
        <v>0.4</v>
      </c>
      <c r="L14" s="233" t="str" cm="1">
        <f t="array" ref="L14">Common_InputFunctions.Utility_DisplayArrayInTable(Fuel_SourceData.Fuel_Scope1Scope3EmissionFactorsTransport_Data(), Table_Fuel_EFs_Transport[[#Headers],[Transport type]], 0)</f>
        <v>NE</v>
      </c>
    </row>
    <row r="15" spans="1:35" ht="20.100000000000001" customHeight="1" x14ac:dyDescent="0.25">
      <c r="A15" s="5" t="str">
        <f>HYPERLINK("#'Input - Pasture'!A1", "Pasture")</f>
        <v>Pasture</v>
      </c>
      <c r="D15" s="233" t="str" cm="1">
        <f t="array" ref="D15">Common_InputFunctions.Utility_DisplayArrayInTable(Fuel_SourceData.Fuel_Scope1Scope3EmissionFactorsTransport_Data(), Table_Fuel_EFs_Transport[[#Headers],[Transport type]], 0)</f>
        <v>Cars and light commercial vehicles</v>
      </c>
      <c r="E15" s="233" t="str" cm="1">
        <f t="array" ref="E15">Common_InputFunctions.Utility_DisplayArrayInTable(Fuel_SourceData.Fuel_Scope1Scope3EmissionFactorsTransport_Data(), Table_Fuel_EFs_Transport[[#Headers],[Transport type]], 0)</f>
        <v>Biodiesel</v>
      </c>
      <c r="F15" s="233" cm="1">
        <f t="array" ref="F15">Common_InputFunctions.Utility_DisplayArrayInTable(Fuel_SourceData.Fuel_Scope1Scope3EmissionFactorsTransport_Data(), Table_Fuel_EFs_Transport[[#Headers],[Transport type]], 0)</f>
        <v>34.6</v>
      </c>
      <c r="G15" s="233" t="str" cm="1">
        <f t="array" ref="G15">Common_InputFunctions.Utility_DisplayArrayInTable(Fuel_SourceData.Fuel_Scope1Scope3EmissionFactorsTransport_Data(), Table_Fuel_EFs_Transport[[#Headers],[Transport type]], 0)</f>
        <v>kl</v>
      </c>
      <c r="H15" s="233" cm="1">
        <f t="array" ref="H15">Common_InputFunctions.Utility_DisplayArrayInTable(Fuel_SourceData.Fuel_Scope1Scope3EmissionFactorsTransport_Data(), Table_Fuel_EFs_Transport[[#Headers],[Transport type]], 0)</f>
        <v>0</v>
      </c>
      <c r="I15" s="233" cm="1">
        <f t="array" ref="I15">Common_InputFunctions.Utility_DisplayArrayInTable(Fuel_SourceData.Fuel_Scope1Scope3EmissionFactorsTransport_Data(), Table_Fuel_EFs_Transport[[#Headers],[Transport type]], 0)</f>
        <v>0.8</v>
      </c>
      <c r="J15" s="233" cm="1">
        <f t="array" ref="J15">Common_InputFunctions.Utility_DisplayArrayInTable(Fuel_SourceData.Fuel_Scope1Scope3EmissionFactorsTransport_Data(), Table_Fuel_EFs_Transport[[#Headers],[Transport type]], 0)</f>
        <v>1.7</v>
      </c>
      <c r="K15" s="233" cm="1">
        <f t="array" ref="K15">Common_InputFunctions.Utility_DisplayArrayInTable(Fuel_SourceData.Fuel_Scope1Scope3EmissionFactorsTransport_Data(), Table_Fuel_EFs_Transport[[#Headers],[Transport type]], 0)</f>
        <v>2.5</v>
      </c>
      <c r="L15" s="233" t="str" cm="1">
        <f t="array" ref="L15">Common_InputFunctions.Utility_DisplayArrayInTable(Fuel_SourceData.Fuel_Scope1Scope3EmissionFactorsTransport_Data(), Table_Fuel_EFs_Transport[[#Headers],[Transport type]], 0)</f>
        <v>NE</v>
      </c>
    </row>
    <row r="16" spans="1:35" ht="20.100000000000001" customHeight="1" x14ac:dyDescent="0.25">
      <c r="A16" s="5" t="str">
        <f>HYPERLINK("#'Input - Fert Prod System'!A1", "Fert Prod System")</f>
        <v>Fert Prod System</v>
      </c>
      <c r="D16" s="233" t="str" cm="1">
        <f t="array" ref="D16">Common_InputFunctions.Utility_DisplayArrayInTable(Fuel_SourceData.Fuel_Scope1Scope3EmissionFactorsTransport_Data(), Table_Fuel_EFs_Transport[[#Headers],[Transport type]], 0)</f>
        <v>Cars and light commercial vehicles</v>
      </c>
      <c r="E16" s="233" t="str" cm="1">
        <f t="array" ref="E16">Common_InputFunctions.Utility_DisplayArrayInTable(Fuel_SourceData.Fuel_Scope1Scope3EmissionFactorsTransport_Data(), Table_Fuel_EFs_Transport[[#Headers],[Transport type]], 0)</f>
        <v>Renewable diesel</v>
      </c>
      <c r="F16" s="233" cm="1">
        <f t="array" ref="F16">Common_InputFunctions.Utility_DisplayArrayInTable(Fuel_SourceData.Fuel_Scope1Scope3EmissionFactorsTransport_Data(), Table_Fuel_EFs_Transport[[#Headers],[Transport type]], 0)</f>
        <v>38.6</v>
      </c>
      <c r="G16" s="233" t="str" cm="1">
        <f t="array" ref="G16">Common_InputFunctions.Utility_DisplayArrayInTable(Fuel_SourceData.Fuel_Scope1Scope3EmissionFactorsTransport_Data(), Table_Fuel_EFs_Transport[[#Headers],[Transport type]], 0)</f>
        <v>kl</v>
      </c>
      <c r="H16" s="233" cm="1">
        <f t="array" ref="H16">Common_InputFunctions.Utility_DisplayArrayInTable(Fuel_SourceData.Fuel_Scope1Scope3EmissionFactorsTransport_Data(), Table_Fuel_EFs_Transport[[#Headers],[Transport type]], 0)</f>
        <v>0</v>
      </c>
      <c r="I16" s="233" cm="1">
        <f t="array" ref="I16">Common_InputFunctions.Utility_DisplayArrayInTable(Fuel_SourceData.Fuel_Scope1Scope3EmissionFactorsTransport_Data(), Table_Fuel_EFs_Transport[[#Headers],[Transport type]], 0)</f>
        <v>0.01</v>
      </c>
      <c r="J16" s="233" cm="1">
        <f t="array" ref="J16">Common_InputFunctions.Utility_DisplayArrayInTable(Fuel_SourceData.Fuel_Scope1Scope3EmissionFactorsTransport_Data(), Table_Fuel_EFs_Transport[[#Headers],[Transport type]], 0)</f>
        <v>0.5</v>
      </c>
      <c r="K16" s="233" cm="1">
        <f t="array" ref="K16">Common_InputFunctions.Utility_DisplayArrayInTable(Fuel_SourceData.Fuel_Scope1Scope3EmissionFactorsTransport_Data(), Table_Fuel_EFs_Transport[[#Headers],[Transport type]], 0)</f>
        <v>0.51</v>
      </c>
      <c r="L16" s="233" t="str" cm="1">
        <f t="array" ref="L16">Common_InputFunctions.Utility_DisplayArrayInTable(Fuel_SourceData.Fuel_Scope1Scope3EmissionFactorsTransport_Data(), Table_Fuel_EFs_Transport[[#Headers],[Transport type]], 0)</f>
        <v>NE</v>
      </c>
    </row>
    <row r="17" spans="1:12" ht="20.100000000000001" customHeight="1" x14ac:dyDescent="0.25">
      <c r="A17" s="5" t="str">
        <f>HYPERLINK("#'Input - Fertiliser'!A1", "Fertiliser")</f>
        <v>Fertiliser</v>
      </c>
      <c r="D17" s="233" t="str" cm="1">
        <f t="array" ref="D17">Common_InputFunctions.Utility_DisplayArrayInTable(Fuel_SourceData.Fuel_Scope1Scope3EmissionFactorsTransport_Data(), Table_Fuel_EFs_Transport[[#Headers],[Transport type]], 0)</f>
        <v>Cars and light commercial vehicles</v>
      </c>
      <c r="E17" s="233" t="str" cm="1">
        <f t="array" ref="E17">Common_InputFunctions.Utility_DisplayArrayInTable(Fuel_SourceData.Fuel_Scope1Scope3EmissionFactorsTransport_Data(), Table_Fuel_EFs_Transport[[#Headers],[Transport type]], 0)</f>
        <v>Other biofuels</v>
      </c>
      <c r="F17" s="233" cm="1">
        <f t="array" ref="F17">Common_InputFunctions.Utility_DisplayArrayInTable(Fuel_SourceData.Fuel_Scope1Scope3EmissionFactorsTransport_Data(), Table_Fuel_EFs_Transport[[#Headers],[Transport type]], 0)</f>
        <v>23.4</v>
      </c>
      <c r="G17" s="233" t="str" cm="1">
        <f t="array" ref="G17">Common_InputFunctions.Utility_DisplayArrayInTable(Fuel_SourceData.Fuel_Scope1Scope3EmissionFactorsTransport_Data(), Table_Fuel_EFs_Transport[[#Headers],[Transport type]], 0)</f>
        <v>kl</v>
      </c>
      <c r="H17" s="233" cm="1">
        <f t="array" ref="H17">Common_InputFunctions.Utility_DisplayArrayInTable(Fuel_SourceData.Fuel_Scope1Scope3EmissionFactorsTransport_Data(), Table_Fuel_EFs_Transport[[#Headers],[Transport type]], 0)</f>
        <v>0</v>
      </c>
      <c r="I17" s="233" cm="1">
        <f t="array" ref="I17">Common_InputFunctions.Utility_DisplayArrayInTable(Fuel_SourceData.Fuel_Scope1Scope3EmissionFactorsTransport_Data(), Table_Fuel_EFs_Transport[[#Headers],[Transport type]], 0)</f>
        <v>0.8</v>
      </c>
      <c r="J17" s="233" cm="1">
        <f t="array" ref="J17">Common_InputFunctions.Utility_DisplayArrayInTable(Fuel_SourceData.Fuel_Scope1Scope3EmissionFactorsTransport_Data(), Table_Fuel_EFs_Transport[[#Headers],[Transport type]], 0)</f>
        <v>1.7</v>
      </c>
      <c r="K17" s="233" cm="1">
        <f t="array" ref="K17">Common_InputFunctions.Utility_DisplayArrayInTable(Fuel_SourceData.Fuel_Scope1Scope3EmissionFactorsTransport_Data(), Table_Fuel_EFs_Transport[[#Headers],[Transport type]], 0)</f>
        <v>2.5</v>
      </c>
      <c r="L17" s="233" t="str" cm="1">
        <f t="array" ref="L17">Common_InputFunctions.Utility_DisplayArrayInTable(Fuel_SourceData.Fuel_Scope1Scope3EmissionFactorsTransport_Data(), Table_Fuel_EFs_Transport[[#Headers],[Transport type]], 0)</f>
        <v>NE</v>
      </c>
    </row>
    <row r="18" spans="1:12" ht="20.100000000000001" customHeight="1" x14ac:dyDescent="0.25">
      <c r="A18" s="5" t="str">
        <f>HYPERLINK("#'Input - Fuel'!A1", "Fuel")</f>
        <v>Fuel</v>
      </c>
      <c r="D18" s="233" t="str" cm="1">
        <f t="array" ref="D18">Common_InputFunctions.Utility_DisplayArrayInTable(Fuel_SourceData.Fuel_Scope1Scope3EmissionFactorsTransport_Data(), Table_Fuel_EFs_Transport[[#Headers],[Transport type]], 0)</f>
        <v>Light duty vehicles</v>
      </c>
      <c r="E18" s="233" t="str" cm="1">
        <f t="array" ref="E18">Common_InputFunctions.Utility_DisplayArrayInTable(Fuel_SourceData.Fuel_Scope1Scope3EmissionFactorsTransport_Data(), Table_Fuel_EFs_Transport[[#Headers],[Transport type]], 0)</f>
        <v>Compressed natural gas</v>
      </c>
      <c r="F18" s="233" cm="1">
        <f t="array" ref="F18">Common_InputFunctions.Utility_DisplayArrayInTable(Fuel_SourceData.Fuel_Scope1Scope3EmissionFactorsTransport_Data(), Table_Fuel_EFs_Transport[[#Headers],[Transport type]], 0)</f>
        <v>3.9300000000000002E-2</v>
      </c>
      <c r="G18" s="233" t="str" cm="1">
        <f t="array" ref="G18">Common_InputFunctions.Utility_DisplayArrayInTable(Fuel_SourceData.Fuel_Scope1Scope3EmissionFactorsTransport_Data(), Table_Fuel_EFs_Transport[[#Headers],[Transport type]], 0)</f>
        <v>m3</v>
      </c>
      <c r="H18" s="233" cm="1">
        <f t="array" ref="H18">Common_InputFunctions.Utility_DisplayArrayInTable(Fuel_SourceData.Fuel_Scope1Scope3EmissionFactorsTransport_Data(), Table_Fuel_EFs_Transport[[#Headers],[Transport type]], 0)</f>
        <v>51.4</v>
      </c>
      <c r="I18" s="233" cm="1">
        <f t="array" ref="I18">Common_InputFunctions.Utility_DisplayArrayInTable(Fuel_SourceData.Fuel_Scope1Scope3EmissionFactorsTransport_Data(), Table_Fuel_EFs_Transport[[#Headers],[Transport type]], 0)</f>
        <v>7.3</v>
      </c>
      <c r="J18" s="233" cm="1">
        <f t="array" ref="J18">Common_InputFunctions.Utility_DisplayArrayInTable(Fuel_SourceData.Fuel_Scope1Scope3EmissionFactorsTransport_Data(), Table_Fuel_EFs_Transport[[#Headers],[Transport type]], 0)</f>
        <v>0.3</v>
      </c>
      <c r="K18" s="233" cm="1">
        <f t="array" ref="K18">Common_InputFunctions.Utility_DisplayArrayInTable(Fuel_SourceData.Fuel_Scope1Scope3EmissionFactorsTransport_Data(), Table_Fuel_EFs_Transport[[#Headers],[Transport type]], 0)</f>
        <v>59</v>
      </c>
      <c r="L18" s="233" cm="1">
        <f t="array" ref="L18">Common_InputFunctions.Utility_DisplayArrayInTable(Fuel_SourceData.Fuel_Scope1Scope3EmissionFactorsTransport_Data(), Table_Fuel_EFs_Transport[[#Headers],[Transport type]], 0)</f>
        <v>18</v>
      </c>
    </row>
    <row r="19" spans="1:12" ht="20.100000000000001" customHeight="1" x14ac:dyDescent="0.25">
      <c r="A19" s="5" t="str">
        <f>HYPERLINK("#'Input - Electricity'!A1", "Electricity")</f>
        <v>Electricity</v>
      </c>
      <c r="D19" s="233" t="str" cm="1">
        <f t="array" ref="D19">Common_InputFunctions.Utility_DisplayArrayInTable(Fuel_SourceData.Fuel_Scope1Scope3EmissionFactorsTransport_Data(), Table_Fuel_EFs_Transport[[#Headers],[Transport type]], 0)</f>
        <v>Light duty vehicles</v>
      </c>
      <c r="E19" s="233" t="str" cm="1">
        <f t="array" ref="E19">Common_InputFunctions.Utility_DisplayArrayInTable(Fuel_SourceData.Fuel_Scope1Scope3EmissionFactorsTransport_Data(), Table_Fuel_EFs_Transport[[#Headers],[Transport type]], 0)</f>
        <v>Liquefied natural gas</v>
      </c>
      <c r="F19" s="233" cm="1">
        <f t="array" ref="F19">Common_InputFunctions.Utility_DisplayArrayInTable(Fuel_SourceData.Fuel_Scope1Scope3EmissionFactorsTransport_Data(), Table_Fuel_EFs_Transport[[#Headers],[Transport type]], 0)</f>
        <v>25.3</v>
      </c>
      <c r="G19" s="233" t="str" cm="1">
        <f t="array" ref="G19">Common_InputFunctions.Utility_DisplayArrayInTable(Fuel_SourceData.Fuel_Scope1Scope3EmissionFactorsTransport_Data(), Table_Fuel_EFs_Transport[[#Headers],[Transport type]], 0)</f>
        <v>kl</v>
      </c>
      <c r="H19" s="233" cm="1">
        <f t="array" ref="H19">Common_InputFunctions.Utility_DisplayArrayInTable(Fuel_SourceData.Fuel_Scope1Scope3EmissionFactorsTransport_Data(), Table_Fuel_EFs_Transport[[#Headers],[Transport type]], 0)</f>
        <v>51.4</v>
      </c>
      <c r="I19" s="233" cm="1">
        <f t="array" ref="I19">Common_InputFunctions.Utility_DisplayArrayInTable(Fuel_SourceData.Fuel_Scope1Scope3EmissionFactorsTransport_Data(), Table_Fuel_EFs_Transport[[#Headers],[Transport type]], 0)</f>
        <v>7.3</v>
      </c>
      <c r="J19" s="233" cm="1">
        <f t="array" ref="J19">Common_InputFunctions.Utility_DisplayArrayInTable(Fuel_SourceData.Fuel_Scope1Scope3EmissionFactorsTransport_Data(), Table_Fuel_EFs_Transport[[#Headers],[Transport type]], 0)</f>
        <v>0.3</v>
      </c>
      <c r="K19" s="233" cm="1">
        <f t="array" ref="K19">Common_InputFunctions.Utility_DisplayArrayInTable(Fuel_SourceData.Fuel_Scope1Scope3EmissionFactorsTransport_Data(), Table_Fuel_EFs_Transport[[#Headers],[Transport type]], 0)</f>
        <v>59</v>
      </c>
      <c r="L19" s="233" cm="1">
        <f t="array" ref="L19">Common_InputFunctions.Utility_DisplayArrayInTable(Fuel_SourceData.Fuel_Scope1Scope3EmissionFactorsTransport_Data(), Table_Fuel_EFs_Transport[[#Headers],[Transport type]], 0)</f>
        <v>18</v>
      </c>
    </row>
    <row r="20" spans="1:12" ht="20.100000000000001" customHeight="1" x14ac:dyDescent="0.25">
      <c r="A20" s="5" t="str">
        <f>HYPERLINK("#'Input - Common farm inputs'!A1", "Common farm inputs")</f>
        <v>Common farm inputs</v>
      </c>
      <c r="D20" s="233" t="str" cm="1">
        <f t="array" ref="D20">Common_InputFunctions.Utility_DisplayArrayInTable(Fuel_SourceData.Fuel_Scope1Scope3EmissionFactorsTransport_Data(), Table_Fuel_EFs_Transport[[#Headers],[Transport type]], 0)</f>
        <v>Heavy duty vehicles</v>
      </c>
      <c r="E20" s="233" t="str" cm="1">
        <f t="array" ref="E20">Common_InputFunctions.Utility_DisplayArrayInTable(Fuel_SourceData.Fuel_Scope1Scope3EmissionFactorsTransport_Data(), Table_Fuel_EFs_Transport[[#Headers],[Transport type]], 0)</f>
        <v>Compressed natural gas</v>
      </c>
      <c r="F20" s="233" cm="1">
        <f t="array" ref="F20">Common_InputFunctions.Utility_DisplayArrayInTable(Fuel_SourceData.Fuel_Scope1Scope3EmissionFactorsTransport_Data(), Table_Fuel_EFs_Transport[[#Headers],[Transport type]], 0)</f>
        <v>3.9300000000000002E-2</v>
      </c>
      <c r="G20" s="233" t="str" cm="1">
        <f t="array" ref="G20">Common_InputFunctions.Utility_DisplayArrayInTable(Fuel_SourceData.Fuel_Scope1Scope3EmissionFactorsTransport_Data(), Table_Fuel_EFs_Transport[[#Headers],[Transport type]], 0)</f>
        <v>m3</v>
      </c>
      <c r="H20" s="233" cm="1">
        <f t="array" ref="H20">Common_InputFunctions.Utility_DisplayArrayInTable(Fuel_SourceData.Fuel_Scope1Scope3EmissionFactorsTransport_Data(), Table_Fuel_EFs_Transport[[#Headers],[Transport type]], 0)</f>
        <v>51.4</v>
      </c>
      <c r="I20" s="233" cm="1">
        <f t="array" ref="I20">Common_InputFunctions.Utility_DisplayArrayInTable(Fuel_SourceData.Fuel_Scope1Scope3EmissionFactorsTransport_Data(), Table_Fuel_EFs_Transport[[#Headers],[Transport type]], 0)</f>
        <v>2.8</v>
      </c>
      <c r="J20" s="233" cm="1">
        <f t="array" ref="J20">Common_InputFunctions.Utility_DisplayArrayInTable(Fuel_SourceData.Fuel_Scope1Scope3EmissionFactorsTransport_Data(), Table_Fuel_EFs_Transport[[#Headers],[Transport type]], 0)</f>
        <v>0.3</v>
      </c>
      <c r="K20" s="233" cm="1">
        <f t="array" ref="K20">Common_InputFunctions.Utility_DisplayArrayInTable(Fuel_SourceData.Fuel_Scope1Scope3EmissionFactorsTransport_Data(), Table_Fuel_EFs_Transport[[#Headers],[Transport type]], 0)</f>
        <v>54.5</v>
      </c>
      <c r="L20" s="233" cm="1">
        <f t="array" ref="L20">Common_InputFunctions.Utility_DisplayArrayInTable(Fuel_SourceData.Fuel_Scope1Scope3EmissionFactorsTransport_Data(), Table_Fuel_EFs_Transport[[#Headers],[Transport type]], 0)</f>
        <v>18</v>
      </c>
    </row>
    <row r="21" spans="1:12" ht="20.100000000000001" customHeight="1" x14ac:dyDescent="0.25">
      <c r="A21" s="5" t="str">
        <f>HYPERLINK("#'Input - Crop pasture farm input'!A1", "Crop pasture farm input")</f>
        <v>Crop pasture farm input</v>
      </c>
      <c r="D21" s="233" t="str" cm="1">
        <f t="array" ref="D21">Common_InputFunctions.Utility_DisplayArrayInTable(Fuel_SourceData.Fuel_Scope1Scope3EmissionFactorsTransport_Data(), Table_Fuel_EFs_Transport[[#Headers],[Transport type]], 0)</f>
        <v>Heavy duty vehicles</v>
      </c>
      <c r="E21" s="233" t="str" cm="1">
        <f t="array" ref="E21">Common_InputFunctions.Utility_DisplayArrayInTable(Fuel_SourceData.Fuel_Scope1Scope3EmissionFactorsTransport_Data(), Table_Fuel_EFs_Transport[[#Headers],[Transport type]], 0)</f>
        <v>Liquefied natural gas</v>
      </c>
      <c r="F21" s="233" cm="1">
        <f t="array" ref="F21">Common_InputFunctions.Utility_DisplayArrayInTable(Fuel_SourceData.Fuel_Scope1Scope3EmissionFactorsTransport_Data(), Table_Fuel_EFs_Transport[[#Headers],[Transport type]], 0)</f>
        <v>25.3</v>
      </c>
      <c r="G21" s="233" t="str" cm="1">
        <f t="array" ref="G21">Common_InputFunctions.Utility_DisplayArrayInTable(Fuel_SourceData.Fuel_Scope1Scope3EmissionFactorsTransport_Data(), Table_Fuel_EFs_Transport[[#Headers],[Transport type]], 0)</f>
        <v>kl</v>
      </c>
      <c r="H21" s="233" cm="1">
        <f t="array" ref="H21">Common_InputFunctions.Utility_DisplayArrayInTable(Fuel_SourceData.Fuel_Scope1Scope3EmissionFactorsTransport_Data(), Table_Fuel_EFs_Transport[[#Headers],[Transport type]], 0)</f>
        <v>51.4</v>
      </c>
      <c r="I21" s="233" cm="1">
        <f t="array" ref="I21">Common_InputFunctions.Utility_DisplayArrayInTable(Fuel_SourceData.Fuel_Scope1Scope3EmissionFactorsTransport_Data(), Table_Fuel_EFs_Transport[[#Headers],[Transport type]], 0)</f>
        <v>2.8</v>
      </c>
      <c r="J21" s="233" cm="1">
        <f t="array" ref="J21">Common_InputFunctions.Utility_DisplayArrayInTable(Fuel_SourceData.Fuel_Scope1Scope3EmissionFactorsTransport_Data(), Table_Fuel_EFs_Transport[[#Headers],[Transport type]], 0)</f>
        <v>0.3</v>
      </c>
      <c r="K21" s="233" cm="1">
        <f t="array" ref="K21">Common_InputFunctions.Utility_DisplayArrayInTable(Fuel_SourceData.Fuel_Scope1Scope3EmissionFactorsTransport_Data(), Table_Fuel_EFs_Transport[[#Headers],[Transport type]], 0)</f>
        <v>54.5</v>
      </c>
      <c r="L21" s="233" cm="1">
        <f t="array" ref="L21">Common_InputFunctions.Utility_DisplayArrayInTable(Fuel_SourceData.Fuel_Scope1Scope3EmissionFactorsTransport_Data(), Table_Fuel_EFs_Transport[[#Headers],[Transport type]], 0)</f>
        <v>18</v>
      </c>
    </row>
    <row r="22" spans="1:12" ht="20.100000000000001" customHeight="1" x14ac:dyDescent="0.25">
      <c r="A22" s="5" t="str">
        <f>HYPERLINK("#'Input - Livestock farm Inputs'!A1", "Livestock farm Inputs")</f>
        <v>Livestock farm Inputs</v>
      </c>
      <c r="D22" s="233" t="str" cm="1">
        <f t="array" ref="D22">Common_InputFunctions.Utility_DisplayArrayInTable(Fuel_SourceData.Fuel_Scope1Scope3EmissionFactorsTransport_Data(), Table_Fuel_EFs_Transport[[#Headers],[Transport type]], 0)</f>
        <v>Heavy duty vehicles</v>
      </c>
      <c r="E22" s="233" t="str" cm="1">
        <f t="array" ref="E22">Common_InputFunctions.Utility_DisplayArrayInTable(Fuel_SourceData.Fuel_Scope1Scope3EmissionFactorsTransport_Data(), Table_Fuel_EFs_Transport[[#Headers],[Transport type]], 0)</f>
        <v>Diesel oil - Euro iv or higher</v>
      </c>
      <c r="F22" s="233" cm="1">
        <f t="array" ref="F22">Common_InputFunctions.Utility_DisplayArrayInTable(Fuel_SourceData.Fuel_Scope1Scope3EmissionFactorsTransport_Data(), Table_Fuel_EFs_Transport[[#Headers],[Transport type]], 0)</f>
        <v>38.6</v>
      </c>
      <c r="G22" s="233" t="str" cm="1">
        <f t="array" ref="G22">Common_InputFunctions.Utility_DisplayArrayInTable(Fuel_SourceData.Fuel_Scope1Scope3EmissionFactorsTransport_Data(), Table_Fuel_EFs_Transport[[#Headers],[Transport type]], 0)</f>
        <v>kl</v>
      </c>
      <c r="H22" s="233" cm="1">
        <f t="array" ref="H22">Common_InputFunctions.Utility_DisplayArrayInTable(Fuel_SourceData.Fuel_Scope1Scope3EmissionFactorsTransport_Data(), Table_Fuel_EFs_Transport[[#Headers],[Transport type]], 0)</f>
        <v>69.900000000000006</v>
      </c>
      <c r="I22" s="233" cm="1">
        <f t="array" ref="I22">Common_InputFunctions.Utility_DisplayArrayInTable(Fuel_SourceData.Fuel_Scope1Scope3EmissionFactorsTransport_Data(), Table_Fuel_EFs_Transport[[#Headers],[Transport type]], 0)</f>
        <v>7.0000000000000007E-2</v>
      </c>
      <c r="J22" s="233" cm="1">
        <f t="array" ref="J22">Common_InputFunctions.Utility_DisplayArrayInTable(Fuel_SourceData.Fuel_Scope1Scope3EmissionFactorsTransport_Data(), Table_Fuel_EFs_Transport[[#Headers],[Transport type]], 0)</f>
        <v>0.4</v>
      </c>
      <c r="K22" s="233" cm="1">
        <f t="array" ref="K22">Common_InputFunctions.Utility_DisplayArrayInTable(Fuel_SourceData.Fuel_Scope1Scope3EmissionFactorsTransport_Data(), Table_Fuel_EFs_Transport[[#Headers],[Transport type]], 0)</f>
        <v>70.37</v>
      </c>
      <c r="L22" s="233" cm="1">
        <f t="array" ref="L22">Common_InputFunctions.Utility_DisplayArrayInTable(Fuel_SourceData.Fuel_Scope1Scope3EmissionFactorsTransport_Data(), Table_Fuel_EFs_Transport[[#Headers],[Transport type]], 0)</f>
        <v>17.3</v>
      </c>
    </row>
    <row r="23" spans="1:12" ht="20.100000000000001" customHeight="1" x14ac:dyDescent="0.25">
      <c r="A23" s="5" t="str">
        <f>HYPERLINK("#'Input - Freight'!A1", "Freight")</f>
        <v>Freight</v>
      </c>
      <c r="D23" s="233" t="str" cm="1">
        <f t="array" ref="D23">Common_InputFunctions.Utility_DisplayArrayInTable(Fuel_SourceData.Fuel_Scope1Scope3EmissionFactorsTransport_Data(), Table_Fuel_EFs_Transport[[#Headers],[Transport type]], 0)</f>
        <v>Heavy duty vehicles</v>
      </c>
      <c r="E23" s="233" t="str" cm="1">
        <f t="array" ref="E23">Common_InputFunctions.Utility_DisplayArrayInTable(Fuel_SourceData.Fuel_Scope1Scope3EmissionFactorsTransport_Data(), Table_Fuel_EFs_Transport[[#Headers],[Transport type]], 0)</f>
        <v>Diesel oil - Euro iii</v>
      </c>
      <c r="F23" s="233" cm="1">
        <f t="array" ref="F23">Common_InputFunctions.Utility_DisplayArrayInTable(Fuel_SourceData.Fuel_Scope1Scope3EmissionFactorsTransport_Data(), Table_Fuel_EFs_Transport[[#Headers],[Transport type]], 0)</f>
        <v>38.6</v>
      </c>
      <c r="G23" s="233" t="str" cm="1">
        <f t="array" ref="G23">Common_InputFunctions.Utility_DisplayArrayInTable(Fuel_SourceData.Fuel_Scope1Scope3EmissionFactorsTransport_Data(), Table_Fuel_EFs_Transport[[#Headers],[Transport type]], 0)</f>
        <v>kl</v>
      </c>
      <c r="H23" s="233" cm="1">
        <f t="array" ref="H23">Common_InputFunctions.Utility_DisplayArrayInTable(Fuel_SourceData.Fuel_Scope1Scope3EmissionFactorsTransport_Data(), Table_Fuel_EFs_Transport[[#Headers],[Transport type]], 0)</f>
        <v>69.900000000000006</v>
      </c>
      <c r="I23" s="233" cm="1">
        <f t="array" ref="I23">Common_InputFunctions.Utility_DisplayArrayInTable(Fuel_SourceData.Fuel_Scope1Scope3EmissionFactorsTransport_Data(), Table_Fuel_EFs_Transport[[#Headers],[Transport type]], 0)</f>
        <v>0.1</v>
      </c>
      <c r="J23" s="233" cm="1">
        <f t="array" ref="J23">Common_InputFunctions.Utility_DisplayArrayInTable(Fuel_SourceData.Fuel_Scope1Scope3EmissionFactorsTransport_Data(), Table_Fuel_EFs_Transport[[#Headers],[Transport type]], 0)</f>
        <v>0.4</v>
      </c>
      <c r="K23" s="233" cm="1">
        <f t="array" ref="K23">Common_InputFunctions.Utility_DisplayArrayInTable(Fuel_SourceData.Fuel_Scope1Scope3EmissionFactorsTransport_Data(), Table_Fuel_EFs_Transport[[#Headers],[Transport type]], 0)</f>
        <v>70.400000000000006</v>
      </c>
      <c r="L23" s="233" cm="1">
        <f t="array" ref="L23">Common_InputFunctions.Utility_DisplayArrayInTable(Fuel_SourceData.Fuel_Scope1Scope3EmissionFactorsTransport_Data(), Table_Fuel_EFs_Transport[[#Headers],[Transport type]], 0)</f>
        <v>17.3</v>
      </c>
    </row>
    <row r="24" spans="1:12" ht="20.100000000000001" customHeight="1" x14ac:dyDescent="0.25">
      <c r="A24" s="5" t="str">
        <f>HYPERLINK("#'Input - Solid waste'!A1", "Solid waste")</f>
        <v>Solid waste</v>
      </c>
      <c r="D24" s="233" t="str" cm="1">
        <f t="array" ref="D24">Common_InputFunctions.Utility_DisplayArrayInTable(Fuel_SourceData.Fuel_Scope1Scope3EmissionFactorsTransport_Data(), Table_Fuel_EFs_Transport[[#Headers],[Transport type]], 0)</f>
        <v>Heavy duty vehicles</v>
      </c>
      <c r="E24" s="233" t="str" cm="1">
        <f t="array" ref="E24">Common_InputFunctions.Utility_DisplayArrayInTable(Fuel_SourceData.Fuel_Scope1Scope3EmissionFactorsTransport_Data(), Table_Fuel_EFs_Transport[[#Headers],[Transport type]], 0)</f>
        <v>Diesel oil - Euro i</v>
      </c>
      <c r="F24" s="233" cm="1">
        <f t="array" ref="F24">Common_InputFunctions.Utility_DisplayArrayInTable(Fuel_SourceData.Fuel_Scope1Scope3EmissionFactorsTransport_Data(), Table_Fuel_EFs_Transport[[#Headers],[Transport type]], 0)</f>
        <v>38.6</v>
      </c>
      <c r="G24" s="233" t="str" cm="1">
        <f t="array" ref="G24">Common_InputFunctions.Utility_DisplayArrayInTable(Fuel_SourceData.Fuel_Scope1Scope3EmissionFactorsTransport_Data(), Table_Fuel_EFs_Transport[[#Headers],[Transport type]], 0)</f>
        <v>kl</v>
      </c>
      <c r="H24" s="233" cm="1">
        <f t="array" ref="H24">Common_InputFunctions.Utility_DisplayArrayInTable(Fuel_SourceData.Fuel_Scope1Scope3EmissionFactorsTransport_Data(), Table_Fuel_EFs_Transport[[#Headers],[Transport type]], 0)</f>
        <v>69.900000000000006</v>
      </c>
      <c r="I24" s="233" cm="1">
        <f t="array" ref="I24">Common_InputFunctions.Utility_DisplayArrayInTable(Fuel_SourceData.Fuel_Scope1Scope3EmissionFactorsTransport_Data(), Table_Fuel_EFs_Transport[[#Headers],[Transport type]], 0)</f>
        <v>0.2</v>
      </c>
      <c r="J24" s="233" cm="1">
        <f t="array" ref="J24">Common_InputFunctions.Utility_DisplayArrayInTable(Fuel_SourceData.Fuel_Scope1Scope3EmissionFactorsTransport_Data(), Table_Fuel_EFs_Transport[[#Headers],[Transport type]], 0)</f>
        <v>0.4</v>
      </c>
      <c r="K24" s="233" cm="1">
        <f t="array" ref="K24">Common_InputFunctions.Utility_DisplayArrayInTable(Fuel_SourceData.Fuel_Scope1Scope3EmissionFactorsTransport_Data(), Table_Fuel_EFs_Transport[[#Headers],[Transport type]], 0)</f>
        <v>70.5</v>
      </c>
      <c r="L24" s="233" cm="1">
        <f t="array" ref="L24">Common_InputFunctions.Utility_DisplayArrayInTable(Fuel_SourceData.Fuel_Scope1Scope3EmissionFactorsTransport_Data(), Table_Fuel_EFs_Transport[[#Headers],[Transport type]], 0)</f>
        <v>17.3</v>
      </c>
    </row>
    <row r="25" spans="1:12" ht="20.100000000000001" customHeight="1" x14ac:dyDescent="0.25">
      <c r="A25" s="5" t="str">
        <f>HYPERLINK("#'Input - Manure sent off-site'!A1", "Manure sent off-site")</f>
        <v>Manure sent off-site</v>
      </c>
      <c r="D25" s="233" t="str" cm="1">
        <f t="array" ref="D25">Common_InputFunctions.Utility_DisplayArrayInTable(Fuel_SourceData.Fuel_Scope1Scope3EmissionFactorsTransport_Data(), Table_Fuel_EFs_Transport[[#Headers],[Transport type]], 0)</f>
        <v>Heavy duty vehicles</v>
      </c>
      <c r="E25" s="233" t="str" cm="1">
        <f t="array" ref="E25">Common_InputFunctions.Utility_DisplayArrayInTable(Fuel_SourceData.Fuel_Scope1Scope3EmissionFactorsTransport_Data(), Table_Fuel_EFs_Transport[[#Headers],[Transport type]], 0)</f>
        <v>Renewable diesel – Euro iv or higher</v>
      </c>
      <c r="F25" s="233" cm="1">
        <f t="array" ref="F25">Common_InputFunctions.Utility_DisplayArrayInTable(Fuel_SourceData.Fuel_Scope1Scope3EmissionFactorsTransport_Data(), Table_Fuel_EFs_Transport[[#Headers],[Transport type]], 0)</f>
        <v>38.6</v>
      </c>
      <c r="G25" s="233" t="str" cm="1">
        <f t="array" ref="G25">Common_InputFunctions.Utility_DisplayArrayInTable(Fuel_SourceData.Fuel_Scope1Scope3EmissionFactorsTransport_Data(), Table_Fuel_EFs_Transport[[#Headers],[Transport type]], 0)</f>
        <v>kl</v>
      </c>
      <c r="H25" s="233" cm="1">
        <f t="array" ref="H25">Common_InputFunctions.Utility_DisplayArrayInTable(Fuel_SourceData.Fuel_Scope1Scope3EmissionFactorsTransport_Data(), Table_Fuel_EFs_Transport[[#Headers],[Transport type]], 0)</f>
        <v>0</v>
      </c>
      <c r="I25" s="233" cm="1">
        <f t="array" ref="I25">Common_InputFunctions.Utility_DisplayArrayInTable(Fuel_SourceData.Fuel_Scope1Scope3EmissionFactorsTransport_Data(), Table_Fuel_EFs_Transport[[#Headers],[Transport type]], 0)</f>
        <v>7.0000000000000007E-2</v>
      </c>
      <c r="J25" s="233" cm="1">
        <f t="array" ref="J25">Common_InputFunctions.Utility_DisplayArrayInTable(Fuel_SourceData.Fuel_Scope1Scope3EmissionFactorsTransport_Data(), Table_Fuel_EFs_Transport[[#Headers],[Transport type]], 0)</f>
        <v>0.4</v>
      </c>
      <c r="K25" s="233" cm="1">
        <f t="array" ref="K25">Common_InputFunctions.Utility_DisplayArrayInTable(Fuel_SourceData.Fuel_Scope1Scope3EmissionFactorsTransport_Data(), Table_Fuel_EFs_Transport[[#Headers],[Transport type]], 0)</f>
        <v>0.47</v>
      </c>
      <c r="L25" s="233" t="str" cm="1">
        <f t="array" ref="L25">Common_InputFunctions.Utility_DisplayArrayInTable(Fuel_SourceData.Fuel_Scope1Scope3EmissionFactorsTransport_Data(), Table_Fuel_EFs_Transport[[#Headers],[Transport type]], 0)</f>
        <v>NE</v>
      </c>
    </row>
    <row r="26" spans="1:12" ht="20.100000000000001" customHeight="1" x14ac:dyDescent="0.25">
      <c r="A26" s="5" t="str">
        <f>HYPERLINK("#'Input - Refrigerants'!A1", "Refrigerants")</f>
        <v>Refrigerants</v>
      </c>
      <c r="D26" s="233" t="str" cm="1">
        <f t="array" ref="D26">Common_InputFunctions.Utility_DisplayArrayInTable(Fuel_SourceData.Fuel_Scope1Scope3EmissionFactorsTransport_Data(), Table_Fuel_EFs_Transport[[#Headers],[Transport type]], 0)</f>
        <v>Heavy duty vehicles</v>
      </c>
      <c r="E26" s="233" t="str" cm="1">
        <f t="array" ref="E26">Common_InputFunctions.Utility_DisplayArrayInTable(Fuel_SourceData.Fuel_Scope1Scope3EmissionFactorsTransport_Data(), Table_Fuel_EFs_Transport[[#Headers],[Transport type]], 0)</f>
        <v>Renewable diesel – Euro iii</v>
      </c>
      <c r="F26" s="233" cm="1">
        <f t="array" ref="F26">Common_InputFunctions.Utility_DisplayArrayInTable(Fuel_SourceData.Fuel_Scope1Scope3EmissionFactorsTransport_Data(), Table_Fuel_EFs_Transport[[#Headers],[Transport type]], 0)</f>
        <v>38.6</v>
      </c>
      <c r="G26" s="233" t="str" cm="1">
        <f t="array" ref="G26">Common_InputFunctions.Utility_DisplayArrayInTable(Fuel_SourceData.Fuel_Scope1Scope3EmissionFactorsTransport_Data(), Table_Fuel_EFs_Transport[[#Headers],[Transport type]], 0)</f>
        <v>kl</v>
      </c>
      <c r="H26" s="233" cm="1">
        <f t="array" ref="H26">Common_InputFunctions.Utility_DisplayArrayInTable(Fuel_SourceData.Fuel_Scope1Scope3EmissionFactorsTransport_Data(), Table_Fuel_EFs_Transport[[#Headers],[Transport type]], 0)</f>
        <v>0</v>
      </c>
      <c r="I26" s="233" cm="1">
        <f t="array" ref="I26">Common_InputFunctions.Utility_DisplayArrayInTable(Fuel_SourceData.Fuel_Scope1Scope3EmissionFactorsTransport_Data(), Table_Fuel_EFs_Transport[[#Headers],[Transport type]], 0)</f>
        <v>0.1</v>
      </c>
      <c r="J26" s="233" cm="1">
        <f t="array" ref="J26">Common_InputFunctions.Utility_DisplayArrayInTable(Fuel_SourceData.Fuel_Scope1Scope3EmissionFactorsTransport_Data(), Table_Fuel_EFs_Transport[[#Headers],[Transport type]], 0)</f>
        <v>0.4</v>
      </c>
      <c r="K26" s="233" cm="1">
        <f t="array" ref="K26">Common_InputFunctions.Utility_DisplayArrayInTable(Fuel_SourceData.Fuel_Scope1Scope3EmissionFactorsTransport_Data(), Table_Fuel_EFs_Transport[[#Headers],[Transport type]], 0)</f>
        <v>0.5</v>
      </c>
      <c r="L26" s="233" t="str" cm="1">
        <f t="array" ref="L26">Common_InputFunctions.Utility_DisplayArrayInTable(Fuel_SourceData.Fuel_Scope1Scope3EmissionFactorsTransport_Data(), Table_Fuel_EFs_Transport[[#Headers],[Transport type]], 0)</f>
        <v>NE</v>
      </c>
    </row>
    <row r="27" spans="1:12" ht="20.100000000000001" customHeight="1" x14ac:dyDescent="0.25">
      <c r="A27" s="5" t="str">
        <f>HYPERLINK("#'Input - Data quality'!A1", "Data quality")</f>
        <v>Data quality</v>
      </c>
      <c r="D27" s="233" t="str" cm="1">
        <f t="array" ref="D27">Common_InputFunctions.Utility_DisplayArrayInTable(Fuel_SourceData.Fuel_Scope1Scope3EmissionFactorsTransport_Data(), Table_Fuel_EFs_Transport[[#Headers],[Transport type]], 0)</f>
        <v>Heavy duty vehicles</v>
      </c>
      <c r="E27" s="233" t="str" cm="1">
        <f t="array" ref="E27">Common_InputFunctions.Utility_DisplayArrayInTable(Fuel_SourceData.Fuel_Scope1Scope3EmissionFactorsTransport_Data(), Table_Fuel_EFs_Transport[[#Headers],[Transport type]], 0)</f>
        <v>Renewable diesel – Euro i</v>
      </c>
      <c r="F27" s="233" cm="1">
        <f t="array" ref="F27">Common_InputFunctions.Utility_DisplayArrayInTable(Fuel_SourceData.Fuel_Scope1Scope3EmissionFactorsTransport_Data(), Table_Fuel_EFs_Transport[[#Headers],[Transport type]], 0)</f>
        <v>38.6</v>
      </c>
      <c r="G27" s="233" t="str" cm="1">
        <f t="array" ref="G27">Common_InputFunctions.Utility_DisplayArrayInTable(Fuel_SourceData.Fuel_Scope1Scope3EmissionFactorsTransport_Data(), Table_Fuel_EFs_Transport[[#Headers],[Transport type]], 0)</f>
        <v>kl</v>
      </c>
      <c r="H27" s="233" cm="1">
        <f t="array" ref="H27">Common_InputFunctions.Utility_DisplayArrayInTable(Fuel_SourceData.Fuel_Scope1Scope3EmissionFactorsTransport_Data(), Table_Fuel_EFs_Transport[[#Headers],[Transport type]], 0)</f>
        <v>0</v>
      </c>
      <c r="I27" s="233" cm="1">
        <f t="array" ref="I27">Common_InputFunctions.Utility_DisplayArrayInTable(Fuel_SourceData.Fuel_Scope1Scope3EmissionFactorsTransport_Data(), Table_Fuel_EFs_Transport[[#Headers],[Transport type]], 0)</f>
        <v>0.2</v>
      </c>
      <c r="J27" s="233" cm="1">
        <f t="array" ref="J27">Common_InputFunctions.Utility_DisplayArrayInTable(Fuel_SourceData.Fuel_Scope1Scope3EmissionFactorsTransport_Data(), Table_Fuel_EFs_Transport[[#Headers],[Transport type]], 0)</f>
        <v>0.4</v>
      </c>
      <c r="K27" s="233" cm="1">
        <f t="array" ref="K27">Common_InputFunctions.Utility_DisplayArrayInTable(Fuel_SourceData.Fuel_Scope1Scope3EmissionFactorsTransport_Data(), Table_Fuel_EFs_Transport[[#Headers],[Transport type]], 0)</f>
        <v>0.6</v>
      </c>
      <c r="L27" s="233" t="str" cm="1">
        <f t="array" ref="L27">Common_InputFunctions.Utility_DisplayArrayInTable(Fuel_SourceData.Fuel_Scope1Scope3EmissionFactorsTransport_Data(), Table_Fuel_EFs_Transport[[#Headers],[Transport type]], 0)</f>
        <v>NE</v>
      </c>
    </row>
    <row r="28" spans="1:12" ht="20.100000000000001" customHeight="1" x14ac:dyDescent="0.25">
      <c r="D28" s="233" t="str" cm="1">
        <f t="array" ref="D28">Common_InputFunctions.Utility_DisplayArrayInTable(Fuel_SourceData.Fuel_Scope1Scope3EmissionFactorsTransport_Data(), Table_Fuel_EFs_Transport[[#Headers],[Transport type]], 0)</f>
        <v>Aviation</v>
      </c>
      <c r="E28" s="233" t="str" cm="1">
        <f t="array" ref="E28">Common_InputFunctions.Utility_DisplayArrayInTable(Fuel_SourceData.Fuel_Scope1Scope3EmissionFactorsTransport_Data(), Table_Fuel_EFs_Transport[[#Headers],[Transport type]], 0)</f>
        <v>Gasoline for use as fuel in an aircraft</v>
      </c>
      <c r="F28" s="233" cm="1">
        <f t="array" ref="F28">Common_InputFunctions.Utility_DisplayArrayInTable(Fuel_SourceData.Fuel_Scope1Scope3EmissionFactorsTransport_Data(), Table_Fuel_EFs_Transport[[#Headers],[Transport type]], 0)</f>
        <v>33.1</v>
      </c>
      <c r="G28" s="233" t="str" cm="1">
        <f t="array" ref="G28">Common_InputFunctions.Utility_DisplayArrayInTable(Fuel_SourceData.Fuel_Scope1Scope3EmissionFactorsTransport_Data(), Table_Fuel_EFs_Transport[[#Headers],[Transport type]], 0)</f>
        <v>kl</v>
      </c>
      <c r="H28" s="233" cm="1">
        <f t="array" ref="H28">Common_InputFunctions.Utility_DisplayArrayInTable(Fuel_SourceData.Fuel_Scope1Scope3EmissionFactorsTransport_Data(), Table_Fuel_EFs_Transport[[#Headers],[Transport type]], 0)</f>
        <v>67</v>
      </c>
      <c r="I28" s="233" cm="1">
        <f t="array" ref="I28">Common_InputFunctions.Utility_DisplayArrayInTable(Fuel_SourceData.Fuel_Scope1Scope3EmissionFactorsTransport_Data(), Table_Fuel_EFs_Transport[[#Headers],[Transport type]], 0)</f>
        <v>0.06</v>
      </c>
      <c r="J28" s="233" cm="1">
        <f t="array" ref="J28">Common_InputFunctions.Utility_DisplayArrayInTable(Fuel_SourceData.Fuel_Scope1Scope3EmissionFactorsTransport_Data(), Table_Fuel_EFs_Transport[[#Headers],[Transport type]], 0)</f>
        <v>0.6</v>
      </c>
      <c r="K28" s="233" cm="1">
        <f t="array" ref="K28">Common_InputFunctions.Utility_DisplayArrayInTable(Fuel_SourceData.Fuel_Scope1Scope3EmissionFactorsTransport_Data(), Table_Fuel_EFs_Transport[[#Headers],[Transport type]], 0)</f>
        <v>67.66</v>
      </c>
      <c r="L28" s="233" cm="1">
        <f t="array" ref="L28">Common_InputFunctions.Utility_DisplayArrayInTable(Fuel_SourceData.Fuel_Scope1Scope3EmissionFactorsTransport_Data(), Table_Fuel_EFs_Transport[[#Headers],[Transport type]], 0)</f>
        <v>18</v>
      </c>
    </row>
    <row r="29" spans="1:12" ht="20.100000000000001" customHeight="1" x14ac:dyDescent="0.25">
      <c r="D29" s="233" t="str" cm="1">
        <f t="array" ref="D29">Common_InputFunctions.Utility_DisplayArrayInTable(Fuel_SourceData.Fuel_Scope1Scope3EmissionFactorsTransport_Data(), Table_Fuel_EFs_Transport[[#Headers],[Transport type]], 0)</f>
        <v>Aviation</v>
      </c>
      <c r="E29" s="233" t="str" cm="1">
        <f t="array" ref="E29">Common_InputFunctions.Utility_DisplayArrayInTable(Fuel_SourceData.Fuel_Scope1Scope3EmissionFactorsTransport_Data(), Table_Fuel_EFs_Transport[[#Headers],[Transport type]], 0)</f>
        <v>Kerosene for use as fuel in an aircraft</v>
      </c>
      <c r="F29" s="233" cm="1">
        <f t="array" ref="F29">Common_InputFunctions.Utility_DisplayArrayInTable(Fuel_SourceData.Fuel_Scope1Scope3EmissionFactorsTransport_Data(), Table_Fuel_EFs_Transport[[#Headers],[Transport type]], 0)</f>
        <v>36.799999999999997</v>
      </c>
      <c r="G29" s="233" t="str" cm="1">
        <f t="array" ref="G29">Common_InputFunctions.Utility_DisplayArrayInTable(Fuel_SourceData.Fuel_Scope1Scope3EmissionFactorsTransport_Data(), Table_Fuel_EFs_Transport[[#Headers],[Transport type]], 0)</f>
        <v>kl</v>
      </c>
      <c r="H29" s="233" cm="1">
        <f t="array" ref="H29">Common_InputFunctions.Utility_DisplayArrayInTable(Fuel_SourceData.Fuel_Scope1Scope3EmissionFactorsTransport_Data(), Table_Fuel_EFs_Transport[[#Headers],[Transport type]], 0)</f>
        <v>69.599999999999994</v>
      </c>
      <c r="I29" s="233" cm="1">
        <f t="array" ref="I29">Common_InputFunctions.Utility_DisplayArrayInTable(Fuel_SourceData.Fuel_Scope1Scope3EmissionFactorsTransport_Data(), Table_Fuel_EFs_Transport[[#Headers],[Transport type]], 0)</f>
        <v>0.01</v>
      </c>
      <c r="J29" s="233" cm="1">
        <f t="array" ref="J29">Common_InputFunctions.Utility_DisplayArrayInTable(Fuel_SourceData.Fuel_Scope1Scope3EmissionFactorsTransport_Data(), Table_Fuel_EFs_Transport[[#Headers],[Transport type]], 0)</f>
        <v>0.6</v>
      </c>
      <c r="K29" s="233" cm="1">
        <f t="array" ref="K29">Common_InputFunctions.Utility_DisplayArrayInTable(Fuel_SourceData.Fuel_Scope1Scope3EmissionFactorsTransport_Data(), Table_Fuel_EFs_Transport[[#Headers],[Transport type]], 0)</f>
        <v>70.209999999999994</v>
      </c>
      <c r="L29" s="233" cm="1">
        <f t="array" ref="L29">Common_InputFunctions.Utility_DisplayArrayInTable(Fuel_SourceData.Fuel_Scope1Scope3EmissionFactorsTransport_Data(), Table_Fuel_EFs_Transport[[#Headers],[Transport type]], 0)</f>
        <v>18</v>
      </c>
    </row>
    <row r="30" spans="1:12" ht="20.100000000000001" customHeight="1" x14ac:dyDescent="0.25">
      <c r="A30" s="6" t="s">
        <v>2</v>
      </c>
      <c r="D30" s="233" t="str" cm="1">
        <f t="array" ref="D30">Common_InputFunctions.Utility_DisplayArrayInTable(Fuel_SourceData.Fuel_Scope1Scope3EmissionFactorsTransport_Data(), Table_Fuel_EFs_Transport[[#Headers],[Transport type]], 0)</f>
        <v>Aviation</v>
      </c>
      <c r="E30" s="233" t="str" cm="1">
        <f t="array" ref="E30">Common_InputFunctions.Utility_DisplayArrayInTable(Fuel_SourceData.Fuel_Scope1Scope3EmissionFactorsTransport_Data(), Table_Fuel_EFs_Transport[[#Headers],[Transport type]], 0)</f>
        <v>Renewable aviation kerosene</v>
      </c>
      <c r="F30" s="233" cm="1">
        <f t="array" ref="F30">Common_InputFunctions.Utility_DisplayArrayInTable(Fuel_SourceData.Fuel_Scope1Scope3EmissionFactorsTransport_Data(), Table_Fuel_EFs_Transport[[#Headers],[Transport type]], 0)</f>
        <v>36.799999999999997</v>
      </c>
      <c r="G30" s="233" t="str" cm="1">
        <f t="array" ref="G30">Common_InputFunctions.Utility_DisplayArrayInTable(Fuel_SourceData.Fuel_Scope1Scope3EmissionFactorsTransport_Data(), Table_Fuel_EFs_Transport[[#Headers],[Transport type]], 0)</f>
        <v>kl</v>
      </c>
      <c r="H30" s="233" cm="1">
        <f t="array" ref="H30">Common_InputFunctions.Utility_DisplayArrayInTable(Fuel_SourceData.Fuel_Scope1Scope3EmissionFactorsTransport_Data(), Table_Fuel_EFs_Transport[[#Headers],[Transport type]], 0)</f>
        <v>0</v>
      </c>
      <c r="I30" s="233" cm="1">
        <f t="array" ref="I30">Common_InputFunctions.Utility_DisplayArrayInTable(Fuel_SourceData.Fuel_Scope1Scope3EmissionFactorsTransport_Data(), Table_Fuel_EFs_Transport[[#Headers],[Transport type]], 0)</f>
        <v>0.01</v>
      </c>
      <c r="J30" s="233" cm="1">
        <f t="array" ref="J30">Common_InputFunctions.Utility_DisplayArrayInTable(Fuel_SourceData.Fuel_Scope1Scope3EmissionFactorsTransport_Data(), Table_Fuel_EFs_Transport[[#Headers],[Transport type]], 0)</f>
        <v>0.6</v>
      </c>
      <c r="K30" s="233" cm="1">
        <f t="array" ref="K30">Common_InputFunctions.Utility_DisplayArrayInTable(Fuel_SourceData.Fuel_Scope1Scope3EmissionFactorsTransport_Data(), Table_Fuel_EFs_Transport[[#Headers],[Transport type]], 0)</f>
        <v>0.61</v>
      </c>
      <c r="L30" s="233" t="str" cm="1">
        <f t="array" ref="L30">Common_InputFunctions.Utility_DisplayArrayInTable(Fuel_SourceData.Fuel_Scope1Scope3EmissionFactorsTransport_Data(), Table_Fuel_EFs_Transport[[#Headers],[Transport type]], 0)</f>
        <v>NE</v>
      </c>
    </row>
    <row r="31" spans="1:12" ht="20.100000000000001" customHeight="1" x14ac:dyDescent="0.25">
      <c r="A31" s="5" t="str">
        <f>HYPERLINK("#'3.3.1.1-2 Enteric Methane'!A1", "3.3.1.1-2 Enteric methane")</f>
        <v>3.3.1.1-2 Enteric methane</v>
      </c>
      <c r="D31" s="233" t="str" cm="1">
        <f t="array" ref="D31">Common_InputFunctions.Utility_DisplayArrayInTable(Fuel_SourceData.Fuel_Scope1Scope3EmissionFactorsTransport_Data(), Table_Fuel_EFs_Transport[[#Headers],[Transport type]], 0)</f>
        <v>Vessels</v>
      </c>
      <c r="E31" s="233" t="str" cm="1">
        <f t="array" ref="E31">Common_InputFunctions.Utility_DisplayArrayInTable(Fuel_SourceData.Fuel_Scope1Scope3EmissionFactorsTransport_Data(), Table_Fuel_EFs_Transport[[#Headers],[Transport type]], 0)</f>
        <v>Gasoline</v>
      </c>
      <c r="F31" s="233" cm="1">
        <f t="array" ref="F31">Common_InputFunctions.Utility_DisplayArrayInTable(Fuel_SourceData.Fuel_Scope1Scope3EmissionFactorsTransport_Data(), Table_Fuel_EFs_Transport[[#Headers],[Transport type]], 0)</f>
        <v>34.200000000000003</v>
      </c>
      <c r="G31" s="233" t="str" cm="1">
        <f t="array" ref="G31">Common_InputFunctions.Utility_DisplayArrayInTable(Fuel_SourceData.Fuel_Scope1Scope3EmissionFactorsTransport_Data(), Table_Fuel_EFs_Transport[[#Headers],[Transport type]], 0)</f>
        <v>kL</v>
      </c>
      <c r="H31" s="233" cm="1">
        <f t="array" ref="H31">Common_InputFunctions.Utility_DisplayArrayInTable(Fuel_SourceData.Fuel_Scope1Scope3EmissionFactorsTransport_Data(), Table_Fuel_EFs_Transport[[#Headers],[Transport type]], 0)</f>
        <v>67.400000000000006</v>
      </c>
      <c r="I31" s="233" cm="1">
        <f t="array" ref="I31">Common_InputFunctions.Utility_DisplayArrayInTable(Fuel_SourceData.Fuel_Scope1Scope3EmissionFactorsTransport_Data(), Table_Fuel_EFs_Transport[[#Headers],[Transport type]], 0)</f>
        <v>10.1</v>
      </c>
      <c r="J31" s="233" cm="1">
        <f t="array" ref="J31">Common_InputFunctions.Utility_DisplayArrayInTable(Fuel_SourceData.Fuel_Scope1Scope3EmissionFactorsTransport_Data(), Table_Fuel_EFs_Transport[[#Headers],[Transport type]], 0)</f>
        <v>0.3</v>
      </c>
      <c r="K31" s="233" t="str" cm="1">
        <f t="array" ref="K31">Common_InputFunctions.Utility_DisplayArrayInTable(Fuel_SourceData.Fuel_Scope1Scope3EmissionFactorsTransport_Data(), Table_Fuel_EFs_Transport[[#Headers],[Transport type]], 0)</f>
        <v/>
      </c>
      <c r="L31" s="233" cm="1">
        <f t="array" ref="L31">Common_InputFunctions.Utility_DisplayArrayInTable(Fuel_SourceData.Fuel_Scope1Scope3EmissionFactorsTransport_Data(), Table_Fuel_EFs_Transport[[#Headers],[Transport type]], 0)</f>
        <v>17.2</v>
      </c>
    </row>
    <row r="32" spans="1:12" ht="20.100000000000001" customHeight="1" x14ac:dyDescent="0.25">
      <c r="A32" s="5" t="str">
        <f>HYPERLINK("#'4.3.1.1-2 Methane'!A1", "4.3.1.1-2 Manure methane")</f>
        <v>4.3.1.1-2 Manure methane</v>
      </c>
      <c r="D32" s="234" t="str" cm="1">
        <f t="array" ref="D32">Common_InputFunctions.Utility_DisplayArrayInTable(Fuel_SourceData.Fuel_Scope1Scope3EmissionFactorsTransport_Data(), Table_Fuel_EFs_Transport[[#Headers],[Transport type]], 0)</f>
        <v>Vessels</v>
      </c>
      <c r="E32" s="234" t="str" cm="1">
        <f t="array" ref="E32">Common_InputFunctions.Utility_DisplayArrayInTable(Fuel_SourceData.Fuel_Scope1Scope3EmissionFactorsTransport_Data(), Table_Fuel_EFs_Transport[[#Headers],[Transport type]], 0)</f>
        <v>Diesel oil</v>
      </c>
      <c r="F32" s="234" cm="1">
        <f t="array" ref="F32">Common_InputFunctions.Utility_DisplayArrayInTable(Fuel_SourceData.Fuel_Scope1Scope3EmissionFactorsTransport_Data(), Table_Fuel_EFs_Transport[[#Headers],[Transport type]], 0)</f>
        <v>38.6</v>
      </c>
      <c r="G32" s="234" t="str" cm="1">
        <f t="array" ref="G32">Common_InputFunctions.Utility_DisplayArrayInTable(Fuel_SourceData.Fuel_Scope1Scope3EmissionFactorsTransport_Data(), Table_Fuel_EFs_Transport[[#Headers],[Transport type]], 0)</f>
        <v>kL</v>
      </c>
      <c r="H32" s="234" cm="1">
        <f t="array" ref="H32">Common_InputFunctions.Utility_DisplayArrayInTable(Fuel_SourceData.Fuel_Scope1Scope3EmissionFactorsTransport_Data(), Table_Fuel_EFs_Transport[[#Headers],[Transport type]], 0)</f>
        <v>69.900000000000006</v>
      </c>
      <c r="I32" s="234" cm="1">
        <f t="array" ref="I32">Common_InputFunctions.Utility_DisplayArrayInTable(Fuel_SourceData.Fuel_Scope1Scope3EmissionFactorsTransport_Data(), Table_Fuel_EFs_Transport[[#Headers],[Transport type]], 0)</f>
        <v>0.2</v>
      </c>
      <c r="J32" s="234" cm="1">
        <f t="array" ref="J32">Common_InputFunctions.Utility_DisplayArrayInTable(Fuel_SourceData.Fuel_Scope1Scope3EmissionFactorsTransport_Data(), Table_Fuel_EFs_Transport[[#Headers],[Transport type]], 0)</f>
        <v>0.5</v>
      </c>
      <c r="K32" s="234" t="str" cm="1">
        <f t="array" ref="K32">Common_InputFunctions.Utility_DisplayArrayInTable(Fuel_SourceData.Fuel_Scope1Scope3EmissionFactorsTransport_Data(), Table_Fuel_EFs_Transport[[#Headers],[Transport type]], 0)</f>
        <v/>
      </c>
      <c r="L32" s="234" cm="1">
        <f t="array" ref="L32">Common_InputFunctions.Utility_DisplayArrayInTable(Fuel_SourceData.Fuel_Scope1Scope3EmissionFactorsTransport_Data(), Table_Fuel_EFs_Transport[[#Headers],[Transport type]], 0)</f>
        <v>17.3</v>
      </c>
    </row>
    <row r="33" spans="1:12" ht="20.100000000000001" customHeight="1" x14ac:dyDescent="0.25">
      <c r="A33" s="5" t="str">
        <f>HYPERLINK("#'4.3.1.3-4 Direct N20'!A1", "4.3.1.3-4 Direct N20")</f>
        <v>4.3.1.3-4 Direct N20</v>
      </c>
      <c r="D33" s="234" t="str" cm="1">
        <f t="array" ref="D33">Common_InputFunctions.Utility_DisplayArrayInTable(Fuel_SourceData.Fuel_Scope1Scope3EmissionFactorsTransport_Data(), Table_Fuel_EFs_Transport[[#Headers],[Transport type]], 0)</f>
        <v>Vessels</v>
      </c>
      <c r="E33" s="234" t="str" cm="1">
        <f t="array" ref="E33">Common_InputFunctions.Utility_DisplayArrayInTable(Fuel_SourceData.Fuel_Scope1Scope3EmissionFactorsTransport_Data(), Table_Fuel_EFs_Transport[[#Headers],[Transport type]], 0)</f>
        <v>Fuel Oil</v>
      </c>
      <c r="F33" s="234" cm="1">
        <f t="array" ref="F33">Common_InputFunctions.Utility_DisplayArrayInTable(Fuel_SourceData.Fuel_Scope1Scope3EmissionFactorsTransport_Data(), Table_Fuel_EFs_Transport[[#Headers],[Transport type]], 0)</f>
        <v>39.700000000000003</v>
      </c>
      <c r="G33" s="234" t="str" cm="1">
        <f t="array" ref="G33">Common_InputFunctions.Utility_DisplayArrayInTable(Fuel_SourceData.Fuel_Scope1Scope3EmissionFactorsTransport_Data(), Table_Fuel_EFs_Transport[[#Headers],[Transport type]], 0)</f>
        <v>kL</v>
      </c>
      <c r="H33" s="234" cm="1">
        <f t="array" ref="H33">Common_InputFunctions.Utility_DisplayArrayInTable(Fuel_SourceData.Fuel_Scope1Scope3EmissionFactorsTransport_Data(), Table_Fuel_EFs_Transport[[#Headers],[Transport type]], 0)</f>
        <v>73.599999999999994</v>
      </c>
      <c r="I33" s="234" cm="1">
        <f t="array" ref="I33">Common_InputFunctions.Utility_DisplayArrayInTable(Fuel_SourceData.Fuel_Scope1Scope3EmissionFactorsTransport_Data(), Table_Fuel_EFs_Transport[[#Headers],[Transport type]], 0)</f>
        <v>0.2</v>
      </c>
      <c r="J33" s="234" cm="1">
        <f t="array" ref="J33">Common_InputFunctions.Utility_DisplayArrayInTable(Fuel_SourceData.Fuel_Scope1Scope3EmissionFactorsTransport_Data(), Table_Fuel_EFs_Transport[[#Headers],[Transport type]], 0)</f>
        <v>0.5</v>
      </c>
      <c r="K33" s="234" t="str" cm="1">
        <f t="array" ref="K33">Common_InputFunctions.Utility_DisplayArrayInTable(Fuel_SourceData.Fuel_Scope1Scope3EmissionFactorsTransport_Data(), Table_Fuel_EFs_Transport[[#Headers],[Transport type]], 0)</f>
        <v/>
      </c>
      <c r="L33" s="234" cm="1">
        <f t="array" ref="L33">Common_InputFunctions.Utility_DisplayArrayInTable(Fuel_SourceData.Fuel_Scope1Scope3EmissionFactorsTransport_Data(), Table_Fuel_EFs_Transport[[#Headers],[Transport type]], 0)</f>
        <v>18</v>
      </c>
    </row>
    <row r="34" spans="1:12" ht="20.100000000000001" customHeight="1" x14ac:dyDescent="0.25">
      <c r="A34" s="5" t="str">
        <f>HYPERLINK("#'4.3.1.5 Atmos deposition'!A1", "4.3.1.5 Atmos deposition")</f>
        <v>4.3.1.5 Atmos deposition</v>
      </c>
      <c r="D34" s="234" t="str" cm="1">
        <f t="array" ref="D34">Common_InputFunctions.Utility_DisplayArrayInTable(Fuel_SourceData.Fuel_Scope1Scope3EmissionFactorsTransport_Data(), Table_Fuel_EFs_Transport[[#Headers],[Transport type]], 0)</f>
        <v>Off-road Agriculture and forestry equipment</v>
      </c>
      <c r="E34" s="234" t="str" cm="1">
        <f t="array" ref="E34">Common_InputFunctions.Utility_DisplayArrayInTable(Fuel_SourceData.Fuel_Scope1Scope3EmissionFactorsTransport_Data(), Table_Fuel_EFs_Transport[[#Headers],[Transport type]], 0)</f>
        <v>Diesel oil</v>
      </c>
      <c r="F34" s="234" cm="1">
        <f t="array" ref="F34">Common_InputFunctions.Utility_DisplayArrayInTable(Fuel_SourceData.Fuel_Scope1Scope3EmissionFactorsTransport_Data(), Table_Fuel_EFs_Transport[[#Headers],[Transport type]], 0)</f>
        <v>38.6</v>
      </c>
      <c r="G34" s="234" t="str" cm="1">
        <f t="array" ref="G34">Common_InputFunctions.Utility_DisplayArrayInTable(Fuel_SourceData.Fuel_Scope1Scope3EmissionFactorsTransport_Data(), Table_Fuel_EFs_Transport[[#Headers],[Transport type]], 0)</f>
        <v>kL</v>
      </c>
      <c r="H34" s="234" cm="1">
        <f t="array" ref="H34">Common_InputFunctions.Utility_DisplayArrayInTable(Fuel_SourceData.Fuel_Scope1Scope3EmissionFactorsTransport_Data(), Table_Fuel_EFs_Transport[[#Headers],[Transport type]], 0)</f>
        <v>69.900000000000006</v>
      </c>
      <c r="I34" s="234" cm="1">
        <f t="array" ref="I34">Common_InputFunctions.Utility_DisplayArrayInTable(Fuel_SourceData.Fuel_Scope1Scope3EmissionFactorsTransport_Data(), Table_Fuel_EFs_Transport[[#Headers],[Transport type]], 0)</f>
        <v>0.3</v>
      </c>
      <c r="J34" s="234" cm="1">
        <f t="array" ref="J34">Common_InputFunctions.Utility_DisplayArrayInTable(Fuel_SourceData.Fuel_Scope1Scope3EmissionFactorsTransport_Data(), Table_Fuel_EFs_Transport[[#Headers],[Transport type]], 0)</f>
        <v>0.5</v>
      </c>
      <c r="K34" s="234" t="str" cm="1">
        <f t="array" ref="K34">Common_InputFunctions.Utility_DisplayArrayInTable(Fuel_SourceData.Fuel_Scope1Scope3EmissionFactorsTransport_Data(), Table_Fuel_EFs_Transport[[#Headers],[Transport type]], 0)</f>
        <v/>
      </c>
      <c r="L34" s="234" cm="1">
        <f t="array" ref="L34">Common_InputFunctions.Utility_DisplayArrayInTable(Fuel_SourceData.Fuel_Scope1Scope3EmissionFactorsTransport_Data(), Table_Fuel_EFs_Transport[[#Headers],[Transport type]], 0)</f>
        <v>17.3</v>
      </c>
    </row>
    <row r="35" spans="1:12" ht="20.100000000000001" customHeight="1" x14ac:dyDescent="0.25">
      <c r="A35" s="5" t="str">
        <f>HYPERLINK("#'4.3.1.6-7 Leaching and runoff'!A1", "4.3.1.6-7 Leaching &amp; runoff")</f>
        <v>4.3.1.6-7 Leaching &amp; runoff</v>
      </c>
    </row>
    <row r="36" spans="1:12" ht="20.100000000000001" customHeight="1" x14ac:dyDescent="0.25">
      <c r="A36" s="5" t="str">
        <f>HYPERLINK("#'4.3.1.8 Manure applied to soils'!A1", "4.3.1.8 Manure applied to soils")</f>
        <v>4.3.1.8 Manure applied to soils</v>
      </c>
    </row>
    <row r="37" spans="1:12" ht="20.100000000000001" customHeight="1" x14ac:dyDescent="0.25">
      <c r="A37" s="5" t="str">
        <f>HYPERLINK("#'4.3.1.9 Soil direct N2O'!A1", "4.3.1.9 Soil direct N2O")</f>
        <v>4.3.1.9 Soil direct N2O</v>
      </c>
      <c r="D37" s="2" t="str" cm="1">
        <f t="array" ref="D37">Fuel_SourceData.Fuel_Scope1Scope3EmissionFactorsTransportOffRoad_Title()</f>
        <v>Fuel scope 1 and 3 emission factors - Off-road equipment and vessels</v>
      </c>
    </row>
    <row r="38" spans="1:12" ht="20.100000000000001" customHeight="1" x14ac:dyDescent="0.25">
      <c r="A38" s="5" t="str">
        <f>HYPERLINK("#'4.3.1.10-11 Soil Atmos Dep'!A1", "4.3.1.10-11 Soil Atmos Deposition")</f>
        <v>4.3.1.10-11 Soil Atmos Deposition</v>
      </c>
      <c r="D38" s="17" t="str" cm="1">
        <f t="array" ref="D38">Fuel_SourceData.Fuel_Scope1Scope3EmissionFactorsTransportOffRoad_Source()</f>
        <v>VEERG 2026: Table A.4.2.1</v>
      </c>
    </row>
    <row r="39" spans="1:12" ht="20.100000000000001" customHeight="1" x14ac:dyDescent="0.25">
      <c r="A39" s="5" t="str">
        <f>HYPERLINK("#'4.3.1.12-13 Soil leach runoff'!A1", "4.3.1.12-13 Soil leach &amp; runoff")</f>
        <v>4.3.1.12-13 Soil leach &amp; runoff</v>
      </c>
      <c r="D39" s="19" t="s">
        <v>969</v>
      </c>
      <c r="E39" s="19" t="s">
        <v>970</v>
      </c>
      <c r="F39" s="19" t="s">
        <v>971</v>
      </c>
      <c r="G39" s="19" t="s">
        <v>972</v>
      </c>
      <c r="H39" s="19" t="s">
        <v>973</v>
      </c>
      <c r="I39" s="19" t="s">
        <v>974</v>
      </c>
      <c r="J39" s="19" t="s">
        <v>975</v>
      </c>
    </row>
    <row r="40" spans="1:12" ht="20.100000000000001" customHeight="1" x14ac:dyDescent="0.25">
      <c r="A40" s="5" t="str">
        <f>HYPERLINK("#'5.1.1.1-2 Inorganic fert N2O'!A1", "5.1.1.1-2 Inorganic fert N2O")</f>
        <v>5.1.1.1-2 Inorganic fert N2O</v>
      </c>
      <c r="D40" s="19" t="str" cm="1">
        <f t="array" ref="D40">Common_InputFunctions.Utility_DisplayArrayInTable(Fuel_SourceData.Fuel_Scope1Scope3EmissionFactorsTransportOffRoad_Data(), Table_SourceData_Fuel_TransportOffroad[[#Headers],[Transport type t]],0)</f>
        <v>Vessel</v>
      </c>
      <c r="E40" s="19" t="str" cm="1">
        <f t="array" ref="E40">Common_InputFunctions.Utility_DisplayArrayInTable(Fuel_SourceData.Fuel_Scope1Scope3EmissionFactorsTransportOffRoad_Data(), Table_SourceData_Fuel_TransportOffroad[[#Headers],[Transport type t]],0)</f>
        <v>Petrol</v>
      </c>
      <c r="F40" s="19" cm="1">
        <f t="array" ref="F40">Common_InputFunctions.Utility_DisplayArrayInTable(Fuel_SourceData.Fuel_Scope1Scope3EmissionFactorsTransportOffRoad_Data(), Table_SourceData_Fuel_TransportOffroad[[#Headers],[Transport type t]],0)</f>
        <v>34.200000000000003</v>
      </c>
      <c r="G40" s="19" cm="1">
        <f t="array" ref="G40">Common_InputFunctions.Utility_DisplayArrayInTable(Fuel_SourceData.Fuel_Scope1Scope3EmissionFactorsTransportOffRoad_Data(), Table_SourceData_Fuel_TransportOffroad[[#Headers],[Transport type t]],0)</f>
        <v>67.400000000000006</v>
      </c>
      <c r="H40" s="19" cm="1">
        <f t="array" ref="H40">Common_InputFunctions.Utility_DisplayArrayInTable(Fuel_SourceData.Fuel_Scope1Scope3EmissionFactorsTransportOffRoad_Data(), Table_SourceData_Fuel_TransportOffroad[[#Headers],[Transport type t]],0)</f>
        <v>10.1</v>
      </c>
      <c r="I40" s="19" cm="1">
        <f t="array" ref="I40">Common_InputFunctions.Utility_DisplayArrayInTable(Fuel_SourceData.Fuel_Scope1Scope3EmissionFactorsTransportOffRoad_Data(), Table_SourceData_Fuel_TransportOffroad[[#Headers],[Transport type t]],0)</f>
        <v>0.3</v>
      </c>
      <c r="J40" s="19"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s="5" t="str">
        <f>HYPERLINK("#'5.1.1.3-4 Inorganic fert CO2'!A1", "5.1.1.3-4 Inorganic fert CO2")</f>
        <v>5.1.1.3-4 Inorganic fert CO2</v>
      </c>
      <c r="D41" s="1" t="str" cm="1">
        <f t="array" ref="D41">Common_InputFunctions.Utility_DisplayArrayInTable(Fuel_SourceData.Fuel_Scope1Scope3EmissionFactorsTransportOffRoad_Data(), Table_SourceData_Fuel_TransportOffroad[[#Headers],[Transport type t]],0)</f>
        <v>Vessel</v>
      </c>
      <c r="E41" s="19" t="str" cm="1">
        <f t="array" ref="E41">Common_InputFunctions.Utility_DisplayArrayInTable(Fuel_SourceData.Fuel_Scope1Scope3EmissionFactorsTransportOffRoad_Data(), Table_SourceData_Fuel_TransportOffroad[[#Headers],[Transport type t]],0)</f>
        <v>Diesel</v>
      </c>
      <c r="F41" s="19" cm="1">
        <f t="array" ref="F41">Common_InputFunctions.Utility_DisplayArrayInTable(Fuel_SourceData.Fuel_Scope1Scope3EmissionFactorsTransportOffRoad_Data(), Table_SourceData_Fuel_TransportOffroad[[#Headers],[Transport type t]],0)</f>
        <v>38.6</v>
      </c>
      <c r="G41" s="19" cm="1">
        <f t="array" ref="G41">Common_InputFunctions.Utility_DisplayArrayInTable(Fuel_SourceData.Fuel_Scope1Scope3EmissionFactorsTransportOffRoad_Data(), Table_SourceData_Fuel_TransportOffroad[[#Headers],[Transport type t]],0)</f>
        <v>69.900000000000006</v>
      </c>
      <c r="H41" s="19" cm="1">
        <f t="array" ref="H41">Common_InputFunctions.Utility_DisplayArrayInTable(Fuel_SourceData.Fuel_Scope1Scope3EmissionFactorsTransportOffRoad_Data(), Table_SourceData_Fuel_TransportOffroad[[#Headers],[Transport type t]],0)</f>
        <v>0.2</v>
      </c>
      <c r="I41" s="19" cm="1">
        <f t="array" ref="I41">Common_InputFunctions.Utility_DisplayArrayInTable(Fuel_SourceData.Fuel_Scope1Scope3EmissionFactorsTransportOffRoad_Data(), Table_SourceData_Fuel_TransportOffroad[[#Headers],[Transport type t]],0)</f>
        <v>0.5</v>
      </c>
      <c r="J41" s="19"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s="5" t="str">
        <f>HYPERLINK("#'5.2.1.1-2 Organic Fert N2O'!A1", "5.2.1.1-2 Organic fert N2O")</f>
        <v>5.2.1.1-2 Organic fert N2O</v>
      </c>
      <c r="D42" s="1" t="str" cm="1">
        <f t="array" ref="D42">Common_InputFunctions.Utility_DisplayArrayInTable(Fuel_SourceData.Fuel_Scope1Scope3EmissionFactorsTransportOffRoad_Data(), Table_SourceData_Fuel_TransportOffroad[[#Headers],[Transport type t]],0)</f>
        <v>Vessel</v>
      </c>
      <c r="E42" s="19" t="str" cm="1">
        <f t="array" ref="E42">Common_InputFunctions.Utility_DisplayArrayInTable(Fuel_SourceData.Fuel_Scope1Scope3EmissionFactorsTransportOffRoad_Data(), Table_SourceData_Fuel_TransportOffroad[[#Headers],[Transport type t]],0)</f>
        <v>Fuel Oil</v>
      </c>
      <c r="F42" s="19" cm="1">
        <f t="array" ref="F42">Common_InputFunctions.Utility_DisplayArrayInTable(Fuel_SourceData.Fuel_Scope1Scope3EmissionFactorsTransportOffRoad_Data(), Table_SourceData_Fuel_TransportOffroad[[#Headers],[Transport type t]],0)</f>
        <v>39.700000000000003</v>
      </c>
      <c r="G42" s="19" cm="1">
        <f t="array" ref="G42">Common_InputFunctions.Utility_DisplayArrayInTable(Fuel_SourceData.Fuel_Scope1Scope3EmissionFactorsTransportOffRoad_Data(), Table_SourceData_Fuel_TransportOffroad[[#Headers],[Transport type t]],0)</f>
        <v>73.599999999999994</v>
      </c>
      <c r="H42" s="19" cm="1">
        <f t="array" ref="H42">Common_InputFunctions.Utility_DisplayArrayInTable(Fuel_SourceData.Fuel_Scope1Scope3EmissionFactorsTransportOffRoad_Data(), Table_SourceData_Fuel_TransportOffroad[[#Headers],[Transport type t]],0)</f>
        <v>0.2</v>
      </c>
      <c r="I42" s="19" cm="1">
        <f t="array" ref="I42">Common_InputFunctions.Utility_DisplayArrayInTable(Fuel_SourceData.Fuel_Scope1Scope3EmissionFactorsTransportOffRoad_Data(), Table_SourceData_Fuel_TransportOffroad[[#Headers],[Transport type t]],0)</f>
        <v>0.5</v>
      </c>
      <c r="J42" s="19"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s="5" t="str">
        <f>HYPERLINK("#'5.3.1.1-2 Lime CO2'!A1", "5.3.1.1-2 Lime CO2")</f>
        <v>5.3.1.1-2 Lime CO2</v>
      </c>
      <c r="D43" s="1" t="str" cm="1">
        <f t="array" ref="D43">Common_InputFunctions.Utility_DisplayArrayInTable(Fuel_SourceData.Fuel_Scope1Scope3EmissionFactorsTransportOffRoad_Data(), Table_SourceData_Fuel_TransportOffroad[[#Headers],[Transport type t]],0)</f>
        <v>Off-road Agriculture and forestry equipment</v>
      </c>
      <c r="E43" s="19" t="str" cm="1">
        <f t="array" ref="E43">Common_InputFunctions.Utility_DisplayArrayInTable(Fuel_SourceData.Fuel_Scope1Scope3EmissionFactorsTransportOffRoad_Data(), Table_SourceData_Fuel_TransportOffroad[[#Headers],[Transport type t]],0)</f>
        <v>Diesel</v>
      </c>
      <c r="F43" s="19" cm="1">
        <f t="array" ref="F43">Common_InputFunctions.Utility_DisplayArrayInTable(Fuel_SourceData.Fuel_Scope1Scope3EmissionFactorsTransportOffRoad_Data(), Table_SourceData_Fuel_TransportOffroad[[#Headers],[Transport type t]],0)</f>
        <v>38.6</v>
      </c>
      <c r="G43" s="19" cm="1">
        <f t="array" ref="G43">Common_InputFunctions.Utility_DisplayArrayInTable(Fuel_SourceData.Fuel_Scope1Scope3EmissionFactorsTransportOffRoad_Data(), Table_SourceData_Fuel_TransportOffroad[[#Headers],[Transport type t]],0)</f>
        <v>69.900000000000006</v>
      </c>
      <c r="H43" s="19" cm="1">
        <f t="array" ref="H43">Common_InputFunctions.Utility_DisplayArrayInTable(Fuel_SourceData.Fuel_Scope1Scope3EmissionFactorsTransportOffRoad_Data(), Table_SourceData_Fuel_TransportOffroad[[#Headers],[Transport type t]],0)</f>
        <v>0.3</v>
      </c>
      <c r="I43" s="19" cm="1">
        <f t="array" ref="I43">Common_InputFunctions.Utility_DisplayArrayInTable(Fuel_SourceData.Fuel_Scope1Scope3EmissionFactorsTransportOffRoad_Data(), Table_SourceData_Fuel_TransportOffroad[[#Headers],[Transport type t]],0)</f>
        <v>0.5</v>
      </c>
      <c r="J43" s="19"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s="5" t="str">
        <f>HYPERLINK("#'5.4.1.1-4 Atmos deposition'!A1", "5.4.1.1-4 Atmos. deposition")</f>
        <v>5.4.1.1-4 Atmos. deposition</v>
      </c>
    </row>
    <row r="45" spans="1:12" ht="20.100000000000001" customHeight="1" x14ac:dyDescent="0.25">
      <c r="A45" s="5" t="str">
        <f>HYPERLINK("#'5.5.1.1-2 Leaching and runoff'!A1", "5.5.1.1-2 Leaching &amp; runoff")</f>
        <v>5.5.1.1-2 Leaching &amp; runoff</v>
      </c>
    </row>
    <row r="46" spans="1:12" ht="20.100000000000001" customHeight="1" x14ac:dyDescent="0.25">
      <c r="A46" s="5" t="str">
        <f>HYPERLINK("#'6.2.1.1-2 Pasture residue N2O'!A1", "6.2.1.1-2 Pasture residue N2O")</f>
        <v>6.2.1.1-2 Pasture residue N2O</v>
      </c>
    </row>
    <row r="47" spans="1:12" ht="20.100000000000001" customHeight="1" x14ac:dyDescent="0.25">
      <c r="A47" s="5" t="str">
        <f>HYPERLINK("#'6.3.1.1-2 Leach runoff pasture'!A1", "6.3.1.1-2 Leach &amp; runoff (pasture)")</f>
        <v>6.3.1.1-2 Leach &amp; runoff (pasture)</v>
      </c>
    </row>
    <row r="48" spans="1:12" ht="20.100000000000001" customHeight="1" x14ac:dyDescent="0.25">
      <c r="A48" s="5" t="str">
        <f>HYPERLINK("#'8.1.1.1-2 Transport fuel'!A1", "8.1.1.1-2 Transport fuel")</f>
        <v>8.1.1.1-2 Transport fuel</v>
      </c>
    </row>
    <row r="49" spans="1:12" ht="20.100000000000001" customHeight="1" x14ac:dyDescent="0.25">
      <c r="A49" s="5" t="str">
        <f>HYPERLINK("#'8.2.1.1-2 Stationary fuel'!A1", "8.2.1.1-2 Stationary fuel")</f>
        <v>8.2.1.1-2 Stationary fuel</v>
      </c>
      <c r="D49" s="2" t="str" cm="1">
        <f t="array" ref="D49">Fuel_SourceData.Fuel_Scope1Scope3EmissionFactorsStationaryLiquid_Title()</f>
        <v>Fuel scope 1 and 3 emission factors - Stationary liquid fuels</v>
      </c>
      <c r="E49" s="184"/>
      <c r="F49" s="184"/>
      <c r="G49" s="184"/>
      <c r="H49" s="184"/>
      <c r="I49" s="184"/>
      <c r="J49" s="184"/>
      <c r="K49" s="184"/>
      <c r="L49" s="184"/>
    </row>
    <row r="50" spans="1:12" ht="20.100000000000001" customHeight="1" x14ac:dyDescent="0.25">
      <c r="A50" s="5" t="str">
        <f>HYPERLINK("#'9.1.1.1-2 Refrigerant use'!A1", "9.1.1.1-2 Refrigerant use")</f>
        <v>9.1.1.1-2 Refrigerant use</v>
      </c>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84"/>
      <c r="F50" s="184"/>
      <c r="G50" s="184"/>
      <c r="H50" s="184"/>
      <c r="I50" s="184"/>
      <c r="J50" s="184"/>
      <c r="K50" s="184"/>
      <c r="L50" s="184"/>
    </row>
    <row r="51" spans="1:12" ht="20.100000000000001" customHeight="1" x14ac:dyDescent="0.25">
      <c r="A51" s="5" t="str">
        <f>HYPERLINK("#'10.1.1-2 Solid waste treatment'!A1", "10.1.1.1-2 Solid waste")</f>
        <v>10.1.1.1-2 Solid waste</v>
      </c>
      <c r="D51" s="17" t="str" cm="1">
        <f t="array" ref="D51">Fuel_SourceData.Fuel_Scope1Scope3EmissionFactorsStationaryLiquid_Source()</f>
        <v>Australian National Greenhouse Accounts Factors 2025 - Table 8</v>
      </c>
      <c r="E51" s="184"/>
      <c r="F51" s="184"/>
      <c r="G51" s="184"/>
      <c r="H51" s="184"/>
      <c r="I51" s="184"/>
      <c r="J51" s="184"/>
      <c r="K51" s="184"/>
      <c r="L51" s="184"/>
    </row>
    <row r="52" spans="1:12" ht="20.100000000000001" customHeight="1" x14ac:dyDescent="0.25">
      <c r="A52" s="5" t="str">
        <f>HYPERLINK("#'14.1.1-2 Purchased electricity'!A1", "14.1.1-2 Purchased electricity")</f>
        <v>14.1.1-2 Purchased electricity</v>
      </c>
      <c r="D52" s="25" t="str" cm="1">
        <f t="array" ref="D52">"⚠️" &amp; Fuel_SourceData.Fuel_Scope1Scope3EmissionFactorsStationaryLiquid_Variation()</f>
        <v>⚠️VARIATION OF SOURCE DATA: 'NE' values returned as zero for calculations.</v>
      </c>
      <c r="E52" s="184"/>
      <c r="F52" s="184"/>
      <c r="G52" s="184"/>
      <c r="H52" s="184"/>
      <c r="I52" s="184"/>
      <c r="J52" s="184"/>
      <c r="K52" s="184"/>
      <c r="L52" s="184"/>
    </row>
    <row r="53" spans="1:12" ht="20.100000000000001" customHeight="1" x14ac:dyDescent="0.25">
      <c r="A53" s="5" t="str">
        <f>HYPERLINK("#'15 Scope 3'!A1", "15 Scope 3")</f>
        <v>15 Scope 3</v>
      </c>
      <c r="D53" s="201" t="s">
        <v>961</v>
      </c>
      <c r="E53" s="232" t="s">
        <v>962</v>
      </c>
      <c r="F53" s="201" t="s">
        <v>963</v>
      </c>
      <c r="G53" s="232" t="s">
        <v>964</v>
      </c>
      <c r="H53" s="232" t="s">
        <v>965</v>
      </c>
      <c r="I53" s="232" t="s">
        <v>966</v>
      </c>
      <c r="J53" s="232" t="s">
        <v>967</v>
      </c>
      <c r="K53" s="232" t="s">
        <v>968</v>
      </c>
      <c r="L53" s="184"/>
    </row>
    <row r="54" spans="1:12" ht="20.100000000000001" customHeight="1" x14ac:dyDescent="0.25">
      <c r="A54" s="5" t="str">
        <f>HYPERLINK("#'Calcs - Manure sent off-site'!A1", "Calcs - Manure sent off-site")</f>
        <v>Calcs - Manure sent off-site</v>
      </c>
      <c r="D54" s="235"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35" cm="1">
        <f t="array" ref="E54">Common_InputFunctions.Utility_DisplayArrayInTable(Fuel_SourceData.Fuel_Scope1Scope3EmissionFactorsStationaryLiquid_Data(), Table_Fuel_EFs_StationaryLiquid[[#Headers],[Fuel combusted]],0)</f>
        <v>38.799999999999997</v>
      </c>
      <c r="F54" s="235" t="str" cm="1">
        <f t="array" ref="F54">Common_InputFunctions.Utility_DisplayArrayInTable(Fuel_SourceData.Fuel_Scope1Scope3EmissionFactorsStationaryLiquid_Data(), Table_Fuel_EFs_StationaryLiquid[[#Headers],[Fuel combusted]],0)</f>
        <v>kl</v>
      </c>
      <c r="G54" s="235" cm="1">
        <f t="array" ref="G54">Common_InputFunctions.Utility_DisplayArrayInTable(Fuel_SourceData.Fuel_Scope1Scope3EmissionFactorsStationaryLiquid_Data(), Table_Fuel_EFs_StationaryLiquid[[#Headers],[Fuel combusted]],0)</f>
        <v>13.9</v>
      </c>
      <c r="H54" s="235" cm="1">
        <f t="array" ref="H54">Common_InputFunctions.Utility_DisplayArrayInTable(Fuel_SourceData.Fuel_Scope1Scope3EmissionFactorsStationaryLiquid_Data(), Table_Fuel_EFs_StationaryLiquid[[#Headers],[Fuel combusted]],0)</f>
        <v>0</v>
      </c>
      <c r="I54" s="235" cm="1">
        <f t="array" ref="I54">Common_InputFunctions.Utility_DisplayArrayInTable(Fuel_SourceData.Fuel_Scope1Scope3EmissionFactorsStationaryLiquid_Data(), Table_Fuel_EFs_StationaryLiquid[[#Headers],[Fuel combusted]],0)</f>
        <v>0</v>
      </c>
      <c r="J54" s="235" cm="1">
        <f t="array" ref="J54">Common_InputFunctions.Utility_DisplayArrayInTable(Fuel_SourceData.Fuel_Scope1Scope3EmissionFactorsStationaryLiquid_Data(), Table_Fuel_EFs_StationaryLiquid[[#Headers],[Fuel combusted]],0)</f>
        <v>13.9</v>
      </c>
      <c r="K54" s="235" cm="1">
        <f t="array" ref="K54">Common_InputFunctions.Utility_DisplayArrayInTable(Fuel_SourceData.Fuel_Scope1Scope3EmissionFactorsStationaryLiquid_Data(), Table_Fuel_EFs_StationaryLiquid[[#Headers],[Fuel combusted]],0)</f>
        <v>18</v>
      </c>
      <c r="L54" s="184"/>
    </row>
    <row r="55" spans="1:12" ht="20.100000000000001" customHeight="1" x14ac:dyDescent="0.25">
      <c r="D55" s="235" t="str" cm="1">
        <f t="array" ref="D55">Common_InputFunctions.Utility_DisplayArrayInTable(Fuel_SourceData.Fuel_Scope1Scope3EmissionFactorsStationaryLiquid_Data(), Table_Fuel_EFs_StationaryLiquid[[#Headers],[Fuel combusted]],0)</f>
        <v>Petroleum based greases</v>
      </c>
      <c r="E55" s="235" cm="1">
        <f t="array" ref="E55">Common_InputFunctions.Utility_DisplayArrayInTable(Fuel_SourceData.Fuel_Scope1Scope3EmissionFactorsStationaryLiquid_Data(), Table_Fuel_EFs_StationaryLiquid[[#Headers],[Fuel combusted]],0)</f>
        <v>38.799999999999997</v>
      </c>
      <c r="F55" s="235" t="str" cm="1">
        <f t="array" ref="F55">Common_InputFunctions.Utility_DisplayArrayInTable(Fuel_SourceData.Fuel_Scope1Scope3EmissionFactorsStationaryLiquid_Data(), Table_Fuel_EFs_StationaryLiquid[[#Headers],[Fuel combusted]],0)</f>
        <v>kl</v>
      </c>
      <c r="G55" s="235" cm="1">
        <f t="array" ref="G55">Common_InputFunctions.Utility_DisplayArrayInTable(Fuel_SourceData.Fuel_Scope1Scope3EmissionFactorsStationaryLiquid_Data(), Table_Fuel_EFs_StationaryLiquid[[#Headers],[Fuel combusted]],0)</f>
        <v>3.5</v>
      </c>
      <c r="H55" s="235" cm="1">
        <f t="array" ref="H55">Common_InputFunctions.Utility_DisplayArrayInTable(Fuel_SourceData.Fuel_Scope1Scope3EmissionFactorsStationaryLiquid_Data(), Table_Fuel_EFs_StationaryLiquid[[#Headers],[Fuel combusted]],0)</f>
        <v>0</v>
      </c>
      <c r="I55" s="235" cm="1">
        <f t="array" ref="I55">Common_InputFunctions.Utility_DisplayArrayInTable(Fuel_SourceData.Fuel_Scope1Scope3EmissionFactorsStationaryLiquid_Data(), Table_Fuel_EFs_StationaryLiquid[[#Headers],[Fuel combusted]],0)</f>
        <v>0</v>
      </c>
      <c r="J55" s="235" cm="1">
        <f t="array" ref="J55">Common_InputFunctions.Utility_DisplayArrayInTable(Fuel_SourceData.Fuel_Scope1Scope3EmissionFactorsStationaryLiquid_Data(), Table_Fuel_EFs_StationaryLiquid[[#Headers],[Fuel combusted]],0)</f>
        <v>3.5</v>
      </c>
      <c r="K55" s="235" cm="1">
        <f t="array" ref="K55">Common_InputFunctions.Utility_DisplayArrayInTable(Fuel_SourceData.Fuel_Scope1Scope3EmissionFactorsStationaryLiquid_Data(), Table_Fuel_EFs_StationaryLiquid[[#Headers],[Fuel combusted]],0)</f>
        <v>18</v>
      </c>
      <c r="L55" s="184"/>
    </row>
    <row r="56" spans="1:12" ht="20.100000000000001" customHeight="1" x14ac:dyDescent="0.25">
      <c r="D56" s="235" t="str" cm="1">
        <f t="array" ref="D56">Common_InputFunctions.Utility_DisplayArrayInTable(Fuel_SourceData.Fuel_Scope1Scope3EmissionFactorsStationaryLiquid_Data(), Table_Fuel_EFs_StationaryLiquid[[#Headers],[Fuel combusted]],0)</f>
        <v>Crude oil including crude oil condensates</v>
      </c>
      <c r="E56" s="235" cm="1">
        <f t="array" ref="E56">Common_InputFunctions.Utility_DisplayArrayInTable(Fuel_SourceData.Fuel_Scope1Scope3EmissionFactorsStationaryLiquid_Data(), Table_Fuel_EFs_StationaryLiquid[[#Headers],[Fuel combusted]],0)</f>
        <v>45.3</v>
      </c>
      <c r="F56" s="235" t="str" cm="1">
        <f t="array" ref="F56">Common_InputFunctions.Utility_DisplayArrayInTable(Fuel_SourceData.Fuel_Scope1Scope3EmissionFactorsStationaryLiquid_Data(), Table_Fuel_EFs_StationaryLiquid[[#Headers],[Fuel combusted]],0)</f>
        <v>t</v>
      </c>
      <c r="G56" s="235" cm="1">
        <f t="array" ref="G56">Common_InputFunctions.Utility_DisplayArrayInTable(Fuel_SourceData.Fuel_Scope1Scope3EmissionFactorsStationaryLiquid_Data(), Table_Fuel_EFs_StationaryLiquid[[#Headers],[Fuel combusted]],0)</f>
        <v>69.599999999999994</v>
      </c>
      <c r="H56" s="235" cm="1">
        <f t="array" ref="H56">Common_InputFunctions.Utility_DisplayArrayInTable(Fuel_SourceData.Fuel_Scope1Scope3EmissionFactorsStationaryLiquid_Data(), Table_Fuel_EFs_StationaryLiquid[[#Headers],[Fuel combusted]],0)</f>
        <v>0.08</v>
      </c>
      <c r="I56" s="235" cm="1">
        <f t="array" ref="I56">Common_InputFunctions.Utility_DisplayArrayInTable(Fuel_SourceData.Fuel_Scope1Scope3EmissionFactorsStationaryLiquid_Data(), Table_Fuel_EFs_StationaryLiquid[[#Headers],[Fuel combusted]],0)</f>
        <v>0.2</v>
      </c>
      <c r="J56" s="235" cm="1">
        <f t="array" ref="J56">Common_InputFunctions.Utility_DisplayArrayInTable(Fuel_SourceData.Fuel_Scope1Scope3EmissionFactorsStationaryLiquid_Data(), Table_Fuel_EFs_StationaryLiquid[[#Headers],[Fuel combusted]],0)</f>
        <v>69.88</v>
      </c>
      <c r="K56" s="235" t="str" cm="1">
        <f t="array" ref="K56">Common_InputFunctions.Utility_DisplayArrayInTable(Fuel_SourceData.Fuel_Scope1Scope3EmissionFactorsStationaryLiquid_Data(), Table_Fuel_EFs_StationaryLiquid[[#Headers],[Fuel combusted]],0)</f>
        <v>NE</v>
      </c>
      <c r="L56" s="184"/>
    </row>
    <row r="57" spans="1:12" ht="20.100000000000001" customHeight="1" x14ac:dyDescent="0.25">
      <c r="A57" s="82" t="s">
        <v>1</v>
      </c>
      <c r="D57" s="235" t="str" cm="1">
        <f t="array" ref="D57">Common_InputFunctions.Utility_DisplayArrayInTable(Fuel_SourceData.Fuel_Scope1Scope3EmissionFactorsStationaryLiquid_Data(), Table_Fuel_EFs_StationaryLiquid[[#Headers],[Fuel combusted]],0)</f>
        <v>Other natural gas liquids</v>
      </c>
      <c r="E57" s="235" cm="1">
        <f t="array" ref="E57">Common_InputFunctions.Utility_DisplayArrayInTable(Fuel_SourceData.Fuel_Scope1Scope3EmissionFactorsStationaryLiquid_Data(), Table_Fuel_EFs_StationaryLiquid[[#Headers],[Fuel combusted]],0)</f>
        <v>46.5</v>
      </c>
      <c r="F57" s="235" t="str" cm="1">
        <f t="array" ref="F57">Common_InputFunctions.Utility_DisplayArrayInTable(Fuel_SourceData.Fuel_Scope1Scope3EmissionFactorsStationaryLiquid_Data(), Table_Fuel_EFs_StationaryLiquid[[#Headers],[Fuel combusted]],0)</f>
        <v>t</v>
      </c>
      <c r="G57" s="235" cm="1">
        <f t="array" ref="G57">Common_InputFunctions.Utility_DisplayArrayInTable(Fuel_SourceData.Fuel_Scope1Scope3EmissionFactorsStationaryLiquid_Data(), Table_Fuel_EFs_StationaryLiquid[[#Headers],[Fuel combusted]],0)</f>
        <v>61</v>
      </c>
      <c r="H57" s="235" cm="1">
        <f t="array" ref="H57">Common_InputFunctions.Utility_DisplayArrayInTable(Fuel_SourceData.Fuel_Scope1Scope3EmissionFactorsStationaryLiquid_Data(), Table_Fuel_EFs_StationaryLiquid[[#Headers],[Fuel combusted]],0)</f>
        <v>0.08</v>
      </c>
      <c r="I57" s="235" cm="1">
        <f t="array" ref="I57">Common_InputFunctions.Utility_DisplayArrayInTable(Fuel_SourceData.Fuel_Scope1Scope3EmissionFactorsStationaryLiquid_Data(), Table_Fuel_EFs_StationaryLiquid[[#Headers],[Fuel combusted]],0)</f>
        <v>0.2</v>
      </c>
      <c r="J57" s="235" cm="1">
        <f t="array" ref="J57">Common_InputFunctions.Utility_DisplayArrayInTable(Fuel_SourceData.Fuel_Scope1Scope3EmissionFactorsStationaryLiquid_Data(), Table_Fuel_EFs_StationaryLiquid[[#Headers],[Fuel combusted]],0)</f>
        <v>61.28</v>
      </c>
      <c r="K57" s="235" t="str" cm="1">
        <f t="array" ref="K57">Common_InputFunctions.Utility_DisplayArrayInTable(Fuel_SourceData.Fuel_Scope1Scope3EmissionFactorsStationaryLiquid_Data(), Table_Fuel_EFs_StationaryLiquid[[#Headers],[Fuel combusted]],0)</f>
        <v>NE</v>
      </c>
      <c r="L57" s="184"/>
    </row>
    <row r="58" spans="1:12" ht="20.100000000000001" customHeight="1" x14ac:dyDescent="0.25">
      <c r="A58" s="5" t="str">
        <f>HYPERLINK("#'Constants - Dairy'!A1", "Constants - Dairy")</f>
        <v>Constants - Dairy</v>
      </c>
      <c r="D58" s="235"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35" cm="1">
        <f t="array" ref="E58">Common_InputFunctions.Utility_DisplayArrayInTable(Fuel_SourceData.Fuel_Scope1Scope3EmissionFactorsStationaryLiquid_Data(), Table_Fuel_EFs_StationaryLiquid[[#Headers],[Fuel combusted]],0)</f>
        <v>34.200000000000003</v>
      </c>
      <c r="F58" s="235" t="str" cm="1">
        <f t="array" ref="F58">Common_InputFunctions.Utility_DisplayArrayInTable(Fuel_SourceData.Fuel_Scope1Scope3EmissionFactorsStationaryLiquid_Data(), Table_Fuel_EFs_StationaryLiquid[[#Headers],[Fuel combusted]],0)</f>
        <v>kL</v>
      </c>
      <c r="G58" s="235" cm="1">
        <f t="array" ref="G58">Common_InputFunctions.Utility_DisplayArrayInTable(Fuel_SourceData.Fuel_Scope1Scope3EmissionFactorsStationaryLiquid_Data(), Table_Fuel_EFs_StationaryLiquid[[#Headers],[Fuel combusted]],0)</f>
        <v>67.400000000000006</v>
      </c>
      <c r="H58" s="235" cm="1">
        <f t="array" ref="H58">Common_InputFunctions.Utility_DisplayArrayInTable(Fuel_SourceData.Fuel_Scope1Scope3EmissionFactorsStationaryLiquid_Data(), Table_Fuel_EFs_StationaryLiquid[[#Headers],[Fuel combusted]],0)</f>
        <v>0.2</v>
      </c>
      <c r="I58" s="235" cm="1">
        <f t="array" ref="I58">Common_InputFunctions.Utility_DisplayArrayInTable(Fuel_SourceData.Fuel_Scope1Scope3EmissionFactorsStationaryLiquid_Data(), Table_Fuel_EFs_StationaryLiquid[[#Headers],[Fuel combusted]],0)</f>
        <v>0.2</v>
      </c>
      <c r="J58" s="235" cm="1">
        <f t="array" ref="J58">Common_InputFunctions.Utility_DisplayArrayInTable(Fuel_SourceData.Fuel_Scope1Scope3EmissionFactorsStationaryLiquid_Data(), Table_Fuel_EFs_StationaryLiquid[[#Headers],[Fuel combusted]],0)</f>
        <v>67.8</v>
      </c>
      <c r="K58" s="235" cm="1">
        <f t="array" ref="K58">Common_InputFunctions.Utility_DisplayArrayInTable(Fuel_SourceData.Fuel_Scope1Scope3EmissionFactorsStationaryLiquid_Data(), Table_Fuel_EFs_StationaryLiquid[[#Headers],[Fuel combusted]],0)</f>
        <v>17.2</v>
      </c>
      <c r="L58" s="184"/>
    </row>
    <row r="59" spans="1:12" ht="20.100000000000001" customHeight="1" x14ac:dyDescent="0.25">
      <c r="A59" s="5" t="str">
        <f>HYPERLINK("#'Constants - Ag Residue'!A1", "Constants - Ag residue")</f>
        <v>Constants - Ag residue</v>
      </c>
      <c r="D59" s="235" t="str" cm="1">
        <f t="array" ref="D59">Common_InputFunctions.Utility_DisplayArrayInTable(Fuel_SourceData.Fuel_Scope1Scope3EmissionFactorsStationaryLiquid_Data(), Table_Fuel_EFs_StationaryLiquid[[#Headers],[Fuel combusted]],0)</f>
        <v>Aviation gasoline</v>
      </c>
      <c r="E59" s="235" cm="1">
        <f t="array" ref="E59">Common_InputFunctions.Utility_DisplayArrayInTable(Fuel_SourceData.Fuel_Scope1Scope3EmissionFactorsStationaryLiquid_Data(), Table_Fuel_EFs_StationaryLiquid[[#Headers],[Fuel combusted]],0)</f>
        <v>33.1</v>
      </c>
      <c r="F59" s="235" t="str" cm="1">
        <f t="array" ref="F59">Common_InputFunctions.Utility_DisplayArrayInTable(Fuel_SourceData.Fuel_Scope1Scope3EmissionFactorsStationaryLiquid_Data(), Table_Fuel_EFs_StationaryLiquid[[#Headers],[Fuel combusted]],0)</f>
        <v>kL</v>
      </c>
      <c r="G59" s="235" cm="1">
        <f t="array" ref="G59">Common_InputFunctions.Utility_DisplayArrayInTable(Fuel_SourceData.Fuel_Scope1Scope3EmissionFactorsStationaryLiquid_Data(), Table_Fuel_EFs_StationaryLiquid[[#Headers],[Fuel combusted]],0)</f>
        <v>67</v>
      </c>
      <c r="H59" s="235" cm="1">
        <f t="array" ref="H59">Common_InputFunctions.Utility_DisplayArrayInTable(Fuel_SourceData.Fuel_Scope1Scope3EmissionFactorsStationaryLiquid_Data(), Table_Fuel_EFs_StationaryLiquid[[#Headers],[Fuel combusted]],0)</f>
        <v>0.2</v>
      </c>
      <c r="I59" s="235" cm="1">
        <f t="array" ref="I59">Common_InputFunctions.Utility_DisplayArrayInTable(Fuel_SourceData.Fuel_Scope1Scope3EmissionFactorsStationaryLiquid_Data(), Table_Fuel_EFs_StationaryLiquid[[#Headers],[Fuel combusted]],0)</f>
        <v>0.2</v>
      </c>
      <c r="J59" s="235" cm="1">
        <f t="array" ref="J59">Common_InputFunctions.Utility_DisplayArrayInTable(Fuel_SourceData.Fuel_Scope1Scope3EmissionFactorsStationaryLiquid_Data(), Table_Fuel_EFs_StationaryLiquid[[#Headers],[Fuel combusted]],0)</f>
        <v>67.400000000000006</v>
      </c>
      <c r="K59" s="235" cm="1">
        <f t="array" ref="K59">Common_InputFunctions.Utility_DisplayArrayInTable(Fuel_SourceData.Fuel_Scope1Scope3EmissionFactorsStationaryLiquid_Data(), Table_Fuel_EFs_StationaryLiquid[[#Headers],[Fuel combusted]],0)</f>
        <v>18</v>
      </c>
      <c r="L59" s="184"/>
    </row>
    <row r="60" spans="1:12" ht="20.100000000000001" customHeight="1" x14ac:dyDescent="0.25">
      <c r="A60" s="5" t="str">
        <f>HYPERLINK("#'Constants - Common Livestock'!A1", "Constants - Common Livestock")</f>
        <v>Constants - Common Livestock</v>
      </c>
      <c r="D60" s="235" t="str" cm="1">
        <f t="array" ref="D60">Common_InputFunctions.Utility_DisplayArrayInTable(Fuel_SourceData.Fuel_Scope1Scope3EmissionFactorsStationaryLiquid_Data(), Table_Fuel_EFs_StationaryLiquid[[#Headers],[Fuel combusted]],0)</f>
        <v>Kerosene (other than for use as fuel in an aircraft)</v>
      </c>
      <c r="E60" s="235" cm="1">
        <f t="array" ref="E60">Common_InputFunctions.Utility_DisplayArrayInTable(Fuel_SourceData.Fuel_Scope1Scope3EmissionFactorsStationaryLiquid_Data(), Table_Fuel_EFs_StationaryLiquid[[#Headers],[Fuel combusted]],0)</f>
        <v>37.5</v>
      </c>
      <c r="F60" s="235" t="str" cm="1">
        <f t="array" ref="F60">Common_InputFunctions.Utility_DisplayArrayInTable(Fuel_SourceData.Fuel_Scope1Scope3EmissionFactorsStationaryLiquid_Data(), Table_Fuel_EFs_StationaryLiquid[[#Headers],[Fuel combusted]],0)</f>
        <v>kL</v>
      </c>
      <c r="G60" s="235" cm="1">
        <f t="array" ref="G60">Common_InputFunctions.Utility_DisplayArrayInTable(Fuel_SourceData.Fuel_Scope1Scope3EmissionFactorsStationaryLiquid_Data(), Table_Fuel_EFs_StationaryLiquid[[#Headers],[Fuel combusted]],0)</f>
        <v>68.900000000000006</v>
      </c>
      <c r="H60" s="235" cm="1">
        <f t="array" ref="H60">Common_InputFunctions.Utility_DisplayArrayInTable(Fuel_SourceData.Fuel_Scope1Scope3EmissionFactorsStationaryLiquid_Data(), Table_Fuel_EFs_StationaryLiquid[[#Headers],[Fuel combusted]],0)</f>
        <v>0.01</v>
      </c>
      <c r="I60" s="235" cm="1">
        <f t="array" ref="I60">Common_InputFunctions.Utility_DisplayArrayInTable(Fuel_SourceData.Fuel_Scope1Scope3EmissionFactorsStationaryLiquid_Data(), Table_Fuel_EFs_StationaryLiquid[[#Headers],[Fuel combusted]],0)</f>
        <v>0.2</v>
      </c>
      <c r="J60" s="235" cm="1">
        <f t="array" ref="J60">Common_InputFunctions.Utility_DisplayArrayInTable(Fuel_SourceData.Fuel_Scope1Scope3EmissionFactorsStationaryLiquid_Data(), Table_Fuel_EFs_StationaryLiquid[[#Headers],[Fuel combusted]],0)</f>
        <v>69.11</v>
      </c>
      <c r="K60" s="235" cm="1">
        <f t="array" ref="K60">Common_InputFunctions.Utility_DisplayArrayInTable(Fuel_SourceData.Fuel_Scope1Scope3EmissionFactorsStationaryLiquid_Data(), Table_Fuel_EFs_StationaryLiquid[[#Headers],[Fuel combusted]],0)</f>
        <v>18</v>
      </c>
      <c r="L60" s="184"/>
    </row>
    <row r="61" spans="1:12" ht="20.100000000000001" customHeight="1" x14ac:dyDescent="0.25">
      <c r="A61" s="5" t="str">
        <f>HYPERLINK("#'Constants - Electricity'!A1", "Constants - Electricity")</f>
        <v>Constants - Electricity</v>
      </c>
      <c r="D61" s="235" t="str" cm="1">
        <f t="array" ref="D61">Common_InputFunctions.Utility_DisplayArrayInTable(Fuel_SourceData.Fuel_Scope1Scope3EmissionFactorsStationaryLiquid_Data(), Table_Fuel_EFs_StationaryLiquid[[#Headers],[Fuel combusted]],0)</f>
        <v>Aviation turbine fuel / kerosene</v>
      </c>
      <c r="E61" s="235" cm="1">
        <f t="array" ref="E61">Common_InputFunctions.Utility_DisplayArrayInTable(Fuel_SourceData.Fuel_Scope1Scope3EmissionFactorsStationaryLiquid_Data(), Table_Fuel_EFs_StationaryLiquid[[#Headers],[Fuel combusted]],0)</f>
        <v>36.799999999999997</v>
      </c>
      <c r="F61" s="235" t="str" cm="1">
        <f t="array" ref="F61">Common_InputFunctions.Utility_DisplayArrayInTable(Fuel_SourceData.Fuel_Scope1Scope3EmissionFactorsStationaryLiquid_Data(), Table_Fuel_EFs_StationaryLiquid[[#Headers],[Fuel combusted]],0)</f>
        <v>kL</v>
      </c>
      <c r="G61" s="235" cm="1">
        <f t="array" ref="G61">Common_InputFunctions.Utility_DisplayArrayInTable(Fuel_SourceData.Fuel_Scope1Scope3EmissionFactorsStationaryLiquid_Data(), Table_Fuel_EFs_StationaryLiquid[[#Headers],[Fuel combusted]],0)</f>
        <v>69.599999999999994</v>
      </c>
      <c r="H61" s="235" cm="1">
        <f t="array" ref="H61">Common_InputFunctions.Utility_DisplayArrayInTable(Fuel_SourceData.Fuel_Scope1Scope3EmissionFactorsStationaryLiquid_Data(), Table_Fuel_EFs_StationaryLiquid[[#Headers],[Fuel combusted]],0)</f>
        <v>0.02</v>
      </c>
      <c r="I61" s="235" cm="1">
        <f t="array" ref="I61">Common_InputFunctions.Utility_DisplayArrayInTable(Fuel_SourceData.Fuel_Scope1Scope3EmissionFactorsStationaryLiquid_Data(), Table_Fuel_EFs_StationaryLiquid[[#Headers],[Fuel combusted]],0)</f>
        <v>0.2</v>
      </c>
      <c r="J61" s="235" cm="1">
        <f t="array" ref="J61">Common_InputFunctions.Utility_DisplayArrayInTable(Fuel_SourceData.Fuel_Scope1Scope3EmissionFactorsStationaryLiquid_Data(), Table_Fuel_EFs_StationaryLiquid[[#Headers],[Fuel combusted]],0)</f>
        <v>69.819999999999993</v>
      </c>
      <c r="K61" s="235" cm="1">
        <f t="array" ref="K61">Common_InputFunctions.Utility_DisplayArrayInTable(Fuel_SourceData.Fuel_Scope1Scope3EmissionFactorsStationaryLiquid_Data(), Table_Fuel_EFs_StationaryLiquid[[#Headers],[Fuel combusted]],0)</f>
        <v>18</v>
      </c>
      <c r="L61" s="184"/>
    </row>
    <row r="62" spans="1:12" ht="20.100000000000001" customHeight="1" x14ac:dyDescent="0.25">
      <c r="A62" s="5" t="str">
        <f>HYPERLINK("#'Constants - Fertiliser'!A1", "Constants - Fertiliser")</f>
        <v>Constants - Fertiliser</v>
      </c>
      <c r="D62" s="235" t="str" cm="1">
        <f t="array" ref="D62">Common_InputFunctions.Utility_DisplayArrayInTable(Fuel_SourceData.Fuel_Scope1Scope3EmissionFactorsStationaryLiquid_Data(), Table_Fuel_EFs_StationaryLiquid[[#Headers],[Fuel combusted]],0)</f>
        <v>Heating oil</v>
      </c>
      <c r="E62" s="235" cm="1">
        <f t="array" ref="E62">Common_InputFunctions.Utility_DisplayArrayInTable(Fuel_SourceData.Fuel_Scope1Scope3EmissionFactorsStationaryLiquid_Data(), Table_Fuel_EFs_StationaryLiquid[[#Headers],[Fuel combusted]],0)</f>
        <v>37.299999999999997</v>
      </c>
      <c r="F62" s="235" t="str" cm="1">
        <f t="array" ref="F62">Common_InputFunctions.Utility_DisplayArrayInTable(Fuel_SourceData.Fuel_Scope1Scope3EmissionFactorsStationaryLiquid_Data(), Table_Fuel_EFs_StationaryLiquid[[#Headers],[Fuel combusted]],0)</f>
        <v>kL</v>
      </c>
      <c r="G62" s="235" cm="1">
        <f t="array" ref="G62">Common_InputFunctions.Utility_DisplayArrayInTable(Fuel_SourceData.Fuel_Scope1Scope3EmissionFactorsStationaryLiquid_Data(), Table_Fuel_EFs_StationaryLiquid[[#Headers],[Fuel combusted]],0)</f>
        <v>69.5</v>
      </c>
      <c r="H62" s="235" cm="1">
        <f t="array" ref="H62">Common_InputFunctions.Utility_DisplayArrayInTable(Fuel_SourceData.Fuel_Scope1Scope3EmissionFactorsStationaryLiquid_Data(), Table_Fuel_EFs_StationaryLiquid[[#Headers],[Fuel combusted]],0)</f>
        <v>0.03</v>
      </c>
      <c r="I62" s="235" cm="1">
        <f t="array" ref="I62">Common_InputFunctions.Utility_DisplayArrayInTable(Fuel_SourceData.Fuel_Scope1Scope3EmissionFactorsStationaryLiquid_Data(), Table_Fuel_EFs_StationaryLiquid[[#Headers],[Fuel combusted]],0)</f>
        <v>0.2</v>
      </c>
      <c r="J62" s="235" cm="1">
        <f t="array" ref="J62">Common_InputFunctions.Utility_DisplayArrayInTable(Fuel_SourceData.Fuel_Scope1Scope3EmissionFactorsStationaryLiquid_Data(), Table_Fuel_EFs_StationaryLiquid[[#Headers],[Fuel combusted]],0)</f>
        <v>69.73</v>
      </c>
      <c r="K62" s="235" cm="1">
        <f t="array" ref="K62">Common_InputFunctions.Utility_DisplayArrayInTable(Fuel_SourceData.Fuel_Scope1Scope3EmissionFactorsStationaryLiquid_Data(), Table_Fuel_EFs_StationaryLiquid[[#Headers],[Fuel combusted]],0)</f>
        <v>18</v>
      </c>
      <c r="L62" s="184"/>
    </row>
    <row r="63" spans="1:12" ht="20.100000000000001" customHeight="1" x14ac:dyDescent="0.25">
      <c r="A63" s="83" t="str">
        <f>HYPERLINK("#'Constants - Fuel'!A1", "Constants - Fuel")</f>
        <v>Constants - Fuel</v>
      </c>
      <c r="D63" s="235" t="str" cm="1">
        <f t="array" ref="D63">Common_InputFunctions.Utility_DisplayArrayInTable(Fuel_SourceData.Fuel_Scope1Scope3EmissionFactorsStationaryLiquid_Data(), Table_Fuel_EFs_StationaryLiquid[[#Headers],[Fuel combusted]],0)</f>
        <v>Diesel oil</v>
      </c>
      <c r="E63" s="235" cm="1">
        <f t="array" ref="E63">Common_InputFunctions.Utility_DisplayArrayInTable(Fuel_SourceData.Fuel_Scope1Scope3EmissionFactorsStationaryLiquid_Data(), Table_Fuel_EFs_StationaryLiquid[[#Headers],[Fuel combusted]],0)</f>
        <v>38.6</v>
      </c>
      <c r="F63" s="235" t="str" cm="1">
        <f t="array" ref="F63">Common_InputFunctions.Utility_DisplayArrayInTable(Fuel_SourceData.Fuel_Scope1Scope3EmissionFactorsStationaryLiquid_Data(), Table_Fuel_EFs_StationaryLiquid[[#Headers],[Fuel combusted]],0)</f>
        <v>kL</v>
      </c>
      <c r="G63" s="235" cm="1">
        <f t="array" ref="G63">Common_InputFunctions.Utility_DisplayArrayInTable(Fuel_SourceData.Fuel_Scope1Scope3EmissionFactorsStationaryLiquid_Data(), Table_Fuel_EFs_StationaryLiquid[[#Headers],[Fuel combusted]],0)</f>
        <v>69.900000000000006</v>
      </c>
      <c r="H63" s="235" cm="1">
        <f t="array" ref="H63">Common_InputFunctions.Utility_DisplayArrayInTable(Fuel_SourceData.Fuel_Scope1Scope3EmissionFactorsStationaryLiquid_Data(), Table_Fuel_EFs_StationaryLiquid[[#Headers],[Fuel combusted]],0)</f>
        <v>0.1</v>
      </c>
      <c r="I63" s="235" cm="1">
        <f t="array" ref="I63">Common_InputFunctions.Utility_DisplayArrayInTable(Fuel_SourceData.Fuel_Scope1Scope3EmissionFactorsStationaryLiquid_Data(), Table_Fuel_EFs_StationaryLiquid[[#Headers],[Fuel combusted]],0)</f>
        <v>0.2</v>
      </c>
      <c r="J63" s="235" cm="1">
        <f t="array" ref="J63">Common_InputFunctions.Utility_DisplayArrayInTable(Fuel_SourceData.Fuel_Scope1Scope3EmissionFactorsStationaryLiquid_Data(), Table_Fuel_EFs_StationaryLiquid[[#Headers],[Fuel combusted]],0)</f>
        <v>70.2</v>
      </c>
      <c r="K63" s="235" cm="1">
        <f t="array" ref="K63">Common_InputFunctions.Utility_DisplayArrayInTable(Fuel_SourceData.Fuel_Scope1Scope3EmissionFactorsStationaryLiquid_Data(), Table_Fuel_EFs_StationaryLiquid[[#Headers],[Fuel combusted]],0)</f>
        <v>17.3</v>
      </c>
      <c r="L63" s="184"/>
    </row>
    <row r="64" spans="1:12" ht="20.100000000000001" customHeight="1" x14ac:dyDescent="0.25">
      <c r="A64" s="5" t="str">
        <f>HYPERLINK("#'Constants - Scope 3'!A1", "Constants - Scope 3")</f>
        <v>Constants - Scope 3</v>
      </c>
      <c r="D64" s="235" t="str" cm="1">
        <f t="array" ref="D64">Common_InputFunctions.Utility_DisplayArrayInTable(Fuel_SourceData.Fuel_Scope1Scope3EmissionFactorsStationaryLiquid_Data(), Table_Fuel_EFs_StationaryLiquid[[#Headers],[Fuel combusted]],0)</f>
        <v>Fuel oil</v>
      </c>
      <c r="E64" s="235" cm="1">
        <f t="array" ref="E64">Common_InputFunctions.Utility_DisplayArrayInTable(Fuel_SourceData.Fuel_Scope1Scope3EmissionFactorsStationaryLiquid_Data(), Table_Fuel_EFs_StationaryLiquid[[#Headers],[Fuel combusted]],0)</f>
        <v>39.700000000000003</v>
      </c>
      <c r="F64" s="235" t="str" cm="1">
        <f t="array" ref="F64">Common_InputFunctions.Utility_DisplayArrayInTable(Fuel_SourceData.Fuel_Scope1Scope3EmissionFactorsStationaryLiquid_Data(), Table_Fuel_EFs_StationaryLiquid[[#Headers],[Fuel combusted]],0)</f>
        <v>kL</v>
      </c>
      <c r="G64" s="235" cm="1">
        <f t="array" ref="G64">Common_InputFunctions.Utility_DisplayArrayInTable(Fuel_SourceData.Fuel_Scope1Scope3EmissionFactorsStationaryLiquid_Data(), Table_Fuel_EFs_StationaryLiquid[[#Headers],[Fuel combusted]],0)</f>
        <v>73.599999999999994</v>
      </c>
      <c r="H64" s="235" cm="1">
        <f t="array" ref="H64">Common_InputFunctions.Utility_DisplayArrayInTable(Fuel_SourceData.Fuel_Scope1Scope3EmissionFactorsStationaryLiquid_Data(), Table_Fuel_EFs_StationaryLiquid[[#Headers],[Fuel combusted]],0)</f>
        <v>0.04</v>
      </c>
      <c r="I64" s="235" cm="1">
        <f t="array" ref="I64">Common_InputFunctions.Utility_DisplayArrayInTable(Fuel_SourceData.Fuel_Scope1Scope3EmissionFactorsStationaryLiquid_Data(), Table_Fuel_EFs_StationaryLiquid[[#Headers],[Fuel combusted]],0)</f>
        <v>0.2</v>
      </c>
      <c r="J64" s="235" cm="1">
        <f t="array" ref="J64">Common_InputFunctions.Utility_DisplayArrayInTable(Fuel_SourceData.Fuel_Scope1Scope3EmissionFactorsStationaryLiquid_Data(), Table_Fuel_EFs_StationaryLiquid[[#Headers],[Fuel combusted]],0)</f>
        <v>73.84</v>
      </c>
      <c r="K64" s="235" cm="1">
        <f t="array" ref="K64">Common_InputFunctions.Utility_DisplayArrayInTable(Fuel_SourceData.Fuel_Scope1Scope3EmissionFactorsStationaryLiquid_Data(), Table_Fuel_EFs_StationaryLiquid[[#Headers],[Fuel combusted]],0)</f>
        <v>18</v>
      </c>
      <c r="L64" s="184"/>
    </row>
    <row r="65" spans="1:13" ht="20.100000000000001" customHeight="1" x14ac:dyDescent="0.25">
      <c r="A65" s="5" t="str">
        <f>HYPERLINK("#'Constants - Common'!A1", "Constants - Common")</f>
        <v>Constants - Common</v>
      </c>
      <c r="D65" s="235" t="str" cm="1">
        <f t="array" ref="D65">Common_InputFunctions.Utility_DisplayArrayInTable(Fuel_SourceData.Fuel_Scope1Scope3EmissionFactorsStationaryLiquid_Data(), Table_Fuel_EFs_StationaryLiquid[[#Headers],[Fuel combusted]],0)</f>
        <v>Liquefied aromatic hydrocarbons</v>
      </c>
      <c r="E65" s="235" cm="1">
        <f t="array" ref="E65">Common_InputFunctions.Utility_DisplayArrayInTable(Fuel_SourceData.Fuel_Scope1Scope3EmissionFactorsStationaryLiquid_Data(), Table_Fuel_EFs_StationaryLiquid[[#Headers],[Fuel combusted]],0)</f>
        <v>34.4</v>
      </c>
      <c r="F65" s="235" t="str" cm="1">
        <f t="array" ref="F65">Common_InputFunctions.Utility_DisplayArrayInTable(Fuel_SourceData.Fuel_Scope1Scope3EmissionFactorsStationaryLiquid_Data(), Table_Fuel_EFs_StationaryLiquid[[#Headers],[Fuel combusted]],0)</f>
        <v>kL</v>
      </c>
      <c r="G65" s="235" cm="1">
        <f t="array" ref="G65">Common_InputFunctions.Utility_DisplayArrayInTable(Fuel_SourceData.Fuel_Scope1Scope3EmissionFactorsStationaryLiquid_Data(), Table_Fuel_EFs_StationaryLiquid[[#Headers],[Fuel combusted]],0)</f>
        <v>69.7</v>
      </c>
      <c r="H65" s="235" cm="1">
        <f t="array" ref="H65">Common_InputFunctions.Utility_DisplayArrayInTable(Fuel_SourceData.Fuel_Scope1Scope3EmissionFactorsStationaryLiquid_Data(), Table_Fuel_EFs_StationaryLiquid[[#Headers],[Fuel combusted]],0)</f>
        <v>0.03</v>
      </c>
      <c r="I65" s="235" cm="1">
        <f t="array" ref="I65">Common_InputFunctions.Utility_DisplayArrayInTable(Fuel_SourceData.Fuel_Scope1Scope3EmissionFactorsStationaryLiquid_Data(), Table_Fuel_EFs_StationaryLiquid[[#Headers],[Fuel combusted]],0)</f>
        <v>0.2</v>
      </c>
      <c r="J65" s="235" cm="1">
        <f t="array" ref="J65">Common_InputFunctions.Utility_DisplayArrayInTable(Fuel_SourceData.Fuel_Scope1Scope3EmissionFactorsStationaryLiquid_Data(), Table_Fuel_EFs_StationaryLiquid[[#Headers],[Fuel combusted]],0)</f>
        <v>69.930000000000007</v>
      </c>
      <c r="K65" s="235" cm="1">
        <f t="array" ref="K65">Common_InputFunctions.Utility_DisplayArrayInTable(Fuel_SourceData.Fuel_Scope1Scope3EmissionFactorsStationaryLiquid_Data(), Table_Fuel_EFs_StationaryLiquid[[#Headers],[Fuel combusted]],0)</f>
        <v>18</v>
      </c>
      <c r="L65" s="184"/>
    </row>
    <row r="66" spans="1:13" ht="20.100000000000001" customHeight="1" x14ac:dyDescent="0.25">
      <c r="A66" s="5" t="str">
        <f>HYPERLINK("#'Constants - Refrigerants'!A1", "Constants - Refrigerants")</f>
        <v>Constants - Refrigerants</v>
      </c>
      <c r="D66" s="235" t="str" cm="1">
        <f t="array" ref="D66">Common_InputFunctions.Utility_DisplayArrayInTable(Fuel_SourceData.Fuel_Scope1Scope3EmissionFactorsStationaryLiquid_Data(), Table_Fuel_EFs_StationaryLiquid[[#Headers],[Fuel combusted]],0)</f>
        <v>Solvents: mineral turpentine or white spirits</v>
      </c>
      <c r="E66" s="235" cm="1">
        <f t="array" ref="E66">Common_InputFunctions.Utility_DisplayArrayInTable(Fuel_SourceData.Fuel_Scope1Scope3EmissionFactorsStationaryLiquid_Data(), Table_Fuel_EFs_StationaryLiquid[[#Headers],[Fuel combusted]],0)</f>
        <v>34.4</v>
      </c>
      <c r="F66" s="235" t="str" cm="1">
        <f t="array" ref="F66">Common_InputFunctions.Utility_DisplayArrayInTable(Fuel_SourceData.Fuel_Scope1Scope3EmissionFactorsStationaryLiquid_Data(), Table_Fuel_EFs_StationaryLiquid[[#Headers],[Fuel combusted]],0)</f>
        <v>kL</v>
      </c>
      <c r="G66" s="235" cm="1">
        <f t="array" ref="G66">Common_InputFunctions.Utility_DisplayArrayInTable(Fuel_SourceData.Fuel_Scope1Scope3EmissionFactorsStationaryLiquid_Data(), Table_Fuel_EFs_StationaryLiquid[[#Headers],[Fuel combusted]],0)</f>
        <v>69.7</v>
      </c>
      <c r="H66" s="235" cm="1">
        <f t="array" ref="H66">Common_InputFunctions.Utility_DisplayArrayInTable(Fuel_SourceData.Fuel_Scope1Scope3EmissionFactorsStationaryLiquid_Data(), Table_Fuel_EFs_StationaryLiquid[[#Headers],[Fuel combusted]],0)</f>
        <v>0.03</v>
      </c>
      <c r="I66" s="235" cm="1">
        <f t="array" ref="I66">Common_InputFunctions.Utility_DisplayArrayInTable(Fuel_SourceData.Fuel_Scope1Scope3EmissionFactorsStationaryLiquid_Data(), Table_Fuel_EFs_StationaryLiquid[[#Headers],[Fuel combusted]],0)</f>
        <v>0.2</v>
      </c>
      <c r="J66" s="235" cm="1">
        <f t="array" ref="J66">Common_InputFunctions.Utility_DisplayArrayInTable(Fuel_SourceData.Fuel_Scope1Scope3EmissionFactorsStationaryLiquid_Data(), Table_Fuel_EFs_StationaryLiquid[[#Headers],[Fuel combusted]],0)</f>
        <v>69.930000000000007</v>
      </c>
      <c r="K66" s="235" cm="1">
        <f t="array" ref="K66">Common_InputFunctions.Utility_DisplayArrayInTable(Fuel_SourceData.Fuel_Scope1Scope3EmissionFactorsStationaryLiquid_Data(), Table_Fuel_EFs_StationaryLiquid[[#Headers],[Fuel combusted]],0)</f>
        <v>18</v>
      </c>
      <c r="L66" s="184"/>
    </row>
    <row r="67" spans="1:13" ht="20.100000000000001" customHeight="1" x14ac:dyDescent="0.25">
      <c r="A67" s="5" t="str">
        <f>HYPERLINK("#'Constants - Solid Waste'!A1", "Constants - Solid Waste")</f>
        <v>Constants - Solid Waste</v>
      </c>
      <c r="D67" s="235" t="str" cm="1">
        <f t="array" ref="D67">Common_InputFunctions.Utility_DisplayArrayInTable(Fuel_SourceData.Fuel_Scope1Scope3EmissionFactorsStationaryLiquid_Data(), Table_Fuel_EFs_StationaryLiquid[[#Headers],[Fuel combusted]],0)</f>
        <v>Liquefied petroleum gas (LPG)</v>
      </c>
      <c r="E67" s="235" cm="1">
        <f t="array" ref="E67">Common_InputFunctions.Utility_DisplayArrayInTable(Fuel_SourceData.Fuel_Scope1Scope3EmissionFactorsStationaryLiquid_Data(), Table_Fuel_EFs_StationaryLiquid[[#Headers],[Fuel combusted]],0)</f>
        <v>25.7</v>
      </c>
      <c r="F67" s="235" t="str" cm="1">
        <f t="array" ref="F67">Common_InputFunctions.Utility_DisplayArrayInTable(Fuel_SourceData.Fuel_Scope1Scope3EmissionFactorsStationaryLiquid_Data(), Table_Fuel_EFs_StationaryLiquid[[#Headers],[Fuel combusted]],0)</f>
        <v>kL</v>
      </c>
      <c r="G67" s="235" cm="1">
        <f t="array" ref="G67">Common_InputFunctions.Utility_DisplayArrayInTable(Fuel_SourceData.Fuel_Scope1Scope3EmissionFactorsStationaryLiquid_Data(), Table_Fuel_EFs_StationaryLiquid[[#Headers],[Fuel combusted]],0)</f>
        <v>60.2</v>
      </c>
      <c r="H67" s="235" cm="1">
        <f t="array" ref="H67">Common_InputFunctions.Utility_DisplayArrayInTable(Fuel_SourceData.Fuel_Scope1Scope3EmissionFactorsStationaryLiquid_Data(), Table_Fuel_EFs_StationaryLiquid[[#Headers],[Fuel combusted]],0)</f>
        <v>0.2</v>
      </c>
      <c r="I67" s="235" cm="1">
        <f t="array" ref="I67">Common_InputFunctions.Utility_DisplayArrayInTable(Fuel_SourceData.Fuel_Scope1Scope3EmissionFactorsStationaryLiquid_Data(), Table_Fuel_EFs_StationaryLiquid[[#Headers],[Fuel combusted]],0)</f>
        <v>0.2</v>
      </c>
      <c r="J67" s="235" cm="1">
        <f t="array" ref="J67">Common_InputFunctions.Utility_DisplayArrayInTable(Fuel_SourceData.Fuel_Scope1Scope3EmissionFactorsStationaryLiquid_Data(), Table_Fuel_EFs_StationaryLiquid[[#Headers],[Fuel combusted]],0)</f>
        <v>60.6</v>
      </c>
      <c r="K67" s="235" cm="1">
        <f t="array" ref="K67">Common_InputFunctions.Utility_DisplayArrayInTable(Fuel_SourceData.Fuel_Scope1Scope3EmissionFactorsStationaryLiquid_Data(), Table_Fuel_EFs_StationaryLiquid[[#Headers],[Fuel combusted]],0)</f>
        <v>20.2</v>
      </c>
      <c r="L67" s="184"/>
    </row>
    <row r="68" spans="1:13" ht="20.100000000000001" customHeight="1" x14ac:dyDescent="0.25">
      <c r="A68" s="5" t="str">
        <f>HYPERLINK("#'Acknowledgements'!A1", "Acknowledgements")</f>
        <v>Acknowledgements</v>
      </c>
      <c r="D68" s="235" t="str" cm="1">
        <f t="array" ref="D68">Common_InputFunctions.Utility_DisplayArrayInTable(Fuel_SourceData.Fuel_Scope1Scope3EmissionFactorsStationaryLiquid_Data(), Table_Fuel_EFs_StationaryLiquid[[#Headers],[Fuel combusted]],0)</f>
        <v>Naphtha</v>
      </c>
      <c r="E68" s="235" cm="1">
        <f t="array" ref="E68">Common_InputFunctions.Utility_DisplayArrayInTable(Fuel_SourceData.Fuel_Scope1Scope3EmissionFactorsStationaryLiquid_Data(), Table_Fuel_EFs_StationaryLiquid[[#Headers],[Fuel combusted]],0)</f>
        <v>31.4</v>
      </c>
      <c r="F68" s="235" t="str" cm="1">
        <f t="array" ref="F68">Common_InputFunctions.Utility_DisplayArrayInTable(Fuel_SourceData.Fuel_Scope1Scope3EmissionFactorsStationaryLiquid_Data(), Table_Fuel_EFs_StationaryLiquid[[#Headers],[Fuel combusted]],0)</f>
        <v>kL</v>
      </c>
      <c r="G68" s="235" cm="1">
        <f t="array" ref="G68">Common_InputFunctions.Utility_DisplayArrayInTable(Fuel_SourceData.Fuel_Scope1Scope3EmissionFactorsStationaryLiquid_Data(), Table_Fuel_EFs_StationaryLiquid[[#Headers],[Fuel combusted]],0)</f>
        <v>69.8</v>
      </c>
      <c r="H68" s="235" cm="1">
        <f t="array" ref="H68">Common_InputFunctions.Utility_DisplayArrayInTable(Fuel_SourceData.Fuel_Scope1Scope3EmissionFactorsStationaryLiquid_Data(), Table_Fuel_EFs_StationaryLiquid[[#Headers],[Fuel combusted]],0)</f>
        <v>0.01</v>
      </c>
      <c r="I68" s="235" cm="1">
        <f t="array" ref="I68">Common_InputFunctions.Utility_DisplayArrayInTable(Fuel_SourceData.Fuel_Scope1Scope3EmissionFactorsStationaryLiquid_Data(), Table_Fuel_EFs_StationaryLiquid[[#Headers],[Fuel combusted]],0)</f>
        <v>0.01</v>
      </c>
      <c r="J68" s="235" cm="1">
        <f t="array" ref="J68">Common_InputFunctions.Utility_DisplayArrayInTable(Fuel_SourceData.Fuel_Scope1Scope3EmissionFactorsStationaryLiquid_Data(), Table_Fuel_EFs_StationaryLiquid[[#Headers],[Fuel combusted]],0)</f>
        <v>69.819999999999993</v>
      </c>
      <c r="K68" s="235" cm="1">
        <f t="array" ref="K68">Common_InputFunctions.Utility_DisplayArrayInTable(Fuel_SourceData.Fuel_Scope1Scope3EmissionFactorsStationaryLiquid_Data(), Table_Fuel_EFs_StationaryLiquid[[#Headers],[Fuel combusted]],0)</f>
        <v>18</v>
      </c>
      <c r="L68" s="184"/>
    </row>
    <row r="69" spans="1:13" ht="20.100000000000001" customHeight="1" x14ac:dyDescent="0.25">
      <c r="D69" s="235" t="str" cm="1">
        <f t="array" ref="D69">Common_InputFunctions.Utility_DisplayArrayInTable(Fuel_SourceData.Fuel_Scope1Scope3EmissionFactorsStationaryLiquid_Data(), Table_Fuel_EFs_StationaryLiquid[[#Headers],[Fuel combusted]],0)</f>
        <v>Petroleum coke</v>
      </c>
      <c r="E69" s="235" cm="1">
        <f t="array" ref="E69">Common_InputFunctions.Utility_DisplayArrayInTable(Fuel_SourceData.Fuel_Scope1Scope3EmissionFactorsStationaryLiquid_Data(), Table_Fuel_EFs_StationaryLiquid[[#Headers],[Fuel combusted]],0)</f>
        <v>34.200000000000003</v>
      </c>
      <c r="F69" s="235" t="str" cm="1">
        <f t="array" ref="F69">Common_InputFunctions.Utility_DisplayArrayInTable(Fuel_SourceData.Fuel_Scope1Scope3EmissionFactorsStationaryLiquid_Data(), Table_Fuel_EFs_StationaryLiquid[[#Headers],[Fuel combusted]],0)</f>
        <v>t</v>
      </c>
      <c r="G69" s="235" cm="1">
        <f t="array" ref="G69">Common_InputFunctions.Utility_DisplayArrayInTable(Fuel_SourceData.Fuel_Scope1Scope3EmissionFactorsStationaryLiquid_Data(), Table_Fuel_EFs_StationaryLiquid[[#Headers],[Fuel combusted]],0)</f>
        <v>92.6</v>
      </c>
      <c r="H69" s="235" cm="1">
        <f t="array" ref="H69">Common_InputFunctions.Utility_DisplayArrayInTable(Fuel_SourceData.Fuel_Scope1Scope3EmissionFactorsStationaryLiquid_Data(), Table_Fuel_EFs_StationaryLiquid[[#Headers],[Fuel combusted]],0)</f>
        <v>0.08</v>
      </c>
      <c r="I69" s="235" cm="1">
        <f t="array" ref="I69">Common_InputFunctions.Utility_DisplayArrayInTable(Fuel_SourceData.Fuel_Scope1Scope3EmissionFactorsStationaryLiquid_Data(), Table_Fuel_EFs_StationaryLiquid[[#Headers],[Fuel combusted]],0)</f>
        <v>0.2</v>
      </c>
      <c r="J69" s="235" cm="1">
        <f t="array" ref="J69">Common_InputFunctions.Utility_DisplayArrayInTable(Fuel_SourceData.Fuel_Scope1Scope3EmissionFactorsStationaryLiquid_Data(), Table_Fuel_EFs_StationaryLiquid[[#Headers],[Fuel combusted]],0)</f>
        <v>92.88</v>
      </c>
      <c r="K69" s="235" cm="1">
        <f t="array" ref="K69">Common_InputFunctions.Utility_DisplayArrayInTable(Fuel_SourceData.Fuel_Scope1Scope3EmissionFactorsStationaryLiquid_Data(), Table_Fuel_EFs_StationaryLiquid[[#Headers],[Fuel combusted]],0)</f>
        <v>18</v>
      </c>
      <c r="L69" s="184"/>
    </row>
    <row r="70" spans="1:13" ht="20.100000000000001" customHeight="1" x14ac:dyDescent="0.25">
      <c r="D70" s="235" t="str" cm="1">
        <f t="array" ref="D70">Common_InputFunctions.Utility_DisplayArrayInTable(Fuel_SourceData.Fuel_Scope1Scope3EmissionFactorsStationaryLiquid_Data(), Table_Fuel_EFs_StationaryLiquid[[#Headers],[Fuel combusted]],0)</f>
        <v>Refinery gas and liquids</v>
      </c>
      <c r="E70" s="235" cm="1">
        <f t="array" ref="E70">Common_InputFunctions.Utility_DisplayArrayInTable(Fuel_SourceData.Fuel_Scope1Scope3EmissionFactorsStationaryLiquid_Data(), Table_Fuel_EFs_StationaryLiquid[[#Headers],[Fuel combusted]],0)</f>
        <v>42.9</v>
      </c>
      <c r="F70" s="235" t="str" cm="1">
        <f t="array" ref="F70">Common_InputFunctions.Utility_DisplayArrayInTable(Fuel_SourceData.Fuel_Scope1Scope3EmissionFactorsStationaryLiquid_Data(), Table_Fuel_EFs_StationaryLiquid[[#Headers],[Fuel combusted]],0)</f>
        <v>t</v>
      </c>
      <c r="G70" s="235" cm="1">
        <f t="array" ref="G70">Common_InputFunctions.Utility_DisplayArrayInTable(Fuel_SourceData.Fuel_Scope1Scope3EmissionFactorsStationaryLiquid_Data(), Table_Fuel_EFs_StationaryLiquid[[#Headers],[Fuel combusted]],0)</f>
        <v>54.7</v>
      </c>
      <c r="H70" s="235" cm="1">
        <f t="array" ref="H70">Common_InputFunctions.Utility_DisplayArrayInTable(Fuel_SourceData.Fuel_Scope1Scope3EmissionFactorsStationaryLiquid_Data(), Table_Fuel_EFs_StationaryLiquid[[#Headers],[Fuel combusted]],0)</f>
        <v>0.03</v>
      </c>
      <c r="I70" s="235" cm="1">
        <f t="array" ref="I70">Common_InputFunctions.Utility_DisplayArrayInTable(Fuel_SourceData.Fuel_Scope1Scope3EmissionFactorsStationaryLiquid_Data(), Table_Fuel_EFs_StationaryLiquid[[#Headers],[Fuel combusted]],0)</f>
        <v>0.03</v>
      </c>
      <c r="J70" s="235" cm="1">
        <f t="array" ref="J70">Common_InputFunctions.Utility_DisplayArrayInTable(Fuel_SourceData.Fuel_Scope1Scope3EmissionFactorsStationaryLiquid_Data(), Table_Fuel_EFs_StationaryLiquid[[#Headers],[Fuel combusted]],0)</f>
        <v>54.76</v>
      </c>
      <c r="K70" s="235" cm="1">
        <f t="array" ref="K70">Common_InputFunctions.Utility_DisplayArrayInTable(Fuel_SourceData.Fuel_Scope1Scope3EmissionFactorsStationaryLiquid_Data(), Table_Fuel_EFs_StationaryLiquid[[#Headers],[Fuel combusted]],0)</f>
        <v>18</v>
      </c>
      <c r="L70" s="184"/>
    </row>
    <row r="71" spans="1:13" ht="20.100000000000001" customHeight="1" x14ac:dyDescent="0.25">
      <c r="D71" s="235" t="str" cm="1">
        <f t="array" ref="D71">Common_InputFunctions.Utility_DisplayArrayInTable(Fuel_SourceData.Fuel_Scope1Scope3EmissionFactorsStationaryLiquid_Data(), Table_Fuel_EFs_StationaryLiquid[[#Headers],[Fuel combusted]],0)</f>
        <v>Refinery coke</v>
      </c>
      <c r="E71" s="235" cm="1">
        <f t="array" ref="E71">Common_InputFunctions.Utility_DisplayArrayInTable(Fuel_SourceData.Fuel_Scope1Scope3EmissionFactorsStationaryLiquid_Data(), Table_Fuel_EFs_StationaryLiquid[[#Headers],[Fuel combusted]],0)</f>
        <v>34.200000000000003</v>
      </c>
      <c r="F71" s="235" t="str" cm="1">
        <f t="array" ref="F71">Common_InputFunctions.Utility_DisplayArrayInTable(Fuel_SourceData.Fuel_Scope1Scope3EmissionFactorsStationaryLiquid_Data(), Table_Fuel_EFs_StationaryLiquid[[#Headers],[Fuel combusted]],0)</f>
        <v>t</v>
      </c>
      <c r="G71" s="235" cm="1">
        <f t="array" ref="G71">Common_InputFunctions.Utility_DisplayArrayInTable(Fuel_SourceData.Fuel_Scope1Scope3EmissionFactorsStationaryLiquid_Data(), Table_Fuel_EFs_StationaryLiquid[[#Headers],[Fuel combusted]],0)</f>
        <v>92.6</v>
      </c>
      <c r="H71" s="235" cm="1">
        <f t="array" ref="H71">Common_InputFunctions.Utility_DisplayArrayInTable(Fuel_SourceData.Fuel_Scope1Scope3EmissionFactorsStationaryLiquid_Data(), Table_Fuel_EFs_StationaryLiquid[[#Headers],[Fuel combusted]],0)</f>
        <v>0.08</v>
      </c>
      <c r="I71" s="235" cm="1">
        <f t="array" ref="I71">Common_InputFunctions.Utility_DisplayArrayInTable(Fuel_SourceData.Fuel_Scope1Scope3EmissionFactorsStationaryLiquid_Data(), Table_Fuel_EFs_StationaryLiquid[[#Headers],[Fuel combusted]],0)</f>
        <v>0.2</v>
      </c>
      <c r="J71" s="235" cm="1">
        <f t="array" ref="J71">Common_InputFunctions.Utility_DisplayArrayInTable(Fuel_SourceData.Fuel_Scope1Scope3EmissionFactorsStationaryLiquid_Data(), Table_Fuel_EFs_StationaryLiquid[[#Headers],[Fuel combusted]],0)</f>
        <v>92.88</v>
      </c>
      <c r="K71" s="235" cm="1">
        <f t="array" ref="K71">Common_InputFunctions.Utility_DisplayArrayInTable(Fuel_SourceData.Fuel_Scope1Scope3EmissionFactorsStationaryLiquid_Data(), Table_Fuel_EFs_StationaryLiquid[[#Headers],[Fuel combusted]],0)</f>
        <v>18</v>
      </c>
      <c r="L71" s="184"/>
    </row>
    <row r="72" spans="1:13" ht="20.100000000000001" customHeight="1" x14ac:dyDescent="0.25">
      <c r="D72" s="235" t="str" cm="1">
        <f t="array" ref="D72">Common_InputFunctions.Utility_DisplayArrayInTable(Fuel_SourceData.Fuel_Scope1Scope3EmissionFactorsStationaryLiquid_Data(), Table_Fuel_EFs_StationaryLiquid[[#Headers],[Fuel combusted]],0)</f>
        <v>Petroleum based products other than mentioned in the items above</v>
      </c>
      <c r="E72" s="235" cm="1">
        <f t="array" ref="E72">Common_InputFunctions.Utility_DisplayArrayInTable(Fuel_SourceData.Fuel_Scope1Scope3EmissionFactorsStationaryLiquid_Data(), Table_Fuel_EFs_StationaryLiquid[[#Headers],[Fuel combusted]],0)</f>
        <v>34.4</v>
      </c>
      <c r="F72" s="235" t="str" cm="1">
        <f t="array" ref="F72">Common_InputFunctions.Utility_DisplayArrayInTable(Fuel_SourceData.Fuel_Scope1Scope3EmissionFactorsStationaryLiquid_Data(), Table_Fuel_EFs_StationaryLiquid[[#Headers],[Fuel combusted]],0)</f>
        <v>kL</v>
      </c>
      <c r="G72" s="235" cm="1">
        <f t="array" ref="G72">Common_InputFunctions.Utility_DisplayArrayInTable(Fuel_SourceData.Fuel_Scope1Scope3EmissionFactorsStationaryLiquid_Data(), Table_Fuel_EFs_StationaryLiquid[[#Headers],[Fuel combusted]],0)</f>
        <v>69.8</v>
      </c>
      <c r="H72" s="235" cm="1">
        <f t="array" ref="H72">Common_InputFunctions.Utility_DisplayArrayInTable(Fuel_SourceData.Fuel_Scope1Scope3EmissionFactorsStationaryLiquid_Data(), Table_Fuel_EFs_StationaryLiquid[[#Headers],[Fuel combusted]],0)</f>
        <v>0.02</v>
      </c>
      <c r="I72" s="235" cm="1">
        <f t="array" ref="I72">Common_InputFunctions.Utility_DisplayArrayInTable(Fuel_SourceData.Fuel_Scope1Scope3EmissionFactorsStationaryLiquid_Data(), Table_Fuel_EFs_StationaryLiquid[[#Headers],[Fuel combusted]],0)</f>
        <v>0.1</v>
      </c>
      <c r="J72" s="235" cm="1">
        <f t="array" ref="J72">Common_InputFunctions.Utility_DisplayArrayInTable(Fuel_SourceData.Fuel_Scope1Scope3EmissionFactorsStationaryLiquid_Data(), Table_Fuel_EFs_StationaryLiquid[[#Headers],[Fuel combusted]],0)</f>
        <v>69.92</v>
      </c>
      <c r="K72" s="235" cm="1">
        <f t="array" ref="K72">Common_InputFunctions.Utility_DisplayArrayInTable(Fuel_SourceData.Fuel_Scope1Scope3EmissionFactorsStationaryLiquid_Data(), Table_Fuel_EFs_StationaryLiquid[[#Headers],[Fuel combusted]],0)</f>
        <v>18</v>
      </c>
      <c r="L72" s="184"/>
    </row>
    <row r="73" spans="1:13" ht="20.100000000000001" customHeight="1" x14ac:dyDescent="0.25">
      <c r="D73" s="235" t="str" cm="1">
        <f t="array" ref="D73">Common_InputFunctions.Utility_DisplayArrayInTable(Fuel_SourceData.Fuel_Scope1Scope3EmissionFactorsStationaryLiquid_Data(), Table_Fuel_EFs_StationaryLiquid[[#Headers],[Fuel combusted]],0)</f>
        <v>Biodiesel</v>
      </c>
      <c r="E73" s="235" cm="1">
        <f t="array" ref="E73">Common_InputFunctions.Utility_DisplayArrayInTable(Fuel_SourceData.Fuel_Scope1Scope3EmissionFactorsStationaryLiquid_Data(), Table_Fuel_EFs_StationaryLiquid[[#Headers],[Fuel combusted]],0)</f>
        <v>34.6</v>
      </c>
      <c r="F73" s="235" t="str" cm="1">
        <f t="array" ref="F73">Common_InputFunctions.Utility_DisplayArrayInTable(Fuel_SourceData.Fuel_Scope1Scope3EmissionFactorsStationaryLiquid_Data(), Table_Fuel_EFs_StationaryLiquid[[#Headers],[Fuel combusted]],0)</f>
        <v>kL</v>
      </c>
      <c r="G73" s="235" cm="1">
        <f t="array" ref="G73">Common_InputFunctions.Utility_DisplayArrayInTable(Fuel_SourceData.Fuel_Scope1Scope3EmissionFactorsStationaryLiquid_Data(), Table_Fuel_EFs_StationaryLiquid[[#Headers],[Fuel combusted]],0)</f>
        <v>0</v>
      </c>
      <c r="H73" s="235" cm="1">
        <f t="array" ref="H73">Common_InputFunctions.Utility_DisplayArrayInTable(Fuel_SourceData.Fuel_Scope1Scope3EmissionFactorsStationaryLiquid_Data(), Table_Fuel_EFs_StationaryLiquid[[#Headers],[Fuel combusted]],0)</f>
        <v>0.08</v>
      </c>
      <c r="I73" s="235" cm="1">
        <f t="array" ref="I73">Common_InputFunctions.Utility_DisplayArrayInTable(Fuel_SourceData.Fuel_Scope1Scope3EmissionFactorsStationaryLiquid_Data(), Table_Fuel_EFs_StationaryLiquid[[#Headers],[Fuel combusted]],0)</f>
        <v>0.2</v>
      </c>
      <c r="J73" s="235" cm="1">
        <f t="array" ref="J73">Common_InputFunctions.Utility_DisplayArrayInTable(Fuel_SourceData.Fuel_Scope1Scope3EmissionFactorsStationaryLiquid_Data(), Table_Fuel_EFs_StationaryLiquid[[#Headers],[Fuel combusted]],0)</f>
        <v>0.28000000000000003</v>
      </c>
      <c r="K73" s="235" t="str" cm="1">
        <f t="array" ref="K73">Common_InputFunctions.Utility_DisplayArrayInTable(Fuel_SourceData.Fuel_Scope1Scope3EmissionFactorsStationaryLiquid_Data(), Table_Fuel_EFs_StationaryLiquid[[#Headers],[Fuel combusted]],0)</f>
        <v>NE</v>
      </c>
      <c r="L73" s="184"/>
    </row>
    <row r="74" spans="1:13" ht="20.100000000000001" customHeight="1" x14ac:dyDescent="0.25">
      <c r="D74" s="235" t="str" cm="1">
        <f t="array" ref="D74">Common_InputFunctions.Utility_DisplayArrayInTable(Fuel_SourceData.Fuel_Scope1Scope3EmissionFactorsStationaryLiquid_Data(), Table_Fuel_EFs_StationaryLiquid[[#Headers],[Fuel combusted]],0)</f>
        <v>Ethanol for use as a fuel in an internal combustion engine</v>
      </c>
      <c r="E74" s="235" cm="1">
        <f t="array" ref="E74">Common_InputFunctions.Utility_DisplayArrayInTable(Fuel_SourceData.Fuel_Scope1Scope3EmissionFactorsStationaryLiquid_Data(), Table_Fuel_EFs_StationaryLiquid[[#Headers],[Fuel combusted]],0)</f>
        <v>23.4</v>
      </c>
      <c r="F74" s="235" t="str" cm="1">
        <f t="array" ref="F74">Common_InputFunctions.Utility_DisplayArrayInTable(Fuel_SourceData.Fuel_Scope1Scope3EmissionFactorsStationaryLiquid_Data(), Table_Fuel_EFs_StationaryLiquid[[#Headers],[Fuel combusted]],0)</f>
        <v>kL</v>
      </c>
      <c r="G74" s="235" cm="1">
        <f t="array" ref="G74">Common_InputFunctions.Utility_DisplayArrayInTable(Fuel_SourceData.Fuel_Scope1Scope3EmissionFactorsStationaryLiquid_Data(), Table_Fuel_EFs_StationaryLiquid[[#Headers],[Fuel combusted]],0)</f>
        <v>0</v>
      </c>
      <c r="H74" s="235" cm="1">
        <f t="array" ref="H74">Common_InputFunctions.Utility_DisplayArrayInTable(Fuel_SourceData.Fuel_Scope1Scope3EmissionFactorsStationaryLiquid_Data(), Table_Fuel_EFs_StationaryLiquid[[#Headers],[Fuel combusted]],0)</f>
        <v>0.08</v>
      </c>
      <c r="I74" s="235" cm="1">
        <f t="array" ref="I74">Common_InputFunctions.Utility_DisplayArrayInTable(Fuel_SourceData.Fuel_Scope1Scope3EmissionFactorsStationaryLiquid_Data(), Table_Fuel_EFs_StationaryLiquid[[#Headers],[Fuel combusted]],0)</f>
        <v>0.2</v>
      </c>
      <c r="J74" s="235" cm="1">
        <f t="array" ref="J74">Common_InputFunctions.Utility_DisplayArrayInTable(Fuel_SourceData.Fuel_Scope1Scope3EmissionFactorsStationaryLiquid_Data(), Table_Fuel_EFs_StationaryLiquid[[#Headers],[Fuel combusted]],0)</f>
        <v>0.28000000000000003</v>
      </c>
      <c r="K74" s="235" t="str" cm="1">
        <f t="array" ref="K74">Common_InputFunctions.Utility_DisplayArrayInTable(Fuel_SourceData.Fuel_Scope1Scope3EmissionFactorsStationaryLiquid_Data(), Table_Fuel_EFs_StationaryLiquid[[#Headers],[Fuel combusted]],0)</f>
        <v>NE</v>
      </c>
      <c r="L74" s="184"/>
    </row>
    <row r="75" spans="1:13" ht="20.100000000000001" customHeight="1" x14ac:dyDescent="0.25">
      <c r="D75" s="235" t="str" cm="1">
        <f t="array" ref="D75">Common_InputFunctions.Utility_DisplayArrayInTable(Fuel_SourceData.Fuel_Scope1Scope3EmissionFactorsStationaryLiquid_Data(), Table_Fuel_EFs_StationaryLiquid[[#Headers],[Fuel combusted]],0)</f>
        <v>Biofuels other than those mentioned in the items above and below</v>
      </c>
      <c r="E75" s="235" cm="1">
        <f t="array" ref="E75">Common_InputFunctions.Utility_DisplayArrayInTable(Fuel_SourceData.Fuel_Scope1Scope3EmissionFactorsStationaryLiquid_Data(), Table_Fuel_EFs_StationaryLiquid[[#Headers],[Fuel combusted]],0)</f>
        <v>23.4</v>
      </c>
      <c r="F75" s="235" t="str" cm="1">
        <f t="array" ref="F75">Common_InputFunctions.Utility_DisplayArrayInTable(Fuel_SourceData.Fuel_Scope1Scope3EmissionFactorsStationaryLiquid_Data(), Table_Fuel_EFs_StationaryLiquid[[#Headers],[Fuel combusted]],0)</f>
        <v>kL</v>
      </c>
      <c r="G75" s="235" cm="1">
        <f t="array" ref="G75">Common_InputFunctions.Utility_DisplayArrayInTable(Fuel_SourceData.Fuel_Scope1Scope3EmissionFactorsStationaryLiquid_Data(), Table_Fuel_EFs_StationaryLiquid[[#Headers],[Fuel combusted]],0)</f>
        <v>0</v>
      </c>
      <c r="H75" s="235" cm="1">
        <f t="array" ref="H75">Common_InputFunctions.Utility_DisplayArrayInTable(Fuel_SourceData.Fuel_Scope1Scope3EmissionFactorsStationaryLiquid_Data(), Table_Fuel_EFs_StationaryLiquid[[#Headers],[Fuel combusted]],0)</f>
        <v>0.08</v>
      </c>
      <c r="I75" s="235" cm="1">
        <f t="array" ref="I75">Common_InputFunctions.Utility_DisplayArrayInTable(Fuel_SourceData.Fuel_Scope1Scope3EmissionFactorsStationaryLiquid_Data(), Table_Fuel_EFs_StationaryLiquid[[#Headers],[Fuel combusted]],0)</f>
        <v>0.2</v>
      </c>
      <c r="J75" s="235" cm="1">
        <f t="array" ref="J75">Common_InputFunctions.Utility_DisplayArrayInTable(Fuel_SourceData.Fuel_Scope1Scope3EmissionFactorsStationaryLiquid_Data(), Table_Fuel_EFs_StationaryLiquid[[#Headers],[Fuel combusted]],0)</f>
        <v>0.28000000000000003</v>
      </c>
      <c r="K75" s="235" t="str" cm="1">
        <f t="array" ref="K75">Common_InputFunctions.Utility_DisplayArrayInTable(Fuel_SourceData.Fuel_Scope1Scope3EmissionFactorsStationaryLiquid_Data(), Table_Fuel_EFs_StationaryLiquid[[#Headers],[Fuel combusted]],0)</f>
        <v>NE</v>
      </c>
      <c r="L75" s="184"/>
    </row>
    <row r="76" spans="1:13" ht="20.100000000000001" customHeight="1" x14ac:dyDescent="0.25">
      <c r="D76" s="235" t="str" cm="1">
        <f t="array" ref="D76">Common_InputFunctions.Utility_DisplayArrayInTable(Fuel_SourceData.Fuel_Scope1Scope3EmissionFactorsStationaryLiquid_Data(), Table_Fuel_EFs_StationaryLiquid[[#Headers],[Fuel combusted]],0)</f>
        <v>Renewable aviation kerosene</v>
      </c>
      <c r="E76" s="235" cm="1">
        <f t="array" ref="E76">Common_InputFunctions.Utility_DisplayArrayInTable(Fuel_SourceData.Fuel_Scope1Scope3EmissionFactorsStationaryLiquid_Data(), Table_Fuel_EFs_StationaryLiquid[[#Headers],[Fuel combusted]],0)</f>
        <v>36.799999999999997</v>
      </c>
      <c r="F76" s="235" t="str" cm="1">
        <f t="array" ref="F76">Common_InputFunctions.Utility_DisplayArrayInTable(Fuel_SourceData.Fuel_Scope1Scope3EmissionFactorsStationaryLiquid_Data(), Table_Fuel_EFs_StationaryLiquid[[#Headers],[Fuel combusted]],0)</f>
        <v>kL</v>
      </c>
      <c r="G76" s="235" cm="1">
        <f t="array" ref="G76">Common_InputFunctions.Utility_DisplayArrayInTable(Fuel_SourceData.Fuel_Scope1Scope3EmissionFactorsStationaryLiquid_Data(), Table_Fuel_EFs_StationaryLiquid[[#Headers],[Fuel combusted]],0)</f>
        <v>0</v>
      </c>
      <c r="H76" s="235" cm="1">
        <f t="array" ref="H76">Common_InputFunctions.Utility_DisplayArrayInTable(Fuel_SourceData.Fuel_Scope1Scope3EmissionFactorsStationaryLiquid_Data(), Table_Fuel_EFs_StationaryLiquid[[#Headers],[Fuel combusted]],0)</f>
        <v>0.02</v>
      </c>
      <c r="I76" s="235" cm="1">
        <f t="array" ref="I76">Common_InputFunctions.Utility_DisplayArrayInTable(Fuel_SourceData.Fuel_Scope1Scope3EmissionFactorsStationaryLiquid_Data(), Table_Fuel_EFs_StationaryLiquid[[#Headers],[Fuel combusted]],0)</f>
        <v>0.2</v>
      </c>
      <c r="J76" s="235" cm="1">
        <f t="array" ref="J76">Common_InputFunctions.Utility_DisplayArrayInTable(Fuel_SourceData.Fuel_Scope1Scope3EmissionFactorsStationaryLiquid_Data(), Table_Fuel_EFs_StationaryLiquid[[#Headers],[Fuel combusted]],0)</f>
        <v>0.22</v>
      </c>
      <c r="K76" s="235" t="str" cm="1">
        <f t="array" ref="K76">Common_InputFunctions.Utility_DisplayArrayInTable(Fuel_SourceData.Fuel_Scope1Scope3EmissionFactorsStationaryLiquid_Data(), Table_Fuel_EFs_StationaryLiquid[[#Headers],[Fuel combusted]],0)</f>
        <v>NE</v>
      </c>
      <c r="L76" s="184"/>
    </row>
    <row r="77" spans="1:13" ht="20.100000000000001" customHeight="1" x14ac:dyDescent="0.25">
      <c r="D77" s="235" t="str" cm="1">
        <f t="array" ref="D77">Common_InputFunctions.Utility_DisplayArrayInTable(Fuel_SourceData.Fuel_Scope1Scope3EmissionFactorsStationaryLiquid_Data(), Table_Fuel_EFs_StationaryLiquid[[#Headers],[Fuel combusted]],0)</f>
        <v>Renewable diesel</v>
      </c>
      <c r="E77" s="235" cm="1">
        <f t="array" ref="E77">Common_InputFunctions.Utility_DisplayArrayInTable(Fuel_SourceData.Fuel_Scope1Scope3EmissionFactorsStationaryLiquid_Data(), Table_Fuel_EFs_StationaryLiquid[[#Headers],[Fuel combusted]],0)</f>
        <v>38.6</v>
      </c>
      <c r="F77" s="235" t="str" cm="1">
        <f t="array" ref="F77">Common_InputFunctions.Utility_DisplayArrayInTable(Fuel_SourceData.Fuel_Scope1Scope3EmissionFactorsStationaryLiquid_Data(), Table_Fuel_EFs_StationaryLiquid[[#Headers],[Fuel combusted]],0)</f>
        <v>kL</v>
      </c>
      <c r="G77" s="235" cm="1">
        <f t="array" ref="G77">Common_InputFunctions.Utility_DisplayArrayInTable(Fuel_SourceData.Fuel_Scope1Scope3EmissionFactorsStationaryLiquid_Data(), Table_Fuel_EFs_StationaryLiquid[[#Headers],[Fuel combusted]],0)</f>
        <v>0</v>
      </c>
      <c r="H77" s="235" cm="1">
        <f t="array" ref="H77">Common_InputFunctions.Utility_DisplayArrayInTable(Fuel_SourceData.Fuel_Scope1Scope3EmissionFactorsStationaryLiquid_Data(), Table_Fuel_EFs_StationaryLiquid[[#Headers],[Fuel combusted]],0)</f>
        <v>0.1</v>
      </c>
      <c r="I77" s="235" cm="1">
        <f t="array" ref="I77">Common_InputFunctions.Utility_DisplayArrayInTable(Fuel_SourceData.Fuel_Scope1Scope3EmissionFactorsStationaryLiquid_Data(), Table_Fuel_EFs_StationaryLiquid[[#Headers],[Fuel combusted]],0)</f>
        <v>0.2</v>
      </c>
      <c r="J77" s="235" cm="1">
        <f t="array" ref="J77">Common_InputFunctions.Utility_DisplayArrayInTable(Fuel_SourceData.Fuel_Scope1Scope3EmissionFactorsStationaryLiquid_Data(), Table_Fuel_EFs_StationaryLiquid[[#Headers],[Fuel combusted]],0)</f>
        <v>0.3</v>
      </c>
      <c r="K77" s="235" t="str" cm="1">
        <f t="array" ref="K77">Common_InputFunctions.Utility_DisplayArrayInTable(Fuel_SourceData.Fuel_Scope1Scope3EmissionFactorsStationaryLiquid_Data(), Table_Fuel_EFs_StationaryLiquid[[#Headers],[Fuel combusted]],0)</f>
        <v>NE</v>
      </c>
      <c r="L77" s="184"/>
    </row>
    <row r="78" spans="1:13" ht="20.100000000000001" customHeight="1" x14ac:dyDescent="0.25">
      <c r="D78" s="184"/>
      <c r="E78" s="184"/>
      <c r="F78" s="184"/>
      <c r="G78" s="184"/>
      <c r="H78" s="184"/>
      <c r="I78" s="184"/>
      <c r="J78" s="184"/>
      <c r="K78" s="184"/>
      <c r="L78" s="184"/>
    </row>
    <row r="79" spans="1:13" ht="20.100000000000001" customHeight="1" x14ac:dyDescent="0.25">
      <c r="D79" s="184"/>
      <c r="E79" s="184"/>
      <c r="F79" s="184"/>
      <c r="G79" s="184"/>
      <c r="H79" s="184"/>
      <c r="I79" s="184"/>
      <c r="J79" s="184"/>
      <c r="K79" s="184"/>
      <c r="L79" s="184"/>
      <c r="M79" s="184"/>
    </row>
    <row r="80" spans="1:13" ht="20.100000000000001" customHeight="1" x14ac:dyDescent="0.25">
      <c r="D80" s="184"/>
      <c r="E80" s="184"/>
      <c r="F80" s="184"/>
      <c r="G80" s="184"/>
      <c r="H80" s="184"/>
      <c r="I80" s="184"/>
      <c r="J80" s="184"/>
      <c r="K80" s="184"/>
      <c r="L80" s="184"/>
      <c r="M80" s="184"/>
    </row>
    <row r="81" spans="4:12" ht="20.100000000000001" customHeight="1" x14ac:dyDescent="0.25">
      <c r="D81" s="2" t="str" cm="1">
        <f t="array" ref="D81">Fuel_SourceData.Fuel_Scope1EmissionFactorsStationaryGaseous_Title()</f>
        <v>Fuel scope 1 emission factors - Stationary gaseous fuels</v>
      </c>
      <c r="E81" s="184"/>
      <c r="F81" s="184"/>
      <c r="G81" s="184"/>
      <c r="H81" s="184"/>
      <c r="I81" s="184"/>
      <c r="J81" s="184"/>
      <c r="K81" s="184"/>
      <c r="L81" s="184"/>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184"/>
      <c r="F82" s="184"/>
      <c r="G82" s="184"/>
      <c r="H82" s="184"/>
      <c r="I82" s="184"/>
      <c r="J82" s="184"/>
      <c r="K82" s="184"/>
      <c r="L82" s="184"/>
    </row>
    <row r="83" spans="4:12" ht="20.100000000000001" customHeight="1" x14ac:dyDescent="0.25">
      <c r="D83" s="17" t="str" cm="1">
        <f t="array" ref="D83">Fuel_SourceData.Fuel_Scope1EmissionFactorsStationaryGaseous_Source()</f>
        <v>Australian National Greenhouse Accounts Factors 2025 - Table 5</v>
      </c>
      <c r="E83" s="184"/>
      <c r="F83" s="184"/>
      <c r="G83" s="184"/>
      <c r="H83" s="184"/>
      <c r="I83" s="184"/>
      <c r="J83" s="184"/>
      <c r="K83" s="184"/>
      <c r="L83" s="184"/>
    </row>
    <row r="84" spans="4:12" ht="20.100000000000001" customHeight="1" x14ac:dyDescent="0.25">
      <c r="D84" s="25"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84"/>
      <c r="F84" s="184"/>
      <c r="G84" s="184"/>
      <c r="H84" s="184"/>
      <c r="I84" s="184"/>
      <c r="J84" s="184"/>
      <c r="K84" s="184"/>
      <c r="L84" s="184"/>
    </row>
    <row r="85" spans="4:12" ht="20.100000000000001" customHeight="1" x14ac:dyDescent="0.25">
      <c r="D85" s="184"/>
      <c r="E85" s="184"/>
      <c r="F85" s="184"/>
      <c r="G85" s="184"/>
      <c r="H85" s="184"/>
      <c r="I85" s="184"/>
      <c r="J85" s="184"/>
      <c r="K85" s="184"/>
      <c r="L85" s="184"/>
    </row>
    <row r="86" spans="4:12" ht="20.100000000000001" customHeight="1" x14ac:dyDescent="0.25">
      <c r="D86" s="201" t="s">
        <v>961</v>
      </c>
      <c r="E86" s="232" t="s">
        <v>962</v>
      </c>
      <c r="F86" s="201" t="s">
        <v>963</v>
      </c>
      <c r="G86" s="232" t="s">
        <v>964</v>
      </c>
      <c r="H86" s="232" t="s">
        <v>965</v>
      </c>
      <c r="I86" s="232" t="s">
        <v>966</v>
      </c>
      <c r="J86" s="232" t="s">
        <v>967</v>
      </c>
      <c r="K86" s="184"/>
      <c r="L86" s="184"/>
    </row>
    <row r="87" spans="4:12" ht="20.100000000000001" customHeight="1" x14ac:dyDescent="0.25">
      <c r="D87" s="235" t="str" cm="1">
        <f t="array" ref="D87">Common_InputFunctions.Utility_DisplayArrayInTable(Fuel_SourceData.Fuel_Scope1EmissionFactorsStationaryGaseous_Data(), Table_Fuel_EFs_StationaryGaseous[[#Headers],[Fuel combusted]],0)</f>
        <v>Natural gas distributed in a pipeline</v>
      </c>
      <c r="E87" s="235" cm="1">
        <f t="array" ref="E87">Common_InputFunctions.Utility_DisplayArrayInTable(Fuel_SourceData.Fuel_Scope1EmissionFactorsStationaryGaseous_Data(), Table_Fuel_EFs_StationaryGaseous[[#Headers],[Fuel combusted]],0)</f>
        <v>3.9300000000000002E-2</v>
      </c>
      <c r="F87" s="235" t="str" cm="1">
        <f t="array" ref="F87">Common_InputFunctions.Utility_DisplayArrayInTable(Fuel_SourceData.Fuel_Scope1EmissionFactorsStationaryGaseous_Data(), Table_Fuel_EFs_StationaryGaseous[[#Headers],[Fuel combusted]],0)</f>
        <v>m3</v>
      </c>
      <c r="G87" s="235" cm="1">
        <f t="array" ref="G87">Common_InputFunctions.Utility_DisplayArrayInTable(Fuel_SourceData.Fuel_Scope1EmissionFactorsStationaryGaseous_Data(), Table_Fuel_EFs_StationaryGaseous[[#Headers],[Fuel combusted]],0)</f>
        <v>51.4</v>
      </c>
      <c r="H87" s="235" cm="1">
        <f t="array" ref="H87">Common_InputFunctions.Utility_DisplayArrayInTable(Fuel_SourceData.Fuel_Scope1EmissionFactorsStationaryGaseous_Data(), Table_Fuel_EFs_StationaryGaseous[[#Headers],[Fuel combusted]],0)</f>
        <v>0.1</v>
      </c>
      <c r="I87" s="235" cm="1">
        <f t="array" ref="I87">Common_InputFunctions.Utility_DisplayArrayInTable(Fuel_SourceData.Fuel_Scope1EmissionFactorsStationaryGaseous_Data(), Table_Fuel_EFs_StationaryGaseous[[#Headers],[Fuel combusted]],0)</f>
        <v>0.03</v>
      </c>
      <c r="J87" s="235" cm="1">
        <f t="array" ref="J87">Common_InputFunctions.Utility_DisplayArrayInTable(Fuel_SourceData.Fuel_Scope1EmissionFactorsStationaryGaseous_Data(), Table_Fuel_EFs_StationaryGaseous[[#Headers],[Fuel combusted]],0)</f>
        <v>51.53</v>
      </c>
      <c r="K87" s="184"/>
      <c r="L87" s="184"/>
    </row>
    <row r="88" spans="4:12" ht="20.100000000000001" customHeight="1" x14ac:dyDescent="0.25">
      <c r="D88" s="235" t="str" cm="1">
        <f t="array" ref="D88">Common_InputFunctions.Utility_DisplayArrayInTable(Fuel_SourceData.Fuel_Scope1EmissionFactorsStationaryGaseous_Data(), Table_Fuel_EFs_StationaryGaseous[[#Headers],[Fuel combusted]],0)</f>
        <v>Coal seam methane that is captured for combustion</v>
      </c>
      <c r="E88" s="235" cm="1">
        <f t="array" ref="E88">Common_InputFunctions.Utility_DisplayArrayInTable(Fuel_SourceData.Fuel_Scope1EmissionFactorsStationaryGaseous_Data(), Table_Fuel_EFs_StationaryGaseous[[#Headers],[Fuel combusted]],0)</f>
        <v>3.7699999999999997E-2</v>
      </c>
      <c r="F88" s="235" t="str" cm="1">
        <f t="array" ref="F88">Common_InputFunctions.Utility_DisplayArrayInTable(Fuel_SourceData.Fuel_Scope1EmissionFactorsStationaryGaseous_Data(), Table_Fuel_EFs_StationaryGaseous[[#Headers],[Fuel combusted]],0)</f>
        <v>m3</v>
      </c>
      <c r="G88" s="235" cm="1">
        <f t="array" ref="G88">Common_InputFunctions.Utility_DisplayArrayInTable(Fuel_SourceData.Fuel_Scope1EmissionFactorsStationaryGaseous_Data(), Table_Fuel_EFs_StationaryGaseous[[#Headers],[Fuel combusted]],0)</f>
        <v>51.4</v>
      </c>
      <c r="H88" s="235" cm="1">
        <f t="array" ref="H88">Common_InputFunctions.Utility_DisplayArrayInTable(Fuel_SourceData.Fuel_Scope1EmissionFactorsStationaryGaseous_Data(), Table_Fuel_EFs_StationaryGaseous[[#Headers],[Fuel combusted]],0)</f>
        <v>0.2</v>
      </c>
      <c r="I88" s="235" cm="1">
        <f t="array" ref="I88">Common_InputFunctions.Utility_DisplayArrayInTable(Fuel_SourceData.Fuel_Scope1EmissionFactorsStationaryGaseous_Data(), Table_Fuel_EFs_StationaryGaseous[[#Headers],[Fuel combusted]],0)</f>
        <v>0.03</v>
      </c>
      <c r="J88" s="235" cm="1">
        <f t="array" ref="J88">Common_InputFunctions.Utility_DisplayArrayInTable(Fuel_SourceData.Fuel_Scope1EmissionFactorsStationaryGaseous_Data(), Table_Fuel_EFs_StationaryGaseous[[#Headers],[Fuel combusted]],0)</f>
        <v>51.63</v>
      </c>
      <c r="K88" s="184"/>
      <c r="L88" s="184"/>
    </row>
    <row r="89" spans="4:12" ht="20.100000000000001" customHeight="1" x14ac:dyDescent="0.25">
      <c r="D89" s="235" t="str" cm="1">
        <f t="array" ref="D89">Common_InputFunctions.Utility_DisplayArrayInTable(Fuel_SourceData.Fuel_Scope1EmissionFactorsStationaryGaseous_Data(), Table_Fuel_EFs_StationaryGaseous[[#Headers],[Fuel combusted]],0)</f>
        <v>Coal mine waste gas that is captured for combustion</v>
      </c>
      <c r="E89" s="235" cm="1">
        <f t="array" ref="E89">Common_InputFunctions.Utility_DisplayArrayInTable(Fuel_SourceData.Fuel_Scope1EmissionFactorsStationaryGaseous_Data(), Table_Fuel_EFs_StationaryGaseous[[#Headers],[Fuel combusted]],0)</f>
        <v>3.7699999999999997E-2</v>
      </c>
      <c r="F89" s="235" t="str" cm="1">
        <f t="array" ref="F89">Common_InputFunctions.Utility_DisplayArrayInTable(Fuel_SourceData.Fuel_Scope1EmissionFactorsStationaryGaseous_Data(), Table_Fuel_EFs_StationaryGaseous[[#Headers],[Fuel combusted]],0)</f>
        <v>m3</v>
      </c>
      <c r="G89" s="235" cm="1">
        <f t="array" ref="G89">Common_InputFunctions.Utility_DisplayArrayInTable(Fuel_SourceData.Fuel_Scope1EmissionFactorsStationaryGaseous_Data(), Table_Fuel_EFs_StationaryGaseous[[#Headers],[Fuel combusted]],0)</f>
        <v>51.9</v>
      </c>
      <c r="H89" s="235" cm="1">
        <f t="array" ref="H89">Common_InputFunctions.Utility_DisplayArrayInTable(Fuel_SourceData.Fuel_Scope1EmissionFactorsStationaryGaseous_Data(), Table_Fuel_EFs_StationaryGaseous[[#Headers],[Fuel combusted]],0)</f>
        <v>4.5999999999999996</v>
      </c>
      <c r="I89" s="235" cm="1">
        <f t="array" ref="I89">Common_InputFunctions.Utility_DisplayArrayInTable(Fuel_SourceData.Fuel_Scope1EmissionFactorsStationaryGaseous_Data(), Table_Fuel_EFs_StationaryGaseous[[#Headers],[Fuel combusted]],0)</f>
        <v>0.3</v>
      </c>
      <c r="J89" s="235" cm="1">
        <f t="array" ref="J89">Common_InputFunctions.Utility_DisplayArrayInTable(Fuel_SourceData.Fuel_Scope1EmissionFactorsStationaryGaseous_Data(), Table_Fuel_EFs_StationaryGaseous[[#Headers],[Fuel combusted]],0)</f>
        <v>56.8</v>
      </c>
      <c r="K89" s="184"/>
      <c r="L89" s="184"/>
    </row>
    <row r="90" spans="4:12" ht="20.100000000000001" customHeight="1" x14ac:dyDescent="0.25">
      <c r="D90" s="235" t="str" cm="1">
        <f t="array" ref="D90">Common_InputFunctions.Utility_DisplayArrayInTable(Fuel_SourceData.Fuel_Scope1EmissionFactorsStationaryGaseous_Data(), Table_Fuel_EFs_StationaryGaseous[[#Headers],[Fuel combusted]],0)</f>
        <v>Compressed natural gas(reverting to standard conditions)</v>
      </c>
      <c r="E90" s="235" cm="1">
        <f t="array" ref="E90">Common_InputFunctions.Utility_DisplayArrayInTable(Fuel_SourceData.Fuel_Scope1EmissionFactorsStationaryGaseous_Data(), Table_Fuel_EFs_StationaryGaseous[[#Headers],[Fuel combusted]],0)</f>
        <v>3.9300000000000002E-2</v>
      </c>
      <c r="F90" s="235" t="str" cm="1">
        <f t="array" ref="F90">Common_InputFunctions.Utility_DisplayArrayInTable(Fuel_SourceData.Fuel_Scope1EmissionFactorsStationaryGaseous_Data(), Table_Fuel_EFs_StationaryGaseous[[#Headers],[Fuel combusted]],0)</f>
        <v>m3</v>
      </c>
      <c r="G90" s="235" cm="1">
        <f t="array" ref="G90">Common_InputFunctions.Utility_DisplayArrayInTable(Fuel_SourceData.Fuel_Scope1EmissionFactorsStationaryGaseous_Data(), Table_Fuel_EFs_StationaryGaseous[[#Headers],[Fuel combusted]],0)</f>
        <v>51.4</v>
      </c>
      <c r="H90" s="235" cm="1">
        <f t="array" ref="H90">Common_InputFunctions.Utility_DisplayArrayInTable(Fuel_SourceData.Fuel_Scope1EmissionFactorsStationaryGaseous_Data(), Table_Fuel_EFs_StationaryGaseous[[#Headers],[Fuel combusted]],0)</f>
        <v>0.1</v>
      </c>
      <c r="I90" s="235" cm="1">
        <f t="array" ref="I90">Common_InputFunctions.Utility_DisplayArrayInTable(Fuel_SourceData.Fuel_Scope1EmissionFactorsStationaryGaseous_Data(), Table_Fuel_EFs_StationaryGaseous[[#Headers],[Fuel combusted]],0)</f>
        <v>0.03</v>
      </c>
      <c r="J90" s="235" cm="1">
        <f t="array" ref="J90">Common_InputFunctions.Utility_DisplayArrayInTable(Fuel_SourceData.Fuel_Scope1EmissionFactorsStationaryGaseous_Data(), Table_Fuel_EFs_StationaryGaseous[[#Headers],[Fuel combusted]],0)</f>
        <v>51.53</v>
      </c>
      <c r="K90" s="184"/>
      <c r="L90" s="184"/>
    </row>
    <row r="91" spans="4:12" ht="20.100000000000001" customHeight="1" x14ac:dyDescent="0.25">
      <c r="D91" s="235" t="str" cm="1">
        <f t="array" ref="D91">Common_InputFunctions.Utility_DisplayArrayInTable(Fuel_SourceData.Fuel_Scope1EmissionFactorsStationaryGaseous_Data(), Table_Fuel_EFs_StationaryGaseous[[#Headers],[Fuel combusted]],0)</f>
        <v>Unprocessed natural gas</v>
      </c>
      <c r="E91" s="235" cm="1">
        <f t="array" ref="E91">Common_InputFunctions.Utility_DisplayArrayInTable(Fuel_SourceData.Fuel_Scope1EmissionFactorsStationaryGaseous_Data(), Table_Fuel_EFs_StationaryGaseous[[#Headers],[Fuel combusted]],0)</f>
        <v>3.9300000000000002E-2</v>
      </c>
      <c r="F91" s="235" t="str" cm="1">
        <f t="array" ref="F91">Common_InputFunctions.Utility_DisplayArrayInTable(Fuel_SourceData.Fuel_Scope1EmissionFactorsStationaryGaseous_Data(), Table_Fuel_EFs_StationaryGaseous[[#Headers],[Fuel combusted]],0)</f>
        <v>m3</v>
      </c>
      <c r="G91" s="235" cm="1">
        <f t="array" ref="G91">Common_InputFunctions.Utility_DisplayArrayInTable(Fuel_SourceData.Fuel_Scope1EmissionFactorsStationaryGaseous_Data(), Table_Fuel_EFs_StationaryGaseous[[#Headers],[Fuel combusted]],0)</f>
        <v>51.4</v>
      </c>
      <c r="H91" s="235" cm="1">
        <f t="array" ref="H91">Common_InputFunctions.Utility_DisplayArrayInTable(Fuel_SourceData.Fuel_Scope1EmissionFactorsStationaryGaseous_Data(), Table_Fuel_EFs_StationaryGaseous[[#Headers],[Fuel combusted]],0)</f>
        <v>0.1</v>
      </c>
      <c r="I91" s="235" cm="1">
        <f t="array" ref="I91">Common_InputFunctions.Utility_DisplayArrayInTable(Fuel_SourceData.Fuel_Scope1EmissionFactorsStationaryGaseous_Data(), Table_Fuel_EFs_StationaryGaseous[[#Headers],[Fuel combusted]],0)</f>
        <v>0.03</v>
      </c>
      <c r="J91" s="235" cm="1">
        <f t="array" ref="J91">Common_InputFunctions.Utility_DisplayArrayInTable(Fuel_SourceData.Fuel_Scope1EmissionFactorsStationaryGaseous_Data(), Table_Fuel_EFs_StationaryGaseous[[#Headers],[Fuel combusted]],0)</f>
        <v>51.53</v>
      </c>
      <c r="K91" s="184"/>
      <c r="L91" s="184"/>
    </row>
    <row r="92" spans="4:12" ht="20.100000000000001" customHeight="1" x14ac:dyDescent="0.25">
      <c r="D92" s="235" t="str" cm="1">
        <f t="array" ref="D92">Common_InputFunctions.Utility_DisplayArrayInTable(Fuel_SourceData.Fuel_Scope1EmissionFactorsStationaryGaseous_Data(), Table_Fuel_EFs_StationaryGaseous[[#Headers],[Fuel combusted]],0)</f>
        <v>Ethane</v>
      </c>
      <c r="E92" s="235" cm="1">
        <f t="array" ref="E92">Common_InputFunctions.Utility_DisplayArrayInTable(Fuel_SourceData.Fuel_Scope1EmissionFactorsStationaryGaseous_Data(), Table_Fuel_EFs_StationaryGaseous[[#Headers],[Fuel combusted]],0)</f>
        <v>6.2899999999999998E-2</v>
      </c>
      <c r="F92" s="235" t="str" cm="1">
        <f t="array" ref="F92">Common_InputFunctions.Utility_DisplayArrayInTable(Fuel_SourceData.Fuel_Scope1EmissionFactorsStationaryGaseous_Data(), Table_Fuel_EFs_StationaryGaseous[[#Headers],[Fuel combusted]],0)</f>
        <v>m3</v>
      </c>
      <c r="G92" s="235" cm="1">
        <f t="array" ref="G92">Common_InputFunctions.Utility_DisplayArrayInTable(Fuel_SourceData.Fuel_Scope1EmissionFactorsStationaryGaseous_Data(), Table_Fuel_EFs_StationaryGaseous[[#Headers],[Fuel combusted]],0)</f>
        <v>56.5</v>
      </c>
      <c r="H92" s="235" cm="1">
        <f t="array" ref="H92">Common_InputFunctions.Utility_DisplayArrayInTable(Fuel_SourceData.Fuel_Scope1EmissionFactorsStationaryGaseous_Data(), Table_Fuel_EFs_StationaryGaseous[[#Headers],[Fuel combusted]],0)</f>
        <v>0.03</v>
      </c>
      <c r="I92" s="235" cm="1">
        <f t="array" ref="I92">Common_InputFunctions.Utility_DisplayArrayInTable(Fuel_SourceData.Fuel_Scope1EmissionFactorsStationaryGaseous_Data(), Table_Fuel_EFs_StationaryGaseous[[#Headers],[Fuel combusted]],0)</f>
        <v>0.03</v>
      </c>
      <c r="J92" s="235" cm="1">
        <f t="array" ref="J92">Common_InputFunctions.Utility_DisplayArrayInTable(Fuel_SourceData.Fuel_Scope1EmissionFactorsStationaryGaseous_Data(), Table_Fuel_EFs_StationaryGaseous[[#Headers],[Fuel combusted]],0)</f>
        <v>56.56</v>
      </c>
      <c r="K92" s="184"/>
      <c r="L92" s="184"/>
    </row>
    <row r="93" spans="4:12" ht="20.100000000000001" customHeight="1" x14ac:dyDescent="0.25">
      <c r="D93" s="235" t="str" cm="1">
        <f t="array" ref="D93">Common_InputFunctions.Utility_DisplayArrayInTable(Fuel_SourceData.Fuel_Scope1EmissionFactorsStationaryGaseous_Data(), Table_Fuel_EFs_StationaryGaseous[[#Headers],[Fuel combusted]],0)</f>
        <v>Coke oven gas</v>
      </c>
      <c r="E93" s="235" cm="1">
        <f t="array" ref="E93">Common_InputFunctions.Utility_DisplayArrayInTable(Fuel_SourceData.Fuel_Scope1EmissionFactorsStationaryGaseous_Data(), Table_Fuel_EFs_StationaryGaseous[[#Headers],[Fuel combusted]],0)</f>
        <v>1.8100000000000002E-2</v>
      </c>
      <c r="F93" s="235" t="str" cm="1">
        <f t="array" ref="F93">Common_InputFunctions.Utility_DisplayArrayInTable(Fuel_SourceData.Fuel_Scope1EmissionFactorsStationaryGaseous_Data(), Table_Fuel_EFs_StationaryGaseous[[#Headers],[Fuel combusted]],0)</f>
        <v>m3</v>
      </c>
      <c r="G93" s="235" cm="1">
        <f t="array" ref="G93">Common_InputFunctions.Utility_DisplayArrayInTable(Fuel_SourceData.Fuel_Scope1EmissionFactorsStationaryGaseous_Data(), Table_Fuel_EFs_StationaryGaseous[[#Headers],[Fuel combusted]],0)</f>
        <v>37</v>
      </c>
      <c r="H93" s="235" cm="1">
        <f t="array" ref="H93">Common_InputFunctions.Utility_DisplayArrayInTable(Fuel_SourceData.Fuel_Scope1EmissionFactorsStationaryGaseous_Data(), Table_Fuel_EFs_StationaryGaseous[[#Headers],[Fuel combusted]],0)</f>
        <v>0.03</v>
      </c>
      <c r="I93" s="235" cm="1">
        <f t="array" ref="I93">Common_InputFunctions.Utility_DisplayArrayInTable(Fuel_SourceData.Fuel_Scope1EmissionFactorsStationaryGaseous_Data(), Table_Fuel_EFs_StationaryGaseous[[#Headers],[Fuel combusted]],0)</f>
        <v>0.05</v>
      </c>
      <c r="J93" s="235" cm="1">
        <f t="array" ref="J93">Common_InputFunctions.Utility_DisplayArrayInTable(Fuel_SourceData.Fuel_Scope1EmissionFactorsStationaryGaseous_Data(), Table_Fuel_EFs_StationaryGaseous[[#Headers],[Fuel combusted]],0)</f>
        <v>37.08</v>
      </c>
      <c r="K93" s="184"/>
      <c r="L93" s="184"/>
    </row>
    <row r="94" spans="4:12" ht="20.100000000000001" customHeight="1" x14ac:dyDescent="0.25">
      <c r="D94" s="235" t="str" cm="1">
        <f t="array" ref="D94">Common_InputFunctions.Utility_DisplayArrayInTable(Fuel_SourceData.Fuel_Scope1EmissionFactorsStationaryGaseous_Data(), Table_Fuel_EFs_StationaryGaseous[[#Headers],[Fuel combusted]],0)</f>
        <v>Blast furnace gas</v>
      </c>
      <c r="E94" s="235" cm="1">
        <f t="array" ref="E94">Common_InputFunctions.Utility_DisplayArrayInTable(Fuel_SourceData.Fuel_Scope1EmissionFactorsStationaryGaseous_Data(), Table_Fuel_EFs_StationaryGaseous[[#Headers],[Fuel combusted]],0)</f>
        <v>4.0000000000000001E-3</v>
      </c>
      <c r="F94" s="235" t="str" cm="1">
        <f t="array" ref="F94">Common_InputFunctions.Utility_DisplayArrayInTable(Fuel_SourceData.Fuel_Scope1EmissionFactorsStationaryGaseous_Data(), Table_Fuel_EFs_StationaryGaseous[[#Headers],[Fuel combusted]],0)</f>
        <v>m3</v>
      </c>
      <c r="G94" s="235" cm="1">
        <f t="array" ref="G94">Common_InputFunctions.Utility_DisplayArrayInTable(Fuel_SourceData.Fuel_Scope1EmissionFactorsStationaryGaseous_Data(), Table_Fuel_EFs_StationaryGaseous[[#Headers],[Fuel combusted]],0)</f>
        <v>234</v>
      </c>
      <c r="H94" s="235" cm="1">
        <f t="array" ref="H94">Common_InputFunctions.Utility_DisplayArrayInTable(Fuel_SourceData.Fuel_Scope1EmissionFactorsStationaryGaseous_Data(), Table_Fuel_EFs_StationaryGaseous[[#Headers],[Fuel combusted]],0)</f>
        <v>0.03</v>
      </c>
      <c r="I94" s="235" cm="1">
        <f t="array" ref="I94">Common_InputFunctions.Utility_DisplayArrayInTable(Fuel_SourceData.Fuel_Scope1EmissionFactorsStationaryGaseous_Data(), Table_Fuel_EFs_StationaryGaseous[[#Headers],[Fuel combusted]],0)</f>
        <v>0.02</v>
      </c>
      <c r="J94" s="235" cm="1">
        <f t="array" ref="J94">Common_InputFunctions.Utility_DisplayArrayInTable(Fuel_SourceData.Fuel_Scope1EmissionFactorsStationaryGaseous_Data(), Table_Fuel_EFs_StationaryGaseous[[#Headers],[Fuel combusted]],0)</f>
        <v>234.05</v>
      </c>
      <c r="K94" s="184"/>
      <c r="L94" s="184"/>
    </row>
    <row r="95" spans="4:12" ht="20.100000000000001" customHeight="1" x14ac:dyDescent="0.25">
      <c r="D95" s="235" t="str" cm="1">
        <f t="array" ref="D95">Common_InputFunctions.Utility_DisplayArrayInTable(Fuel_SourceData.Fuel_Scope1EmissionFactorsStationaryGaseous_Data(), Table_Fuel_EFs_StationaryGaseous[[#Headers],[Fuel combusted]],0)</f>
        <v>Town gas</v>
      </c>
      <c r="E95" s="235" cm="1">
        <f t="array" ref="E95">Common_InputFunctions.Utility_DisplayArrayInTable(Fuel_SourceData.Fuel_Scope1EmissionFactorsStationaryGaseous_Data(), Table_Fuel_EFs_StationaryGaseous[[#Headers],[Fuel combusted]],0)</f>
        <v>3.9E-2</v>
      </c>
      <c r="F95" s="235" t="str" cm="1">
        <f t="array" ref="F95">Common_InputFunctions.Utility_DisplayArrayInTable(Fuel_SourceData.Fuel_Scope1EmissionFactorsStationaryGaseous_Data(), Table_Fuel_EFs_StationaryGaseous[[#Headers],[Fuel combusted]],0)</f>
        <v>m3</v>
      </c>
      <c r="G95" s="235" cm="1">
        <f t="array" ref="G95">Common_InputFunctions.Utility_DisplayArrayInTable(Fuel_SourceData.Fuel_Scope1EmissionFactorsStationaryGaseous_Data(), Table_Fuel_EFs_StationaryGaseous[[#Headers],[Fuel combusted]],0)</f>
        <v>60.2</v>
      </c>
      <c r="H95" s="235" cm="1">
        <f t="array" ref="H95">Common_InputFunctions.Utility_DisplayArrayInTable(Fuel_SourceData.Fuel_Scope1EmissionFactorsStationaryGaseous_Data(), Table_Fuel_EFs_StationaryGaseous[[#Headers],[Fuel combusted]],0)</f>
        <v>0.04</v>
      </c>
      <c r="I95" s="235" cm="1">
        <f t="array" ref="I95">Common_InputFunctions.Utility_DisplayArrayInTable(Fuel_SourceData.Fuel_Scope1EmissionFactorsStationaryGaseous_Data(), Table_Fuel_EFs_StationaryGaseous[[#Headers],[Fuel combusted]],0)</f>
        <v>0.03</v>
      </c>
      <c r="J95" s="235" cm="1">
        <f t="array" ref="J95">Common_InputFunctions.Utility_DisplayArrayInTable(Fuel_SourceData.Fuel_Scope1EmissionFactorsStationaryGaseous_Data(), Table_Fuel_EFs_StationaryGaseous[[#Headers],[Fuel combusted]],0)</f>
        <v>60.27</v>
      </c>
      <c r="K95" s="184"/>
      <c r="L95" s="184"/>
    </row>
    <row r="96" spans="4:12" ht="20.100000000000001" customHeight="1" x14ac:dyDescent="0.25">
      <c r="D96" s="235" t="str" cm="1">
        <f t="array" ref="D96">Common_InputFunctions.Utility_DisplayArrayInTable(Fuel_SourceData.Fuel_Scope1EmissionFactorsStationaryGaseous_Data(), Table_Fuel_EFs_StationaryGaseous[[#Headers],[Fuel combusted]],0)</f>
        <v>Liquefied natural gas</v>
      </c>
      <c r="E96" s="235" cm="1">
        <f t="array" ref="E96">Common_InputFunctions.Utility_DisplayArrayInTable(Fuel_SourceData.Fuel_Scope1EmissionFactorsStationaryGaseous_Data(), Table_Fuel_EFs_StationaryGaseous[[#Headers],[Fuel combusted]],0)</f>
        <v>25.3</v>
      </c>
      <c r="F96" s="235" t="str" cm="1">
        <f t="array" ref="F96">Common_InputFunctions.Utility_DisplayArrayInTable(Fuel_SourceData.Fuel_Scope1EmissionFactorsStationaryGaseous_Data(), Table_Fuel_EFs_StationaryGaseous[[#Headers],[Fuel combusted]],0)</f>
        <v>kL</v>
      </c>
      <c r="G96" s="235" cm="1">
        <f t="array" ref="G96">Common_InputFunctions.Utility_DisplayArrayInTable(Fuel_SourceData.Fuel_Scope1EmissionFactorsStationaryGaseous_Data(), Table_Fuel_EFs_StationaryGaseous[[#Headers],[Fuel combusted]],0)</f>
        <v>51.4</v>
      </c>
      <c r="H96" s="235" cm="1">
        <f t="array" ref="H96">Common_InputFunctions.Utility_DisplayArrayInTable(Fuel_SourceData.Fuel_Scope1EmissionFactorsStationaryGaseous_Data(), Table_Fuel_EFs_StationaryGaseous[[#Headers],[Fuel combusted]],0)</f>
        <v>0.1</v>
      </c>
      <c r="I96" s="235" cm="1">
        <f t="array" ref="I96">Common_InputFunctions.Utility_DisplayArrayInTable(Fuel_SourceData.Fuel_Scope1EmissionFactorsStationaryGaseous_Data(), Table_Fuel_EFs_StationaryGaseous[[#Headers],[Fuel combusted]],0)</f>
        <v>0.03</v>
      </c>
      <c r="J96" s="235" cm="1">
        <f t="array" ref="J96">Common_InputFunctions.Utility_DisplayArrayInTable(Fuel_SourceData.Fuel_Scope1EmissionFactorsStationaryGaseous_Data(), Table_Fuel_EFs_StationaryGaseous[[#Headers],[Fuel combusted]],0)</f>
        <v>51.53</v>
      </c>
      <c r="K96" s="184"/>
      <c r="L96" s="184"/>
    </row>
    <row r="97" spans="4:13" ht="20.100000000000001" customHeight="1" x14ac:dyDescent="0.25">
      <c r="D97" s="235" t="str" cm="1">
        <f t="array" ref="D97">Common_InputFunctions.Utility_DisplayArrayInTable(Fuel_SourceData.Fuel_Scope1EmissionFactorsStationaryGaseous_Data(), Table_Fuel_EFs_StationaryGaseous[[#Headers],[Fuel combusted]],0)</f>
        <v>Gaseous fossil fuels other than those mentioned in the items above</v>
      </c>
      <c r="E97" s="235" cm="1">
        <f t="array" ref="E97">Common_InputFunctions.Utility_DisplayArrayInTable(Fuel_SourceData.Fuel_Scope1EmissionFactorsStationaryGaseous_Data(), Table_Fuel_EFs_StationaryGaseous[[#Headers],[Fuel combusted]],0)</f>
        <v>3.9E-2</v>
      </c>
      <c r="F97" s="235" t="str" cm="1">
        <f t="array" ref="F97">Common_InputFunctions.Utility_DisplayArrayInTable(Fuel_SourceData.Fuel_Scope1EmissionFactorsStationaryGaseous_Data(), Table_Fuel_EFs_StationaryGaseous[[#Headers],[Fuel combusted]],0)</f>
        <v>m3</v>
      </c>
      <c r="G97" s="235" cm="1">
        <f t="array" ref="G97">Common_InputFunctions.Utility_DisplayArrayInTable(Fuel_SourceData.Fuel_Scope1EmissionFactorsStationaryGaseous_Data(), Table_Fuel_EFs_StationaryGaseous[[#Headers],[Fuel combusted]],0)</f>
        <v>51.4</v>
      </c>
      <c r="H97" s="235" cm="1">
        <f t="array" ref="H97">Common_InputFunctions.Utility_DisplayArrayInTable(Fuel_SourceData.Fuel_Scope1EmissionFactorsStationaryGaseous_Data(), Table_Fuel_EFs_StationaryGaseous[[#Headers],[Fuel combusted]],0)</f>
        <v>0.1</v>
      </c>
      <c r="I97" s="235" cm="1">
        <f t="array" ref="I97">Common_InputFunctions.Utility_DisplayArrayInTable(Fuel_SourceData.Fuel_Scope1EmissionFactorsStationaryGaseous_Data(), Table_Fuel_EFs_StationaryGaseous[[#Headers],[Fuel combusted]],0)</f>
        <v>0.03</v>
      </c>
      <c r="J97" s="235" cm="1">
        <f t="array" ref="J97">Common_InputFunctions.Utility_DisplayArrayInTable(Fuel_SourceData.Fuel_Scope1EmissionFactorsStationaryGaseous_Data(), Table_Fuel_EFs_StationaryGaseous[[#Headers],[Fuel combusted]],0)</f>
        <v>51.53</v>
      </c>
      <c r="K97" s="184"/>
      <c r="L97" s="184"/>
    </row>
    <row r="98" spans="4:13" ht="20.100000000000001" customHeight="1" x14ac:dyDescent="0.25">
      <c r="D98" s="235" t="str" cm="1">
        <f t="array" ref="D98">Common_InputFunctions.Utility_DisplayArrayInTable(Fuel_SourceData.Fuel_Scope1EmissionFactorsStationaryGaseous_Data(), Table_Fuel_EFs_StationaryGaseous[[#Headers],[Fuel combusted]],0)</f>
        <v>Landfill biogas that is captured for combustion (methane only)</v>
      </c>
      <c r="E98" s="235" cm="1">
        <f t="array" ref="E98">Common_InputFunctions.Utility_DisplayArrayInTable(Fuel_SourceData.Fuel_Scope1EmissionFactorsStationaryGaseous_Data(), Table_Fuel_EFs_StationaryGaseous[[#Headers],[Fuel combusted]],0)</f>
        <v>3.7699999999999997E-2</v>
      </c>
      <c r="F98" s="235" t="str" cm="1">
        <f t="array" ref="F98">Common_InputFunctions.Utility_DisplayArrayInTable(Fuel_SourceData.Fuel_Scope1EmissionFactorsStationaryGaseous_Data(), Table_Fuel_EFs_StationaryGaseous[[#Headers],[Fuel combusted]],0)</f>
        <v>m3</v>
      </c>
      <c r="G98" s="235" cm="1">
        <f t="array" ref="G98">Common_InputFunctions.Utility_DisplayArrayInTable(Fuel_SourceData.Fuel_Scope1EmissionFactorsStationaryGaseous_Data(), Table_Fuel_EFs_StationaryGaseous[[#Headers],[Fuel combusted]],0)</f>
        <v>0</v>
      </c>
      <c r="H98" s="235" cm="1">
        <f t="array" ref="H98">Common_InputFunctions.Utility_DisplayArrayInTable(Fuel_SourceData.Fuel_Scope1EmissionFactorsStationaryGaseous_Data(), Table_Fuel_EFs_StationaryGaseous[[#Headers],[Fuel combusted]],0)</f>
        <v>6.4</v>
      </c>
      <c r="I98" s="235" cm="1">
        <f t="array" ref="I98">Common_InputFunctions.Utility_DisplayArrayInTable(Fuel_SourceData.Fuel_Scope1EmissionFactorsStationaryGaseous_Data(), Table_Fuel_EFs_StationaryGaseous[[#Headers],[Fuel combusted]],0)</f>
        <v>0.03</v>
      </c>
      <c r="J98" s="235" cm="1">
        <f t="array" ref="J98">Common_InputFunctions.Utility_DisplayArrayInTable(Fuel_SourceData.Fuel_Scope1EmissionFactorsStationaryGaseous_Data(), Table_Fuel_EFs_StationaryGaseous[[#Headers],[Fuel combusted]],0)</f>
        <v>6.43</v>
      </c>
      <c r="K98" s="184"/>
      <c r="L98" s="184"/>
    </row>
    <row r="99" spans="4:13" ht="20.100000000000001" customHeight="1" x14ac:dyDescent="0.25">
      <c r="D99" s="235" t="str" cm="1">
        <f t="array" ref="D99">Common_InputFunctions.Utility_DisplayArrayInTable(Fuel_SourceData.Fuel_Scope1EmissionFactorsStationaryGaseous_Data(), Table_Fuel_EFs_StationaryGaseous[[#Headers],[Fuel combusted]],0)</f>
        <v>Sludge biogas that is captured for combustion (methane only)</v>
      </c>
      <c r="E99" s="235" cm="1">
        <f t="array" ref="E99">Common_InputFunctions.Utility_DisplayArrayInTable(Fuel_SourceData.Fuel_Scope1EmissionFactorsStationaryGaseous_Data(), Table_Fuel_EFs_StationaryGaseous[[#Headers],[Fuel combusted]],0)</f>
        <v>3.7699999999999997E-2</v>
      </c>
      <c r="F99" s="235" t="str" cm="1">
        <f t="array" ref="F99">Common_InputFunctions.Utility_DisplayArrayInTable(Fuel_SourceData.Fuel_Scope1EmissionFactorsStationaryGaseous_Data(), Table_Fuel_EFs_StationaryGaseous[[#Headers],[Fuel combusted]],0)</f>
        <v>m3</v>
      </c>
      <c r="G99" s="235" cm="1">
        <f t="array" ref="G99">Common_InputFunctions.Utility_DisplayArrayInTable(Fuel_SourceData.Fuel_Scope1EmissionFactorsStationaryGaseous_Data(), Table_Fuel_EFs_StationaryGaseous[[#Headers],[Fuel combusted]],0)</f>
        <v>0</v>
      </c>
      <c r="H99" s="235" cm="1">
        <f t="array" ref="H99">Common_InputFunctions.Utility_DisplayArrayInTable(Fuel_SourceData.Fuel_Scope1EmissionFactorsStationaryGaseous_Data(), Table_Fuel_EFs_StationaryGaseous[[#Headers],[Fuel combusted]],0)</f>
        <v>6.4</v>
      </c>
      <c r="I99" s="235" cm="1">
        <f t="array" ref="I99">Common_InputFunctions.Utility_DisplayArrayInTable(Fuel_SourceData.Fuel_Scope1EmissionFactorsStationaryGaseous_Data(), Table_Fuel_EFs_StationaryGaseous[[#Headers],[Fuel combusted]],0)</f>
        <v>0.03</v>
      </c>
      <c r="J99" s="235" cm="1">
        <f t="array" ref="J99">Common_InputFunctions.Utility_DisplayArrayInTable(Fuel_SourceData.Fuel_Scope1EmissionFactorsStationaryGaseous_Data(), Table_Fuel_EFs_StationaryGaseous[[#Headers],[Fuel combusted]],0)</f>
        <v>6.43</v>
      </c>
      <c r="K99" s="184"/>
      <c r="L99" s="184"/>
    </row>
    <row r="100" spans="4:13" ht="20.100000000000001" customHeight="1" x14ac:dyDescent="0.25">
      <c r="D100" s="235"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35" cm="1">
        <f t="array" ref="E100">Common_InputFunctions.Utility_DisplayArrayInTable(Fuel_SourceData.Fuel_Scope1EmissionFactorsStationaryGaseous_Data(), Table_Fuel_EFs_StationaryGaseous[[#Headers],[Fuel combusted]],0)</f>
        <v>3.6999999999999998E-2</v>
      </c>
      <c r="F100" s="235" t="str" cm="1">
        <f t="array" ref="F100">Common_InputFunctions.Utility_DisplayArrayInTable(Fuel_SourceData.Fuel_Scope1EmissionFactorsStationaryGaseous_Data(), Table_Fuel_EFs_StationaryGaseous[[#Headers],[Fuel combusted]],0)</f>
        <v>m3</v>
      </c>
      <c r="G100" s="235" cm="1">
        <f t="array" ref="G100">Common_InputFunctions.Utility_DisplayArrayInTable(Fuel_SourceData.Fuel_Scope1EmissionFactorsStationaryGaseous_Data(), Table_Fuel_EFs_StationaryGaseous[[#Headers],[Fuel combusted]],0)</f>
        <v>0</v>
      </c>
      <c r="H100" s="235" cm="1">
        <f t="array" ref="H100">Common_InputFunctions.Utility_DisplayArrayInTable(Fuel_SourceData.Fuel_Scope1EmissionFactorsStationaryGaseous_Data(), Table_Fuel_EFs_StationaryGaseous[[#Headers],[Fuel combusted]],0)</f>
        <v>6.4</v>
      </c>
      <c r="I100" s="235" cm="1">
        <f t="array" ref="I100">Common_InputFunctions.Utility_DisplayArrayInTable(Fuel_SourceData.Fuel_Scope1EmissionFactorsStationaryGaseous_Data(), Table_Fuel_EFs_StationaryGaseous[[#Headers],[Fuel combusted]],0)</f>
        <v>0.03</v>
      </c>
      <c r="J100" s="235" cm="1">
        <f t="array" ref="J100">Common_InputFunctions.Utility_DisplayArrayInTable(Fuel_SourceData.Fuel_Scope1EmissionFactorsStationaryGaseous_Data(), Table_Fuel_EFs_StationaryGaseous[[#Headers],[Fuel combusted]],0)</f>
        <v>6.43</v>
      </c>
      <c r="K100" s="184"/>
      <c r="L100" s="184"/>
    </row>
    <row r="101" spans="4:13" ht="20.100000000000001" customHeight="1" x14ac:dyDescent="0.25">
      <c r="D101" s="235" t="str" cm="1">
        <f t="array" ref="D101">Common_InputFunctions.Utility_DisplayArrayInTable(Fuel_SourceData.Fuel_Scope1EmissionFactorsStationaryGaseous_Data(), Table_Fuel_EFs_StationaryGaseous[[#Headers],[Fuel combusted]],0)</f>
        <v>Biomethane</v>
      </c>
      <c r="E101" s="235" cm="1">
        <f t="array" ref="E101">Common_InputFunctions.Utility_DisplayArrayInTable(Fuel_SourceData.Fuel_Scope1EmissionFactorsStationaryGaseous_Data(), Table_Fuel_EFs_StationaryGaseous[[#Headers],[Fuel combusted]],0)</f>
        <v>3.9300000000000002E-2</v>
      </c>
      <c r="F101" s="235" t="str" cm="1">
        <f t="array" ref="F101">Common_InputFunctions.Utility_DisplayArrayInTable(Fuel_SourceData.Fuel_Scope1EmissionFactorsStationaryGaseous_Data(), Table_Fuel_EFs_StationaryGaseous[[#Headers],[Fuel combusted]],0)</f>
        <v>m3</v>
      </c>
      <c r="G101" s="235" cm="1">
        <f t="array" ref="G101">Common_InputFunctions.Utility_DisplayArrayInTable(Fuel_SourceData.Fuel_Scope1EmissionFactorsStationaryGaseous_Data(), Table_Fuel_EFs_StationaryGaseous[[#Headers],[Fuel combusted]],0)</f>
        <v>0</v>
      </c>
      <c r="H101" s="235" cm="1">
        <f t="array" ref="H101">Common_InputFunctions.Utility_DisplayArrayInTable(Fuel_SourceData.Fuel_Scope1EmissionFactorsStationaryGaseous_Data(), Table_Fuel_EFs_StationaryGaseous[[#Headers],[Fuel combusted]],0)</f>
        <v>0.1</v>
      </c>
      <c r="I101" s="235" cm="1">
        <f t="array" ref="I101">Common_InputFunctions.Utility_DisplayArrayInTable(Fuel_SourceData.Fuel_Scope1EmissionFactorsStationaryGaseous_Data(), Table_Fuel_EFs_StationaryGaseous[[#Headers],[Fuel combusted]],0)</f>
        <v>0.03</v>
      </c>
      <c r="J101" s="235" cm="1">
        <f t="array" ref="J101">Common_InputFunctions.Utility_DisplayArrayInTable(Fuel_SourceData.Fuel_Scope1EmissionFactorsStationaryGaseous_Data(), Table_Fuel_EFs_StationaryGaseous[[#Headers],[Fuel combusted]],0)</f>
        <v>0.13</v>
      </c>
      <c r="K101" s="184"/>
      <c r="L101" s="184"/>
    </row>
    <row r="102" spans="4:13" ht="20.100000000000001" customHeight="1" x14ac:dyDescent="0.25">
      <c r="D102" s="235" t="str" cm="1">
        <f t="array" ref="D102">Common_InputFunctions.Utility_DisplayArrayInTable(Fuel_SourceData.Fuel_Scope1EmissionFactorsStationaryGaseous_Data(), Table_Fuel_EFs_StationaryGaseous[[#Headers],[Fuel combusted]],0)</f>
        <v>Hydrogen</v>
      </c>
      <c r="E102" s="235" cm="1">
        <f t="array" ref="E102">Common_InputFunctions.Utility_DisplayArrayInTable(Fuel_SourceData.Fuel_Scope1EmissionFactorsStationaryGaseous_Data(), Table_Fuel_EFs_StationaryGaseous[[#Headers],[Fuel combusted]],0)</f>
        <v>1.2200000000000001E-2</v>
      </c>
      <c r="F102" s="235" t="str" cm="1">
        <f t="array" ref="F102">Common_InputFunctions.Utility_DisplayArrayInTable(Fuel_SourceData.Fuel_Scope1EmissionFactorsStationaryGaseous_Data(), Table_Fuel_EFs_StationaryGaseous[[#Headers],[Fuel combusted]],0)</f>
        <v>m3</v>
      </c>
      <c r="G102" s="235" cm="1">
        <f t="array" ref="G102">Common_InputFunctions.Utility_DisplayArrayInTable(Fuel_SourceData.Fuel_Scope1EmissionFactorsStationaryGaseous_Data(), Table_Fuel_EFs_StationaryGaseous[[#Headers],[Fuel combusted]],0)</f>
        <v>0</v>
      </c>
      <c r="H102" s="235" cm="1">
        <f t="array" ref="H102">Common_InputFunctions.Utility_DisplayArrayInTable(Fuel_SourceData.Fuel_Scope1EmissionFactorsStationaryGaseous_Data(), Table_Fuel_EFs_StationaryGaseous[[#Headers],[Fuel combusted]],0)</f>
        <v>0</v>
      </c>
      <c r="I102" s="235" cm="1">
        <f t="array" ref="I102">Common_InputFunctions.Utility_DisplayArrayInTable(Fuel_SourceData.Fuel_Scope1EmissionFactorsStationaryGaseous_Data(), Table_Fuel_EFs_StationaryGaseous[[#Headers],[Fuel combusted]],0)</f>
        <v>0.5</v>
      </c>
      <c r="J102" s="235" cm="1">
        <f t="array" ref="J102">Common_InputFunctions.Utility_DisplayArrayInTable(Fuel_SourceData.Fuel_Scope1EmissionFactorsStationaryGaseous_Data(), Table_Fuel_EFs_StationaryGaseous[[#Headers],[Fuel combusted]],0)</f>
        <v>0.5</v>
      </c>
      <c r="K102" s="184"/>
      <c r="L102" s="184"/>
    </row>
    <row r="103" spans="4:13" ht="20.100000000000001" customHeight="1" x14ac:dyDescent="0.25">
      <c r="D103" s="235" t="str" cm="1">
        <f t="array" ref="D103">Common_InputFunctions.Utility_DisplayArrayInTable(Fuel_SourceData.Fuel_Scope1EmissionFactorsStationaryGaseous_Data(), Table_Fuel_EFs_StationaryGaseous[[#Headers],[Fuel combusted]],0)</f>
        <v>Natural gas distributed in a pipeline - Gigajoules</v>
      </c>
      <c r="E103" s="235" cm="1">
        <f t="array" ref="E103">Common_InputFunctions.Utility_DisplayArrayInTable(Fuel_SourceData.Fuel_Scope1EmissionFactorsStationaryGaseous_Data(), Table_Fuel_EFs_StationaryGaseous[[#Headers],[Fuel combusted]],0)</f>
        <v>1</v>
      </c>
      <c r="F103" s="235" t="str" cm="1">
        <f t="array" ref="F103">Common_InputFunctions.Utility_DisplayArrayInTable(Fuel_SourceData.Fuel_Scope1EmissionFactorsStationaryGaseous_Data(), Table_Fuel_EFs_StationaryGaseous[[#Headers],[Fuel combusted]],0)</f>
        <v>GJ</v>
      </c>
      <c r="G103" s="235" cm="1">
        <f t="array" ref="G103">Common_InputFunctions.Utility_DisplayArrayInTable(Fuel_SourceData.Fuel_Scope1EmissionFactorsStationaryGaseous_Data(), Table_Fuel_EFs_StationaryGaseous[[#Headers],[Fuel combusted]],0)</f>
        <v>51.4</v>
      </c>
      <c r="H103" s="235" cm="1">
        <f t="array" ref="H103">Common_InputFunctions.Utility_DisplayArrayInTable(Fuel_SourceData.Fuel_Scope1EmissionFactorsStationaryGaseous_Data(), Table_Fuel_EFs_StationaryGaseous[[#Headers],[Fuel combusted]],0)</f>
        <v>0.1</v>
      </c>
      <c r="I103" s="235" cm="1">
        <f t="array" ref="I103">Common_InputFunctions.Utility_DisplayArrayInTable(Fuel_SourceData.Fuel_Scope1EmissionFactorsStationaryGaseous_Data(), Table_Fuel_EFs_StationaryGaseous[[#Headers],[Fuel combusted]],0)</f>
        <v>0.03</v>
      </c>
      <c r="J103" s="235" cm="1">
        <f t="array" ref="J103">Common_InputFunctions.Utility_DisplayArrayInTable(Fuel_SourceData.Fuel_Scope1EmissionFactorsStationaryGaseous_Data(), Table_Fuel_EFs_StationaryGaseous[[#Headers],[Fuel combusted]],0)</f>
        <v>51.53</v>
      </c>
      <c r="K103" s="184"/>
      <c r="L103" s="184"/>
    </row>
    <row r="104" spans="4:13" ht="20.100000000000001" customHeight="1" x14ac:dyDescent="0.25">
      <c r="D104" s="235" t="str" cm="1">
        <f t="array" ref="D104">Common_InputFunctions.Utility_DisplayArrayInTable(Fuel_SourceData.Fuel_Scope1EmissionFactorsStationaryGaseous_Data(), Table_Fuel_EFs_StationaryGaseous[[#Headers],[Fuel combusted]],0)</f>
        <v>Town gas - Gigajoules</v>
      </c>
      <c r="E104" s="235" cm="1">
        <f t="array" ref="E104">Common_InputFunctions.Utility_DisplayArrayInTable(Fuel_SourceData.Fuel_Scope1EmissionFactorsStationaryGaseous_Data(), Table_Fuel_EFs_StationaryGaseous[[#Headers],[Fuel combusted]],0)</f>
        <v>1</v>
      </c>
      <c r="F104" s="235" t="str" cm="1">
        <f t="array" ref="F104">Common_InputFunctions.Utility_DisplayArrayInTable(Fuel_SourceData.Fuel_Scope1EmissionFactorsStationaryGaseous_Data(), Table_Fuel_EFs_StationaryGaseous[[#Headers],[Fuel combusted]],0)</f>
        <v>GJ</v>
      </c>
      <c r="G104" s="235" cm="1">
        <f t="array" ref="G104">Common_InputFunctions.Utility_DisplayArrayInTable(Fuel_SourceData.Fuel_Scope1EmissionFactorsStationaryGaseous_Data(), Table_Fuel_EFs_StationaryGaseous[[#Headers],[Fuel combusted]],0)</f>
        <v>60.2</v>
      </c>
      <c r="H104" s="235" cm="1">
        <f t="array" ref="H104">Common_InputFunctions.Utility_DisplayArrayInTable(Fuel_SourceData.Fuel_Scope1EmissionFactorsStationaryGaseous_Data(), Table_Fuel_EFs_StationaryGaseous[[#Headers],[Fuel combusted]],0)</f>
        <v>0.04</v>
      </c>
      <c r="I104" s="235" cm="1">
        <f t="array" ref="I104">Common_InputFunctions.Utility_DisplayArrayInTable(Fuel_SourceData.Fuel_Scope1EmissionFactorsStationaryGaseous_Data(), Table_Fuel_EFs_StationaryGaseous[[#Headers],[Fuel combusted]],0)</f>
        <v>0.03</v>
      </c>
      <c r="J104" s="235" cm="1">
        <f t="array" ref="J104">Common_InputFunctions.Utility_DisplayArrayInTable(Fuel_SourceData.Fuel_Scope1EmissionFactorsStationaryGaseous_Data(), Table_Fuel_EFs_StationaryGaseous[[#Headers],[Fuel combusted]],0)</f>
        <v>60.27</v>
      </c>
      <c r="K104" s="184"/>
      <c r="L104" s="184"/>
    </row>
    <row r="105" spans="4:13" ht="20.100000000000001" customHeight="1" x14ac:dyDescent="0.25">
      <c r="D105" s="184"/>
      <c r="E105" s="184"/>
      <c r="F105" s="184"/>
      <c r="G105" s="184"/>
      <c r="H105" s="184"/>
      <c r="I105" s="184"/>
      <c r="J105" s="184"/>
      <c r="K105" s="184"/>
      <c r="L105" s="184"/>
      <c r="M105" s="184"/>
    </row>
    <row r="106" spans="4:13" ht="20.100000000000001" customHeight="1" x14ac:dyDescent="0.25">
      <c r="D106" s="184"/>
      <c r="E106" s="184"/>
      <c r="F106" s="184"/>
      <c r="G106" s="184"/>
      <c r="H106" s="184"/>
      <c r="I106" s="184"/>
      <c r="J106" s="184"/>
      <c r="K106" s="184"/>
      <c r="L106" s="184"/>
      <c r="M106" s="184"/>
    </row>
    <row r="107" spans="4:13" ht="20.100000000000001" customHeight="1" x14ac:dyDescent="0.25">
      <c r="D107" s="2" t="str" cm="1">
        <f t="array" ref="D107">Fuel_SourceData.Fuel_Scope3EmissionFactorsStationaryGaseous_Title()</f>
        <v>Fuel scope 3 emission factors - Stationary gaseous fuels</v>
      </c>
      <c r="E107" s="184"/>
      <c r="F107" s="184"/>
      <c r="G107" s="184"/>
      <c r="H107" s="184"/>
      <c r="I107" s="184"/>
      <c r="J107" s="184"/>
      <c r="K107" s="184"/>
      <c r="L107" s="184"/>
    </row>
    <row r="108" spans="4:13" ht="20.100000000000001" customHeight="1" x14ac:dyDescent="0.25">
      <c r="D108" s="1" t="str" cm="1">
        <f t="array" ref="D108">Fuel_SourceData.Fuel_Scope3EmissionFactorsStationaryGaseous_Description()</f>
        <v>Indirect (Scope 3) emission factors for the consumption of natural gas.</v>
      </c>
      <c r="E108" s="184"/>
      <c r="F108" s="184"/>
      <c r="G108" s="184"/>
      <c r="H108" s="184"/>
      <c r="I108" s="184"/>
      <c r="J108" s="184"/>
      <c r="K108" s="184"/>
      <c r="L108" s="184"/>
    </row>
    <row r="109" spans="4:13" ht="20.100000000000001" customHeight="1" x14ac:dyDescent="0.25">
      <c r="D109" s="17" t="str" cm="1">
        <f t="array" ref="D109">Fuel_SourceData.Fuel_Scope3EmissionFactorsStationaryGaseous_Source()</f>
        <v>Australian National Greenhouse Accounts Factors 2025 - Table 6</v>
      </c>
      <c r="E109" s="184"/>
      <c r="F109" s="184"/>
      <c r="G109" s="184"/>
      <c r="H109" s="184"/>
      <c r="I109" s="184"/>
      <c r="J109" s="184"/>
      <c r="K109" s="184"/>
      <c r="L109" s="184"/>
    </row>
    <row r="110" spans="4:13" ht="20.100000000000001" customHeight="1" x14ac:dyDescent="0.25">
      <c r="D110" s="25"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84"/>
      <c r="F110" s="184"/>
      <c r="G110" s="184"/>
      <c r="H110" s="184"/>
      <c r="I110" s="184"/>
      <c r="J110" s="184"/>
      <c r="K110" s="184"/>
      <c r="L110" s="184"/>
    </row>
    <row r="111" spans="4:13" ht="20.100000000000001" customHeight="1" x14ac:dyDescent="0.25">
      <c r="D111" s="184"/>
      <c r="E111" s="184"/>
      <c r="F111" s="184"/>
      <c r="G111" s="184"/>
      <c r="H111" s="184"/>
      <c r="I111" s="184"/>
      <c r="J111" s="184"/>
      <c r="K111" s="184"/>
      <c r="L111" s="184"/>
    </row>
    <row r="112" spans="4:13" ht="20.100000000000001" customHeight="1" x14ac:dyDescent="0.25">
      <c r="D112" s="201" t="s">
        <v>976</v>
      </c>
      <c r="E112" s="232" t="s">
        <v>911</v>
      </c>
      <c r="F112" s="232" t="s">
        <v>977</v>
      </c>
      <c r="G112" s="184"/>
      <c r="H112" s="76" t="s">
        <v>978</v>
      </c>
      <c r="I112" s="184"/>
      <c r="J112" s="184"/>
      <c r="K112" s="184"/>
      <c r="L112" s="184"/>
    </row>
    <row r="113" spans="4:13" ht="20.100000000000001" customHeight="1" x14ac:dyDescent="0.25">
      <c r="D113" s="236" t="str" cm="1">
        <f t="array" ref="D113">Common_InputFunctions.Utility_DisplayArrayInTable(Fuel_SourceData.Fuel_Scope3EmissionFactorsStationaryGaseous_Data(), Table_Fuel_EFs_StationaryGaseous34[[#Headers],[State or territory]],0)</f>
        <v>New South Wales</v>
      </c>
      <c r="E113" s="236" cm="1">
        <f t="array" ref="E113">Common_InputFunctions.Utility_DisplayArrayInTable(Fuel_SourceData.Fuel_Scope3EmissionFactorsStationaryGaseous_Data(), Table_Fuel_EFs_StationaryGaseous34[[#Headers],[State or territory]],0)</f>
        <v>13.1</v>
      </c>
      <c r="F113" s="236" cm="1">
        <f t="array" ref="F113">Common_InputFunctions.Utility_DisplayArrayInTable(Fuel_SourceData.Fuel_Scope3EmissionFactorsStationaryGaseous_Data(), Table_Fuel_EFs_StationaryGaseous34[[#Headers],[State or territory]],0)</f>
        <v>14</v>
      </c>
      <c r="G113" s="237"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84"/>
      <c r="J113" s="184"/>
      <c r="K113" s="184"/>
      <c r="L113" s="184"/>
    </row>
    <row r="114" spans="4:13" ht="20.100000000000001" customHeight="1" x14ac:dyDescent="0.25">
      <c r="D114" s="236" t="str" cm="1">
        <f t="array" ref="D114">Common_InputFunctions.Utility_DisplayArrayInTable(Fuel_SourceData.Fuel_Scope3EmissionFactorsStationaryGaseous_Data(), Table_Fuel_EFs_StationaryGaseous34[[#Headers],[State or territory]],0)</f>
        <v>ACT</v>
      </c>
      <c r="E114" s="236" cm="1">
        <f t="array" ref="E114">Common_InputFunctions.Utility_DisplayArrayInTable(Fuel_SourceData.Fuel_Scope3EmissionFactorsStationaryGaseous_Data(), Table_Fuel_EFs_StationaryGaseous34[[#Headers],[State or territory]],0)</f>
        <v>13.1</v>
      </c>
      <c r="F114" s="236" cm="1">
        <f t="array" ref="F114">Common_InputFunctions.Utility_DisplayArrayInTable(Fuel_SourceData.Fuel_Scope3EmissionFactorsStationaryGaseous_Data(), Table_Fuel_EFs_StationaryGaseous34[[#Headers],[State or territory]],0)</f>
        <v>14</v>
      </c>
      <c r="G114" s="237" t="str">
        <v/>
      </c>
      <c r="H114" s="1" t="str">
        <v>Gas reaches end users either from the metro distribution networks or direct from the high - pressure distribution pipelines.</v>
      </c>
      <c r="I114" s="184"/>
      <c r="J114" s="184"/>
      <c r="K114" s="184"/>
      <c r="L114" s="184"/>
    </row>
    <row r="115" spans="4:13" ht="20.100000000000001" customHeight="1" x14ac:dyDescent="0.25">
      <c r="D115" s="236" t="str" cm="1">
        <f t="array" ref="D115">Common_InputFunctions.Utility_DisplayArrayInTable(Fuel_SourceData.Fuel_Scope3EmissionFactorsStationaryGaseous_Data(), Table_Fuel_EFs_StationaryGaseous34[[#Headers],[State or territory]],0)</f>
        <v>Victoria</v>
      </c>
      <c r="E115" s="236" cm="1">
        <f t="array" ref="E115">Common_InputFunctions.Utility_DisplayArrayInTable(Fuel_SourceData.Fuel_Scope3EmissionFactorsStationaryGaseous_Data(), Table_Fuel_EFs_StationaryGaseous34[[#Headers],[State or territory]],0)</f>
        <v>4</v>
      </c>
      <c r="F115" s="236" cm="1">
        <f t="array" ref="F115">Common_InputFunctions.Utility_DisplayArrayInTable(Fuel_SourceData.Fuel_Scope3EmissionFactorsStationaryGaseous_Data(), Table_Fuel_EFs_StationaryGaseous34[[#Headers],[State or territory]],0)</f>
        <v>4</v>
      </c>
      <c r="G115" s="237" t="str">
        <v/>
      </c>
      <c r="H115" s="1" t="str">
        <v>Households and commercial users tend to be served by the former, and electricity generators and large industrial plants from the latter.</v>
      </c>
      <c r="I115" s="184"/>
      <c r="J115" s="184"/>
      <c r="K115" s="184"/>
      <c r="L115" s="184"/>
    </row>
    <row r="116" spans="4:13" ht="20.100000000000001" customHeight="1" x14ac:dyDescent="0.25">
      <c r="D116" s="236" t="str" cm="1">
        <f t="array" ref="D116">Common_InputFunctions.Utility_DisplayArrayInTable(Fuel_SourceData.Fuel_Scope3EmissionFactorsStationaryGaseous_Data(), Table_Fuel_EFs_StationaryGaseous34[[#Headers],[State or territory]],0)</f>
        <v>Queensland</v>
      </c>
      <c r="E116" s="236" cm="1">
        <f t="array" ref="E116">Common_InputFunctions.Utility_DisplayArrayInTable(Fuel_SourceData.Fuel_Scope3EmissionFactorsStationaryGaseous_Data(), Table_Fuel_EFs_StationaryGaseous34[[#Headers],[State or territory]],0)</f>
        <v>8.8000000000000007</v>
      </c>
      <c r="F116" s="236" cm="1">
        <f t="array" ref="F116">Common_InputFunctions.Utility_DisplayArrayInTable(Fuel_SourceData.Fuel_Scope3EmissionFactorsStationaryGaseous_Data(), Table_Fuel_EFs_StationaryGaseous34[[#Headers],[State or territory]],0)</f>
        <v>7.9</v>
      </c>
      <c r="G116" s="237" t="str">
        <v>-</v>
      </c>
      <c r="H116" s="1" t="str">
        <v>Metro is defined as located on or east of the dividing range in NSW, including Canberra and Queanbeyan, Melbourne, Brisbane, Adelaide or Perth.</v>
      </c>
      <c r="I116" s="184"/>
      <c r="J116" s="184"/>
      <c r="K116" s="184"/>
      <c r="L116" s="184"/>
    </row>
    <row r="117" spans="4:13" ht="20.100000000000001" customHeight="1" x14ac:dyDescent="0.25">
      <c r="D117" s="236" t="str" cm="1">
        <f t="array" ref="D117">Common_InputFunctions.Utility_DisplayArrayInTable(Fuel_SourceData.Fuel_Scope3EmissionFactorsStationaryGaseous_Data(), Table_Fuel_EFs_StationaryGaseous34[[#Headers],[State or territory]],0)</f>
        <v>South Australia</v>
      </c>
      <c r="E117" s="236" cm="1">
        <f t="array" ref="E117">Common_InputFunctions.Utility_DisplayArrayInTable(Fuel_SourceData.Fuel_Scope3EmissionFactorsStationaryGaseous_Data(), Table_Fuel_EFs_StationaryGaseous34[[#Headers],[State or territory]],0)</f>
        <v>10.7</v>
      </c>
      <c r="F117" s="236" cm="1">
        <f t="array" ref="F117">Common_InputFunctions.Utility_DisplayArrayInTable(Fuel_SourceData.Fuel_Scope3EmissionFactorsStationaryGaseous_Data(), Table_Fuel_EFs_StationaryGaseous34[[#Headers],[State or territory]],0)</f>
        <v>10.6</v>
      </c>
      <c r="G117" s="237" t="str">
        <v/>
      </c>
      <c r="H117" s="1" t="str">
        <v>Otherwise, the non - metro factor should be used.</v>
      </c>
      <c r="I117" s="184"/>
      <c r="J117" s="184"/>
      <c r="K117" s="184"/>
      <c r="L117" s="184"/>
    </row>
    <row r="118" spans="4:13" ht="20.100000000000001" customHeight="1" x14ac:dyDescent="0.25">
      <c r="D118" s="236" t="str" cm="1">
        <f t="array" ref="D118">Common_InputFunctions.Utility_DisplayArrayInTable(Fuel_SourceData.Fuel_Scope3EmissionFactorsStationaryGaseous_Data(), Table_Fuel_EFs_StationaryGaseous34[[#Headers],[State or territory]],0)</f>
        <v>Western Australia</v>
      </c>
      <c r="E118" s="236" cm="1">
        <f t="array" ref="E118">Common_InputFunctions.Utility_DisplayArrayInTable(Fuel_SourceData.Fuel_Scope3EmissionFactorsStationaryGaseous_Data(), Table_Fuel_EFs_StationaryGaseous34[[#Headers],[State or territory]],0)</f>
        <v>4.0999999999999996</v>
      </c>
      <c r="F118" s="236" cm="1">
        <f t="array" ref="F118">Common_InputFunctions.Utility_DisplayArrayInTable(Fuel_SourceData.Fuel_Scope3EmissionFactorsStationaryGaseous_Data(), Table_Fuel_EFs_StationaryGaseous34[[#Headers],[State or territory]],0)</f>
        <v>4</v>
      </c>
      <c r="G118" s="237" t="str">
        <v>-</v>
      </c>
      <c r="H118" s="1" t="str">
        <v>Factors are calculated for all natural gas distributed in a pipeline which may include coal seam methane.</v>
      </c>
      <c r="I118" s="184"/>
      <c r="J118" s="184"/>
      <c r="K118" s="184"/>
      <c r="L118" s="184"/>
    </row>
    <row r="119" spans="4:13" ht="20.100000000000001" customHeight="1" x14ac:dyDescent="0.25">
      <c r="D119" s="236" t="str" cm="1">
        <f t="array" ref="D119">Common_InputFunctions.Utility_DisplayArrayInTable(Fuel_SourceData.Fuel_Scope3EmissionFactorsStationaryGaseous_Data(), Table_Fuel_EFs_StationaryGaseous34[[#Headers],[State or territory]],0)</f>
        <v>Tasmania</v>
      </c>
      <c r="E119" s="236" cm="1">
        <f t="array" ref="E119">Common_InputFunctions.Utility_DisplayArrayInTable(Fuel_SourceData.Fuel_Scope3EmissionFactorsStationaryGaseous_Data(), Table_Fuel_EFs_StationaryGaseous34[[#Headers],[State or territory]],0)</f>
        <v>4</v>
      </c>
      <c r="F119" s="236" cm="1">
        <f t="array" ref="F119">Common_InputFunctions.Utility_DisplayArrayInTable(Fuel_SourceData.Fuel_Scope3EmissionFactorsStationaryGaseous_Data(), Table_Fuel_EFs_StationaryGaseous34[[#Headers],[State or territory]],0)</f>
        <v>4</v>
      </c>
      <c r="G119" s="237" t="str">
        <v>-</v>
      </c>
      <c r="H119" s="1" t="str">
        <v>Table 6 is not applicable to ethane. See Table 7 Indirect (Scope 3) emissions from the consumption of ethane.</v>
      </c>
      <c r="I119" s="184"/>
      <c r="J119" s="184"/>
      <c r="K119" s="184"/>
      <c r="L119" s="184"/>
    </row>
    <row r="120" spans="4:13" ht="20.100000000000001" customHeight="1" x14ac:dyDescent="0.25">
      <c r="D120" s="236" t="str" cm="1">
        <f t="array" ref="D120">Common_InputFunctions.Utility_DisplayArrayInTable(Fuel_SourceData.Fuel_Scope3EmissionFactorsStationaryGaseous_Data(), Table_Fuel_EFs_StationaryGaseous34[[#Headers],[State or territory]],0)</f>
        <v>Northern Territory</v>
      </c>
      <c r="E120" s="236" cm="1">
        <f t="array" ref="E120">Common_InputFunctions.Utility_DisplayArrayInTable(Fuel_SourceData.Fuel_Scope3EmissionFactorsStationaryGaseous_Data(), Table_Fuel_EFs_StationaryGaseous34[[#Headers],[State or territory]],0)</f>
        <v>4.0999999999999996</v>
      </c>
      <c r="F120" s="236" cm="1">
        <f t="array" ref="F120">Common_InputFunctions.Utility_DisplayArrayInTable(Fuel_SourceData.Fuel_Scope3EmissionFactorsStationaryGaseous_Data(), Table_Fuel_EFs_StationaryGaseous34[[#Headers],[State or territory]],0)</f>
        <v>4</v>
      </c>
      <c r="G120" s="237" t="str">
        <v>-</v>
      </c>
      <c r="H120" s="1" t="str">
        <v>C = Confidential. Scope 3 emission factors for Tasmania and the Northern Territory are not available due to confidentiality constraints that arise</v>
      </c>
      <c r="I120" s="184"/>
      <c r="J120" s="184"/>
      <c r="K120" s="184"/>
      <c r="L120" s="184"/>
    </row>
    <row r="121" spans="4:13" ht="20.100000000000001" customHeight="1" x14ac:dyDescent="0.25">
      <c r="D121" s="8"/>
      <c r="E121" s="8"/>
      <c r="F121" s="8"/>
      <c r="G121" s="237" t="str">
        <v/>
      </c>
      <c r="H121" s="1" t="str">
        <v>from the use of a limited number of NGER data inputs. It is suggested that for Tasmania the use of the Victorian emission factors is appropriate,</v>
      </c>
      <c r="I121" s="184"/>
      <c r="J121" s="184"/>
      <c r="K121" s="184"/>
      <c r="L121" s="184"/>
    </row>
    <row r="122" spans="4:13" ht="20.100000000000001" customHeight="1" x14ac:dyDescent="0.25">
      <c r="D122" s="184"/>
      <c r="F122" s="238"/>
      <c r="G122" s="237" t="str">
        <v/>
      </c>
      <c r="H122" s="1" t="str">
        <v>while for Northern Territory the use of the Western Australian emission factors is appropriate.</v>
      </c>
      <c r="I122" s="184"/>
      <c r="J122" s="184"/>
      <c r="K122" s="184"/>
      <c r="L122" s="184"/>
    </row>
    <row r="123" spans="4:13" ht="20.100000000000001" customHeight="1" x14ac:dyDescent="0.25">
      <c r="D123" s="239"/>
      <c r="F123" s="238"/>
      <c r="G123" s="237" t="str">
        <v>-</v>
      </c>
      <c r="H123" s="1" t="str">
        <v>Scope 3 emission factors do not include fugitive emission leakage from low pressure natural gas distribution pipeline networks while those from high pressure</v>
      </c>
      <c r="I123" s="184"/>
      <c r="J123" s="184"/>
      <c r="K123" s="184"/>
      <c r="L123" s="184"/>
    </row>
    <row r="124" spans="4:13" ht="20.100000000000001" customHeight="1" x14ac:dyDescent="0.25">
      <c r="D124" s="239"/>
      <c r="F124" s="238"/>
      <c r="G124" s="184" t="str">
        <v/>
      </c>
      <c r="H124" s="1" t="str">
        <v>gas networks are considered negligible.</v>
      </c>
      <c r="I124" s="184"/>
      <c r="J124" s="184"/>
      <c r="K124" s="184"/>
      <c r="L124" s="184"/>
    </row>
    <row r="125" spans="4:13" ht="20.100000000000001" customHeight="1" x14ac:dyDescent="0.25">
      <c r="D125" s="239"/>
      <c r="F125" s="238"/>
      <c r="G125" s="184"/>
      <c r="H125" s="184"/>
      <c r="I125" s="184"/>
      <c r="J125" s="184"/>
      <c r="K125" s="184"/>
      <c r="L125" s="184"/>
    </row>
    <row r="126" spans="4:13" ht="20.100000000000001" customHeight="1" x14ac:dyDescent="0.25">
      <c r="D126" s="184"/>
      <c r="E126" s="184"/>
      <c r="F126" s="184"/>
      <c r="G126" s="184"/>
      <c r="H126" s="184"/>
      <c r="I126" s="184"/>
      <c r="J126" s="184"/>
      <c r="K126" s="184"/>
      <c r="L126" s="184"/>
      <c r="M126" s="184"/>
    </row>
    <row r="127" spans="4:13" ht="20.100000000000001" customHeight="1" x14ac:dyDescent="0.25">
      <c r="D127" s="184"/>
      <c r="E127" s="184"/>
      <c r="F127" s="184"/>
      <c r="G127" s="184"/>
      <c r="H127" s="184"/>
      <c r="I127" s="184"/>
      <c r="J127" s="184"/>
      <c r="K127" s="184"/>
      <c r="L127" s="184"/>
      <c r="M127" s="184"/>
    </row>
    <row r="128" spans="4:13" ht="20.100000000000001" customHeight="1" x14ac:dyDescent="0.25">
      <c r="D128" s="184"/>
      <c r="E128" s="184"/>
      <c r="F128" s="184"/>
      <c r="G128" s="184"/>
      <c r="H128" s="184"/>
      <c r="I128" s="184"/>
      <c r="J128" s="184"/>
      <c r="K128" s="184"/>
      <c r="L128" s="184"/>
      <c r="M128" s="184"/>
    </row>
    <row r="129" spans="4:33" ht="20.100000000000001" customHeight="1" x14ac:dyDescent="0.25">
      <c r="D129" s="240"/>
      <c r="E129" s="184"/>
      <c r="F129" s="184"/>
      <c r="G129" s="184"/>
      <c r="H129" s="184"/>
      <c r="I129" s="184"/>
      <c r="J129" s="184"/>
      <c r="K129" s="184"/>
      <c r="L129" s="184"/>
    </row>
    <row r="130" spans="4:33" ht="20.100000000000001" customHeight="1" x14ac:dyDescent="0.25">
      <c r="D130" s="241" t="s">
        <v>979</v>
      </c>
      <c r="E130" s="241" t="s">
        <v>920</v>
      </c>
      <c r="F130" s="241" t="s">
        <v>980</v>
      </c>
      <c r="G130" s="241" t="s">
        <v>923</v>
      </c>
      <c r="H130" s="241" t="s">
        <v>925</v>
      </c>
      <c r="I130" s="241" t="s">
        <v>926</v>
      </c>
      <c r="J130" s="184"/>
      <c r="K130" s="184"/>
      <c r="L130" s="184"/>
    </row>
    <row r="131" spans="4:33" ht="20.100000000000001" customHeight="1" x14ac:dyDescent="0.25">
      <c r="D131" s="242" t="str">
        <f>$D$143</f>
        <v>Petrol</v>
      </c>
      <c r="E131" s="242" t="str">
        <f>$D$143</f>
        <v>Petrol</v>
      </c>
      <c r="F131" s="242" t="str">
        <f>$D$150</f>
        <v>Avgas</v>
      </c>
      <c r="G131" s="242" t="str">
        <f>$D$143</f>
        <v>Petrol</v>
      </c>
      <c r="H131" s="242" t="str">
        <f>$D$144</f>
        <v>Diesel</v>
      </c>
      <c r="I131" s="242" t="str">
        <f>$D$143</f>
        <v>Petrol</v>
      </c>
      <c r="J131" s="184"/>
      <c r="K131" s="184"/>
      <c r="L131" s="184"/>
    </row>
    <row r="132" spans="4:33" ht="20.100000000000001" customHeight="1" x14ac:dyDescent="0.25">
      <c r="D132" s="242" t="str">
        <f>$D$144</f>
        <v>Diesel</v>
      </c>
      <c r="E132" s="242" t="str">
        <f>$D$144</f>
        <v>Diesel</v>
      </c>
      <c r="F132" s="242" t="str">
        <f>$D$151</f>
        <v>Jet A1, Jet B</v>
      </c>
      <c r="G132" s="242" t="str">
        <f>$D$144</f>
        <v>Diesel</v>
      </c>
      <c r="H132" s="242"/>
      <c r="I132" s="242" t="str">
        <f>$D$144</f>
        <v>Diesel</v>
      </c>
      <c r="J132" s="184"/>
      <c r="K132" s="184"/>
      <c r="L132" s="184"/>
    </row>
    <row r="133" spans="4:33" ht="20.100000000000001" customHeight="1" x14ac:dyDescent="0.25">
      <c r="D133" s="242" t="str">
        <f>$D$145</f>
        <v>Liquefied petroleum gas (LPG)</v>
      </c>
      <c r="E133" s="242" t="str">
        <f>$D$145</f>
        <v>Liquefied petroleum gas (LPG)</v>
      </c>
      <c r="F133" s="242" t="str">
        <f>$D$152</f>
        <v>Renewable aviation kerosene</v>
      </c>
      <c r="G133" s="242" t="str">
        <f>$D$145</f>
        <v>Liquefied petroleum gas (LPG)</v>
      </c>
      <c r="H133" s="242"/>
      <c r="I133" s="242" t="s">
        <v>927</v>
      </c>
      <c r="J133" s="184"/>
      <c r="K133" s="184"/>
      <c r="L133" s="184"/>
    </row>
    <row r="134" spans="4:33" ht="20.100000000000001" customHeight="1" x14ac:dyDescent="0.25">
      <c r="D134" s="242" t="str">
        <f>$D$146</f>
        <v>Biodiesel</v>
      </c>
      <c r="E134" s="242" t="str">
        <f>$D$146</f>
        <v>Biodiesel</v>
      </c>
      <c r="F134" s="241"/>
      <c r="G134" s="242" t="str">
        <f>$D$160</f>
        <v>Fuel oil</v>
      </c>
      <c r="H134" s="242"/>
      <c r="I134" s="242"/>
      <c r="J134" s="184"/>
      <c r="K134" s="184"/>
      <c r="L134" s="184"/>
    </row>
    <row r="135" spans="4:33" ht="20.100000000000001" customHeight="1" x14ac:dyDescent="0.25">
      <c r="D135" s="242" t="str">
        <f>$D$147</f>
        <v>Ethanol</v>
      </c>
      <c r="E135" s="242" t="str">
        <f>$D$147</f>
        <v>Ethanol</v>
      </c>
      <c r="F135" s="241"/>
      <c r="G135" s="242" t="str">
        <f>$D$147</f>
        <v>Ethanol</v>
      </c>
      <c r="H135" s="242"/>
      <c r="I135" s="242"/>
      <c r="J135" s="184"/>
      <c r="K135" s="184"/>
      <c r="L135" s="184"/>
    </row>
    <row r="136" spans="4:33" ht="20.100000000000001" customHeight="1" x14ac:dyDescent="0.25">
      <c r="D136" s="242" t="str">
        <f>$D$148</f>
        <v>Other biofuels</v>
      </c>
      <c r="E136" s="242" t="str">
        <f>$D$148</f>
        <v>Other biofuels</v>
      </c>
      <c r="F136" s="241"/>
      <c r="G136" s="242" t="str">
        <f>$D$146</f>
        <v>Biodiesel</v>
      </c>
      <c r="H136" s="242"/>
      <c r="I136" s="242"/>
      <c r="J136" s="184"/>
      <c r="K136" s="184"/>
      <c r="L136" s="184"/>
    </row>
    <row r="137" spans="4:33" ht="20.100000000000001" customHeight="1" x14ac:dyDescent="0.25">
      <c r="D137" s="242" t="str">
        <f>$D$149</f>
        <v>Renewable diesel</v>
      </c>
      <c r="E137" s="242" t="str">
        <f>$D$149</f>
        <v>Renewable diesel</v>
      </c>
      <c r="F137" s="241"/>
      <c r="G137" s="242" t="str">
        <f>$D$149</f>
        <v>Renewable diesel</v>
      </c>
      <c r="H137" s="242"/>
      <c r="I137" s="242"/>
      <c r="J137" s="184"/>
      <c r="K137" s="184"/>
      <c r="L137" s="184"/>
    </row>
    <row r="138" spans="4:33" ht="20.100000000000001" customHeight="1" x14ac:dyDescent="0.25">
      <c r="D138" s="241"/>
      <c r="E138" s="243" t="str">
        <f>$D$161</f>
        <v>Natural gas (via pipeline) in GJ</v>
      </c>
      <c r="F138" s="243"/>
      <c r="G138" s="242" t="str">
        <f>$D$148</f>
        <v>Other biofuels</v>
      </c>
      <c r="H138" s="242"/>
      <c r="I138" s="242"/>
      <c r="J138" s="184"/>
      <c r="K138" s="184"/>
      <c r="L138" s="184"/>
    </row>
    <row r="139" spans="4:33" ht="20.100000000000001" customHeight="1" x14ac:dyDescent="0.25">
      <c r="D139" s="243"/>
      <c r="E139" s="243" t="str">
        <f>$D$162</f>
        <v>Town gas in GJ</v>
      </c>
      <c r="F139" s="243"/>
      <c r="G139" s="243"/>
      <c r="H139" s="243"/>
      <c r="I139" s="243"/>
      <c r="J139" s="184"/>
      <c r="K139" s="184"/>
      <c r="L139" s="184"/>
    </row>
    <row r="140" spans="4:33" ht="20.100000000000001" customHeight="1" x14ac:dyDescent="0.25">
      <c r="D140" s="184"/>
      <c r="E140" s="184"/>
      <c r="F140" s="184"/>
      <c r="G140" s="184"/>
      <c r="H140" s="184"/>
      <c r="I140" s="184"/>
      <c r="J140" s="184"/>
      <c r="K140" s="184"/>
      <c r="L140" s="184"/>
    </row>
    <row r="141" spans="4:33" ht="20.100000000000001" customHeight="1" x14ac:dyDescent="0.25">
      <c r="D141" s="184"/>
      <c r="E141" s="184"/>
      <c r="F141" s="184"/>
      <c r="G141" s="184"/>
      <c r="H141" s="184"/>
      <c r="I141" s="184"/>
      <c r="J141" s="184"/>
      <c r="K141" s="184"/>
      <c r="L141" s="184"/>
    </row>
    <row r="142" spans="4:33" ht="20.100000000000001" customHeight="1" x14ac:dyDescent="0.25">
      <c r="D142" t="s">
        <v>981</v>
      </c>
      <c r="E142" t="s">
        <v>118</v>
      </c>
      <c r="F142" t="s">
        <v>982</v>
      </c>
      <c r="G142" s="184"/>
      <c r="H142" s="184"/>
      <c r="I142" s="184"/>
      <c r="J142" s="184"/>
      <c r="K142" s="184"/>
      <c r="L142" s="184"/>
      <c r="M142" s="184"/>
      <c r="AG142" s="1"/>
    </row>
    <row r="143" spans="4:33" ht="20.100000000000001" customHeight="1" x14ac:dyDescent="0.25">
      <c r="D143" s="242" t="s">
        <v>922</v>
      </c>
      <c r="E143" t="s">
        <v>983</v>
      </c>
      <c r="F143" t="s">
        <v>984</v>
      </c>
      <c r="G143" s="184"/>
      <c r="H143" s="184"/>
      <c r="I143" s="184"/>
      <c r="J143" s="184"/>
      <c r="K143" s="184"/>
      <c r="L143" s="184"/>
      <c r="M143" s="184"/>
      <c r="AG143" s="1"/>
    </row>
    <row r="144" spans="4:33" ht="20.100000000000001" customHeight="1" x14ac:dyDescent="0.25">
      <c r="D144" s="242" t="s">
        <v>924</v>
      </c>
      <c r="E144" t="s">
        <v>983</v>
      </c>
      <c r="F144" t="s">
        <v>984</v>
      </c>
      <c r="G144" s="184"/>
      <c r="H144" s="184"/>
      <c r="I144" s="184"/>
      <c r="J144" s="184"/>
      <c r="K144" s="184"/>
      <c r="L144" s="184"/>
      <c r="M144" s="184"/>
      <c r="AG144" s="1"/>
    </row>
    <row r="145" spans="4:33" ht="20.100000000000001" customHeight="1" x14ac:dyDescent="0.25">
      <c r="D145" s="242" t="s">
        <v>985</v>
      </c>
      <c r="E145" t="s">
        <v>983</v>
      </c>
      <c r="F145" t="s">
        <v>984</v>
      </c>
      <c r="G145" s="184"/>
      <c r="H145" s="184"/>
      <c r="I145" s="184"/>
      <c r="J145" s="184"/>
      <c r="K145" s="184"/>
      <c r="L145" s="184"/>
      <c r="M145" s="184"/>
      <c r="AG145" s="1"/>
    </row>
    <row r="146" spans="4:33" ht="20.100000000000001" customHeight="1" x14ac:dyDescent="0.25">
      <c r="D146" s="242" t="s">
        <v>986</v>
      </c>
      <c r="E146" t="s">
        <v>983</v>
      </c>
      <c r="F146" t="s">
        <v>984</v>
      </c>
      <c r="G146" s="184"/>
      <c r="H146" s="184"/>
      <c r="I146" s="184"/>
      <c r="J146" s="184"/>
      <c r="K146" s="184"/>
      <c r="L146" s="184"/>
      <c r="M146" s="184"/>
      <c r="AG146" s="1"/>
    </row>
    <row r="147" spans="4:33" ht="20.100000000000001" customHeight="1" x14ac:dyDescent="0.25">
      <c r="D147" s="242" t="s">
        <v>987</v>
      </c>
      <c r="E147" t="s">
        <v>983</v>
      </c>
      <c r="F147" t="s">
        <v>984</v>
      </c>
      <c r="G147" s="184"/>
      <c r="H147" s="184"/>
      <c r="I147" s="184"/>
      <c r="J147" s="184"/>
      <c r="K147" s="184"/>
      <c r="L147" s="184"/>
      <c r="M147" s="184"/>
      <c r="AG147" s="1"/>
    </row>
    <row r="148" spans="4:33" ht="20.100000000000001" customHeight="1" x14ac:dyDescent="0.25">
      <c r="D148" s="242" t="s">
        <v>988</v>
      </c>
      <c r="E148" t="s">
        <v>983</v>
      </c>
      <c r="F148" t="s">
        <v>984</v>
      </c>
      <c r="G148" s="184"/>
      <c r="H148" s="184"/>
      <c r="I148" s="184"/>
      <c r="J148" s="184"/>
      <c r="K148" s="184"/>
      <c r="L148" s="184"/>
      <c r="M148" s="184"/>
      <c r="AG148" s="1"/>
    </row>
    <row r="149" spans="4:33" ht="20.100000000000001" customHeight="1" x14ac:dyDescent="0.25">
      <c r="D149" s="242" t="s">
        <v>989</v>
      </c>
      <c r="E149" t="s">
        <v>983</v>
      </c>
      <c r="F149" t="s">
        <v>984</v>
      </c>
      <c r="G149" s="184"/>
      <c r="H149" s="184"/>
      <c r="I149" s="184"/>
      <c r="J149" s="184"/>
      <c r="K149" s="184"/>
      <c r="L149" s="184"/>
      <c r="M149" s="184"/>
      <c r="AG149" s="1"/>
    </row>
    <row r="150" spans="4:33" ht="20.100000000000001" customHeight="1" x14ac:dyDescent="0.25">
      <c r="D150" s="242" t="s">
        <v>990</v>
      </c>
      <c r="E150" t="s">
        <v>983</v>
      </c>
      <c r="F150" t="s">
        <v>984</v>
      </c>
      <c r="G150" s="184"/>
      <c r="H150" s="184"/>
      <c r="I150" s="184"/>
      <c r="J150" s="184"/>
      <c r="K150" s="184"/>
      <c r="L150" s="184"/>
      <c r="M150" s="184"/>
      <c r="AG150" s="1"/>
    </row>
    <row r="151" spans="4:33" ht="20.100000000000001" customHeight="1" x14ac:dyDescent="0.25">
      <c r="D151" s="242" t="s">
        <v>991</v>
      </c>
      <c r="E151" t="s">
        <v>983</v>
      </c>
      <c r="F151" t="s">
        <v>984</v>
      </c>
      <c r="G151" s="184"/>
      <c r="H151" s="184"/>
      <c r="I151" s="184"/>
      <c r="J151" s="184"/>
      <c r="K151" s="184"/>
      <c r="L151" s="184"/>
      <c r="M151" s="184"/>
      <c r="AG151" s="1"/>
    </row>
    <row r="152" spans="4:33" ht="20.100000000000001" customHeight="1" x14ac:dyDescent="0.25">
      <c r="D152" s="244" t="s">
        <v>992</v>
      </c>
      <c r="E152" s="8" t="s">
        <v>983</v>
      </c>
      <c r="F152" t="s">
        <v>984</v>
      </c>
      <c r="G152" s="184"/>
      <c r="H152" s="184"/>
      <c r="I152" s="184"/>
      <c r="J152" s="184"/>
      <c r="K152" s="184"/>
      <c r="L152" s="184"/>
      <c r="M152" s="184"/>
      <c r="AG152" s="1"/>
    </row>
    <row r="153" spans="4:33" ht="20.100000000000001" customHeight="1" x14ac:dyDescent="0.25">
      <c r="D153" s="244" t="s">
        <v>993</v>
      </c>
      <c r="E153" s="8" t="s">
        <v>983</v>
      </c>
      <c r="F153" t="s">
        <v>984</v>
      </c>
      <c r="G153" s="184"/>
      <c r="H153" s="184"/>
      <c r="I153" s="184"/>
      <c r="J153" s="184"/>
      <c r="K153" s="184"/>
      <c r="L153" s="184"/>
      <c r="M153" s="184"/>
      <c r="AG153" s="1"/>
    </row>
    <row r="154" spans="4:33" ht="20.100000000000001" customHeight="1" x14ac:dyDescent="0.25">
      <c r="D154" s="244" t="s">
        <v>994</v>
      </c>
      <c r="E154" s="8" t="s">
        <v>983</v>
      </c>
      <c r="F154" t="s">
        <v>984</v>
      </c>
      <c r="G154" s="184"/>
      <c r="H154" s="184"/>
      <c r="I154" s="184"/>
      <c r="J154" s="184"/>
      <c r="K154" s="184"/>
      <c r="L154" s="184"/>
      <c r="M154" s="184"/>
      <c r="AG154" s="1"/>
    </row>
    <row r="155" spans="4:33" ht="20.100000000000001" customHeight="1" x14ac:dyDescent="0.25">
      <c r="D155" s="244" t="s">
        <v>995</v>
      </c>
      <c r="E155" s="8" t="s">
        <v>983</v>
      </c>
      <c r="F155" t="s">
        <v>984</v>
      </c>
      <c r="G155" s="184"/>
      <c r="H155" s="184"/>
      <c r="I155" s="184"/>
      <c r="J155" s="184"/>
      <c r="K155" s="184"/>
      <c r="L155" s="184"/>
      <c r="M155" s="184"/>
      <c r="AG155" s="1"/>
    </row>
    <row r="156" spans="4:33" ht="20.100000000000001" customHeight="1" x14ac:dyDescent="0.25">
      <c r="D156" s="244" t="s">
        <v>996</v>
      </c>
      <c r="E156" s="8" t="s">
        <v>983</v>
      </c>
      <c r="F156" t="s">
        <v>984</v>
      </c>
      <c r="G156" s="184"/>
      <c r="H156" s="184"/>
      <c r="I156" s="184"/>
      <c r="J156" s="184"/>
      <c r="K156" s="184"/>
      <c r="L156" s="184"/>
      <c r="M156" s="184"/>
      <c r="AG156" s="1"/>
    </row>
    <row r="157" spans="4:33" ht="20.100000000000001" customHeight="1" x14ac:dyDescent="0.25">
      <c r="D157" s="244" t="s">
        <v>997</v>
      </c>
      <c r="E157" s="8" t="s">
        <v>983</v>
      </c>
      <c r="F157" t="s">
        <v>984</v>
      </c>
      <c r="G157" s="184"/>
      <c r="H157" s="184"/>
      <c r="I157" s="184"/>
      <c r="J157" s="184"/>
      <c r="K157" s="184"/>
      <c r="L157" s="184"/>
      <c r="M157" s="184"/>
      <c r="AG157" s="1"/>
    </row>
    <row r="158" spans="4:33" ht="20.100000000000001" customHeight="1" x14ac:dyDescent="0.25">
      <c r="D158" s="244" t="s">
        <v>998</v>
      </c>
      <c r="E158" s="8" t="s">
        <v>983</v>
      </c>
      <c r="F158" t="s">
        <v>984</v>
      </c>
      <c r="G158" s="184"/>
      <c r="H158" s="184"/>
      <c r="I158" s="184"/>
      <c r="J158" s="184"/>
      <c r="K158" s="184"/>
      <c r="L158" s="184"/>
      <c r="M158" s="184"/>
      <c r="AG158" s="1"/>
    </row>
    <row r="159" spans="4:33" ht="20.100000000000001" customHeight="1" x14ac:dyDescent="0.25">
      <c r="D159" s="244" t="s">
        <v>999</v>
      </c>
      <c r="E159" s="8" t="s">
        <v>983</v>
      </c>
      <c r="F159" t="s">
        <v>984</v>
      </c>
      <c r="G159" s="184"/>
      <c r="H159" s="184"/>
      <c r="I159" s="184"/>
      <c r="J159" s="184"/>
      <c r="K159" s="184"/>
      <c r="L159" s="184"/>
      <c r="M159" s="184"/>
      <c r="AG159" s="1"/>
    </row>
    <row r="160" spans="4:33" ht="20.100000000000001" customHeight="1" x14ac:dyDescent="0.25">
      <c r="D160" s="244" t="s">
        <v>927</v>
      </c>
      <c r="E160" s="8" t="s">
        <v>983</v>
      </c>
      <c r="F160" t="s">
        <v>984</v>
      </c>
      <c r="G160" s="184"/>
      <c r="H160" s="184"/>
      <c r="I160" s="184"/>
      <c r="J160" s="184"/>
      <c r="K160" s="184"/>
      <c r="L160" s="184"/>
      <c r="M160" s="184"/>
      <c r="AG160" s="1"/>
    </row>
    <row r="161" spans="4:33" ht="20.100000000000001" customHeight="1" x14ac:dyDescent="0.25">
      <c r="D161" s="243" t="s">
        <v>1000</v>
      </c>
      <c r="E161" s="184" t="s">
        <v>1001</v>
      </c>
      <c r="F161" s="184" t="s">
        <v>1001</v>
      </c>
      <c r="G161" s="184"/>
      <c r="H161" s="184"/>
      <c r="I161" s="184"/>
      <c r="J161" s="184"/>
      <c r="K161" s="184"/>
      <c r="L161" s="184"/>
      <c r="M161" s="184"/>
      <c r="AG161" s="1"/>
    </row>
    <row r="162" spans="4:33" ht="20.100000000000001" customHeight="1" x14ac:dyDescent="0.25">
      <c r="D162" s="184" t="s">
        <v>921</v>
      </c>
      <c r="E162" s="184" t="s">
        <v>1001</v>
      </c>
      <c r="F162" s="184" t="s">
        <v>1001</v>
      </c>
      <c r="G162" s="184"/>
      <c r="H162" s="184"/>
      <c r="I162" s="184"/>
      <c r="J162" s="184"/>
      <c r="K162" s="184"/>
      <c r="L162" s="184"/>
      <c r="M162" s="184"/>
      <c r="AG162" s="1"/>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6BD30-448D-4848-B13E-8FFA28DC7863}">
  <sheetPr>
    <tabColor theme="2" tint="-0.499984740745262"/>
  </sheetPr>
  <dimension ref="A1:R247"/>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style="259" customWidth="1"/>
    <col min="2" max="2" width="5.28515625" style="259" customWidth="1"/>
    <col min="3" max="3" width="5.28515625" style="1" customWidth="1"/>
    <col min="4" max="17" width="35" style="1" customWidth="1"/>
    <col min="18" max="16384" width="9.140625" style="259"/>
  </cols>
  <sheetData>
    <row r="1" spans="1:17" ht="30" customHeight="1" x14ac:dyDescent="0.35">
      <c r="A1" s="10" t="e" vm="1">
        <v>#VALUE!</v>
      </c>
      <c r="C1" s="259"/>
      <c r="D1" s="259"/>
      <c r="E1" s="259"/>
      <c r="F1" s="259"/>
      <c r="G1" s="259"/>
      <c r="H1" s="259"/>
      <c r="I1" s="259"/>
      <c r="J1" s="259"/>
      <c r="K1" s="259"/>
      <c r="L1" s="259"/>
      <c r="M1" s="259"/>
      <c r="N1" s="259"/>
      <c r="O1" s="259"/>
      <c r="P1" s="259"/>
      <c r="Q1" s="259"/>
    </row>
    <row r="2" spans="1:17" ht="20.100000000000001" customHeight="1" x14ac:dyDescent="0.25">
      <c r="A2"/>
      <c r="C2" s="259"/>
      <c r="D2" s="259"/>
      <c r="E2" s="259"/>
      <c r="F2" s="259"/>
      <c r="G2" s="259"/>
      <c r="H2" s="259"/>
      <c r="I2" s="259"/>
      <c r="J2" s="259"/>
      <c r="K2" s="259"/>
      <c r="L2" s="259"/>
      <c r="M2" s="259"/>
      <c r="N2" s="259"/>
      <c r="O2" s="259"/>
      <c r="P2" s="259"/>
      <c r="Q2" s="259"/>
    </row>
    <row r="3" spans="1:17" ht="20.100000000000001" customHeight="1" x14ac:dyDescent="0.25">
      <c r="A3" s="5" t="str">
        <f>HYPERLINK("#'Home'!A1", "Home")</f>
        <v>Home</v>
      </c>
    </row>
    <row r="4" spans="1:17" ht="20.100000000000001" customHeight="1" x14ac:dyDescent="0.25">
      <c r="A4" s="5" t="str">
        <f>HYPERLINK("#'Results - Activity period'!A1", "Results - Activity period")</f>
        <v>Results - Activity period</v>
      </c>
    </row>
    <row r="5" spans="1:17" ht="20.100000000000001" customHeight="1" x14ac:dyDescent="0.25">
      <c r="A5" s="5" t="str">
        <f>HYPERLINK("#'Results - Product EI'!A1", "Results - Product Emissions Intensity")</f>
        <v>Results - Product Emissions Intensity</v>
      </c>
    </row>
    <row r="6" spans="1:17" ht="20.100000000000001" customHeight="1" x14ac:dyDescent="0.25">
      <c r="A6" s="5" t="str">
        <f>HYPERLINK("#'Results'!A1", "Results")</f>
        <v>Results</v>
      </c>
    </row>
    <row r="7" spans="1:17" ht="20.100000000000001" customHeight="1" x14ac:dyDescent="0.25">
      <c r="A7"/>
    </row>
    <row r="8" spans="1:17" ht="20.100000000000001" customHeight="1" x14ac:dyDescent="0.25">
      <c r="A8"/>
    </row>
    <row r="9" spans="1:17" ht="20.100000000000001" customHeight="1" x14ac:dyDescent="0.25">
      <c r="A9" s="7" t="s">
        <v>0</v>
      </c>
    </row>
    <row r="10" spans="1:17" ht="20.100000000000001" customHeight="1" x14ac:dyDescent="0.25">
      <c r="A10" s="5" t="str">
        <f>HYPERLINK("#'Input - Enterprise'!A1", "Enterprise")</f>
        <v>Enterprise</v>
      </c>
    </row>
    <row r="11" spans="1:17" ht="20.100000000000001" customHeight="1" x14ac:dyDescent="0.25">
      <c r="A11" s="5" t="str">
        <f>HYPERLINK("#'Input - Site'!A1", "Site")</f>
        <v>Site</v>
      </c>
    </row>
    <row r="12" spans="1:17" ht="20.100000000000001" customHeight="1" x14ac:dyDescent="0.25">
      <c r="A12" s="5" t="str">
        <f>HYPERLINK("#'Input - Dairy'!A1", "Dairy")</f>
        <v>Dairy</v>
      </c>
    </row>
    <row r="13" spans="1:17" ht="20.100000000000001" customHeight="1" x14ac:dyDescent="0.25">
      <c r="A13" s="5" t="str">
        <f>HYPERLINK("#'Input - Livestock sales'!A1", "Livestock sales")</f>
        <v>Livestock sales</v>
      </c>
    </row>
    <row r="14" spans="1:17" ht="20.100000000000001" customHeight="1" x14ac:dyDescent="0.25">
      <c r="A14" s="5" t="str">
        <f>HYPERLINK("#'Input - Dairy cattle purchases'!A1", "Dairy cattle purchases")</f>
        <v>Dairy cattle purchases</v>
      </c>
    </row>
    <row r="15" spans="1:17" ht="20.100000000000001" customHeight="1" x14ac:dyDescent="0.25">
      <c r="A15" s="5" t="str">
        <f>HYPERLINK("#'Input - Pasture'!A1", "Pasture")</f>
        <v>Pasture</v>
      </c>
    </row>
    <row r="16" spans="1:17" ht="20.100000000000001" customHeight="1" x14ac:dyDescent="0.25">
      <c r="A16" s="5" t="str">
        <f>HYPERLINK("#'Input - Fert Prod System'!A1", "Fert Prod System")</f>
        <v>Fert Prod System</v>
      </c>
    </row>
    <row r="17" spans="1:12" ht="20.100000000000001" customHeight="1" x14ac:dyDescent="0.25">
      <c r="A17" s="5" t="str">
        <f>HYPERLINK("#'Input - Fertiliser'!A1", "Fertiliser")</f>
        <v>Fertiliser</v>
      </c>
    </row>
    <row r="18" spans="1:12" ht="20.100000000000001" customHeight="1" x14ac:dyDescent="0.25">
      <c r="A18" s="5" t="str">
        <f>HYPERLINK("#'Input - Fuel'!A1", "Fuel")</f>
        <v>Fuel</v>
      </c>
    </row>
    <row r="19" spans="1:12" ht="20.100000000000001" customHeight="1" x14ac:dyDescent="0.25">
      <c r="A19" s="5" t="str">
        <f>HYPERLINK("#'Input - Electricity'!A1", "Electricity")</f>
        <v>Electricity</v>
      </c>
    </row>
    <row r="20" spans="1:12" ht="20.100000000000001" customHeight="1" x14ac:dyDescent="0.25">
      <c r="A20" s="5" t="str">
        <f>HYPERLINK("#'Input - Common farm inputs'!A1", "Common farm inputs")</f>
        <v>Common farm inputs</v>
      </c>
    </row>
    <row r="21" spans="1:12" ht="20.100000000000001" customHeight="1" x14ac:dyDescent="0.25">
      <c r="A21" s="5" t="str">
        <f>HYPERLINK("#'Input - Crop pasture farm input'!A1", "Crop pasture farm input")</f>
        <v>Crop pasture farm input</v>
      </c>
    </row>
    <row r="22" spans="1:12" ht="20.100000000000001" customHeight="1" x14ac:dyDescent="0.25">
      <c r="A22" s="5" t="str">
        <f>HYPERLINK("#'Input - Livestock farm Inputs'!A1", "Livestock farm Inputs")</f>
        <v>Livestock farm Inputs</v>
      </c>
    </row>
    <row r="23" spans="1:12" ht="20.100000000000001" customHeight="1" x14ac:dyDescent="0.25">
      <c r="A23" s="5" t="str">
        <f>HYPERLINK("#'Input - Freight'!A1", "Freight")</f>
        <v>Freight</v>
      </c>
    </row>
    <row r="24" spans="1:12" ht="20.100000000000001" customHeight="1" x14ac:dyDescent="0.25">
      <c r="A24" s="5" t="str">
        <f>HYPERLINK("#'Input - Solid waste'!A1", "Solid waste")</f>
        <v>Solid waste</v>
      </c>
    </row>
    <row r="25" spans="1:12" ht="20.100000000000001" customHeight="1" x14ac:dyDescent="0.25">
      <c r="A25" s="5" t="str">
        <f>HYPERLINK("#'Input - Manure sent off-site'!A1", "Manure sent off-site")</f>
        <v>Manure sent off-site</v>
      </c>
    </row>
    <row r="26" spans="1:12" ht="20.100000000000001" customHeight="1" x14ac:dyDescent="0.25">
      <c r="A26" s="5" t="str">
        <f>HYPERLINK("#'Input - Refrigerants'!A1", "Refrigerants")</f>
        <v>Refrigerants</v>
      </c>
    </row>
    <row r="27" spans="1:12" ht="20.100000000000001" customHeight="1" x14ac:dyDescent="0.25">
      <c r="A27" s="5" t="str">
        <f>HYPERLINK("#'Input - Data quality'!A1", "Data quality")</f>
        <v>Data quality</v>
      </c>
    </row>
    <row r="28" spans="1:12" ht="20.100000000000001" customHeight="1" x14ac:dyDescent="0.25">
      <c r="A28"/>
    </row>
    <row r="29" spans="1:12" ht="20.100000000000001" customHeight="1" x14ac:dyDescent="0.25">
      <c r="A29"/>
    </row>
    <row r="30" spans="1:12" ht="20.100000000000001" customHeight="1" x14ac:dyDescent="0.25">
      <c r="A30" s="6" t="s">
        <v>2</v>
      </c>
    </row>
    <row r="31" spans="1:12" ht="20.100000000000001" customHeight="1" x14ac:dyDescent="0.25">
      <c r="A31" s="5" t="str">
        <f>HYPERLINK("#'3.3.1.1-2 Enteric Methane'!A1", "3.3.1.1-2 Enteric methane")</f>
        <v>3.3.1.1-2 Enteric methane</v>
      </c>
    </row>
    <row r="32" spans="1:12" ht="20.100000000000001" customHeight="1" x14ac:dyDescent="0.25">
      <c r="A32" s="5" t="str">
        <f>HYPERLINK("#'4.3.1.1-2 Methane'!A1", "4.3.1.1-2 Manure methane")</f>
        <v>4.3.1.1-2 Manure methane</v>
      </c>
      <c r="D32" s="2" t="s">
        <v>1437</v>
      </c>
      <c r="L32" s="1" t="s">
        <v>1438</v>
      </c>
    </row>
    <row r="33" spans="1:13" ht="20.100000000000001" customHeight="1" x14ac:dyDescent="0.25">
      <c r="A33" s="5" t="str">
        <f>HYPERLINK("#'4.3.1.3-4 Direct N20'!A1", "4.3.1.3-4 Direct N20")</f>
        <v>4.3.1.3-4 Direct N20</v>
      </c>
      <c r="D33" s="19" t="s">
        <v>1439</v>
      </c>
      <c r="E33" s="19" t="s">
        <v>131</v>
      </c>
      <c r="F33" s="19" t="s">
        <v>1440</v>
      </c>
      <c r="G33" s="19" t="s">
        <v>1441</v>
      </c>
      <c r="H33" s="19" t="s">
        <v>1442</v>
      </c>
      <c r="I33" s="19" t="s">
        <v>1443</v>
      </c>
      <c r="J33" s="19" t="s">
        <v>834</v>
      </c>
      <c r="L33" s="19" t="s">
        <v>1444</v>
      </c>
      <c r="M33" s="19" t="s">
        <v>1445</v>
      </c>
    </row>
    <row r="34" spans="1:13" ht="20.100000000000001" customHeight="1" x14ac:dyDescent="0.25">
      <c r="A34" s="5" t="str">
        <f>HYPERLINK("#'4.3.1.5 Atmos deposition'!A1", "4.3.1.5 Atmos deposition")</f>
        <v>4.3.1.5 Atmos deposition</v>
      </c>
      <c r="D34" s="19" t="str" cm="1">
        <f t="array" ref="D34">Common_InputFunctions.Utility_DisplayArrayInTable(Scope3_SourceData.Scope3_Livestock_Data(), Table_SourceData_Scope3_Animals[[#Headers],[Category]], 0, 2)</f>
        <v>Beef cattle</v>
      </c>
      <c r="E34" s="19" t="str" cm="1">
        <f t="array" ref="E34">Common_InputFunctions.Utility_DisplayArrayInTable(Scope3_SourceData.Scope3_Livestock_Data(), Table_SourceData_Scope3_Animals[[#Headers],[Category]], 0, 2)</f>
        <v>Cattle, for manufacturing beef</v>
      </c>
      <c r="F34" s="19" t="str" cm="1">
        <f t="array" ref="F34">Common_InputFunctions.Utility_DisplayArrayInTable(Scope3_SourceData.Scope3_Livestock_Data(), Table_SourceData_Scope3_Animals[[#Headers],[Category]], 0, 2)</f>
        <v>Australia</v>
      </c>
      <c r="G34" s="19" t="str" cm="1">
        <f t="array" ref="G34">Common_InputFunctions.Utility_DisplayArrayInTable(Scope3_SourceData.Scope3_Livestock_Data(), Table_SourceData_Scope3_Animals[[#Headers],[Category]], 0, 2)</f>
        <v>kg liveweight</v>
      </c>
      <c r="H34" s="19" cm="1">
        <f t="array" ref="H34">Common_InputFunctions.Utility_DisplayArrayInTable(Scope3_SourceData.Scope3_Livestock_Data(), Table_SourceData_Scope3_Animals[[#Headers],[Category]], 0, 2)</f>
        <v>11</v>
      </c>
      <c r="I34" s="19" t="str" cm="1">
        <f t="array" ref="I34">Common_InputFunctions.Utility_DisplayArrayInTable(Scope3_SourceData.Scope3_Livestock_Data(), Table_SourceData_Scope3_Animals[[#Headers],[Category]], 0, 2)</f>
        <v>at market</v>
      </c>
      <c r="J34" s="19" t="s">
        <v>1446</v>
      </c>
      <c r="L34" s="19" t="s">
        <v>635</v>
      </c>
      <c r="M34" s="19" t="s">
        <v>636</v>
      </c>
    </row>
    <row r="35" spans="1:13" ht="20.100000000000001" customHeight="1" x14ac:dyDescent="0.25">
      <c r="A35" s="5" t="str">
        <f>HYPERLINK("#'4.3.1.6-7 Leaching and runoff'!A1", "4.3.1.6-7 Leaching &amp; runoff")</f>
        <v>4.3.1.6-7 Leaching &amp; runoff</v>
      </c>
      <c r="D35" s="19" t="str" cm="1">
        <f t="array" ref="D35">Common_InputFunctions.Utility_DisplayArrayInTable(Scope3_SourceData.Scope3_Livestock_Data(), Table_SourceData_Scope3_Animals[[#Headers],[Category]], 0, 2)</f>
        <v>Beef cattle</v>
      </c>
      <c r="E35" s="19" t="str" cm="1">
        <f t="array" ref="E35">Common_InputFunctions.Utility_DisplayArrayInTable(Scope3_SourceData.Scope3_Livestock_Data(), Table_SourceData_Scope3_Animals[[#Headers],[Category]], 0, 2)</f>
        <v>Cattle, for manufacturing beef</v>
      </c>
      <c r="F35" s="19" t="str" cm="1">
        <f t="array" ref="F35">Common_InputFunctions.Utility_DisplayArrayInTable(Scope3_SourceData.Scope3_Livestock_Data(), Table_SourceData_Scope3_Animals[[#Headers],[Category]], 0, 2)</f>
        <v>NSW</v>
      </c>
      <c r="G35" s="19" t="str" cm="1">
        <f t="array" ref="G35">Common_InputFunctions.Utility_DisplayArrayInTable(Scope3_SourceData.Scope3_Livestock_Data(), Table_SourceData_Scope3_Animals[[#Headers],[Category]], 0, 2)</f>
        <v>kg liveweight</v>
      </c>
      <c r="H35" s="19" cm="1">
        <f t="array" ref="H35">Common_InputFunctions.Utility_DisplayArrayInTable(Scope3_SourceData.Scope3_Livestock_Data(), Table_SourceData_Scope3_Animals[[#Headers],[Category]], 0, 2)</f>
        <v>8.2100000000000009</v>
      </c>
      <c r="I35" s="19" t="str" cm="1">
        <f t="array" ref="I35">Common_InputFunctions.Utility_DisplayArrayInTable(Scope3_SourceData.Scope3_Livestock_Data(), Table_SourceData_Scope3_Animals[[#Headers],[Category]], 0, 2)</f>
        <v>at market</v>
      </c>
      <c r="J35" s="19" t="s">
        <v>1446</v>
      </c>
      <c r="L35" s="19" t="s">
        <v>636</v>
      </c>
      <c r="M35" s="19" t="s">
        <v>636</v>
      </c>
    </row>
    <row r="36" spans="1:13" ht="20.100000000000001" customHeight="1" x14ac:dyDescent="0.25">
      <c r="A36" s="5" t="str">
        <f>HYPERLINK("#'4.3.1.8 Manure applied to soils'!A1", "4.3.1.8 Manure applied to soils")</f>
        <v>4.3.1.8 Manure applied to soils</v>
      </c>
      <c r="D36" s="19" t="str" cm="1">
        <f t="array" ref="D36">Common_InputFunctions.Utility_DisplayArrayInTable(Scope3_SourceData.Scope3_Livestock_Data(), Table_SourceData_Scope3_Animals[[#Headers],[Category]], 0, 2)</f>
        <v>Beef cattle</v>
      </c>
      <c r="E36" s="19" t="str" cm="1">
        <f t="array" ref="E36">Common_InputFunctions.Utility_DisplayArrayInTable(Scope3_SourceData.Scope3_Livestock_Data(), Table_SourceData_Scope3_Animals[[#Headers],[Category]], 0, 2)</f>
        <v>Cattle, for manufacturing beef</v>
      </c>
      <c r="F36" s="19" t="str" cm="1">
        <f t="array" ref="F36">Common_InputFunctions.Utility_DisplayArrayInTable(Scope3_SourceData.Scope3_Livestock_Data(), Table_SourceData_Scope3_Animals[[#Headers],[Category]], 0, 2)</f>
        <v>NT</v>
      </c>
      <c r="G36" s="19" t="str" cm="1">
        <f t="array" ref="G36">Common_InputFunctions.Utility_DisplayArrayInTable(Scope3_SourceData.Scope3_Livestock_Data(), Table_SourceData_Scope3_Animals[[#Headers],[Category]], 0, 2)</f>
        <v>kg liveweight</v>
      </c>
      <c r="H36" s="19" cm="1">
        <f t="array" ref="H36">Common_InputFunctions.Utility_DisplayArrayInTable(Scope3_SourceData.Scope3_Livestock_Data(), Table_SourceData_Scope3_Animals[[#Headers],[Category]], 0, 2)</f>
        <v>12.2</v>
      </c>
      <c r="I36" s="19" t="str" cm="1">
        <f t="array" ref="I36">Common_InputFunctions.Utility_DisplayArrayInTable(Scope3_SourceData.Scope3_Livestock_Data(), Table_SourceData_Scope3_Animals[[#Headers],[Category]], 0, 2)</f>
        <v>at market</v>
      </c>
      <c r="J36" s="19" t="s">
        <v>1446</v>
      </c>
      <c r="L36" s="19" t="s">
        <v>639</v>
      </c>
      <c r="M36" s="19" t="s">
        <v>639</v>
      </c>
    </row>
    <row r="37" spans="1:13" ht="20.100000000000001" customHeight="1" x14ac:dyDescent="0.25">
      <c r="A37" s="5" t="str">
        <f>HYPERLINK("#'4.3.1.9 Soil direct N2O'!A1", "4.3.1.9 Soil direct N2O")</f>
        <v>4.3.1.9 Soil direct N2O</v>
      </c>
      <c r="D37" s="19" t="str" cm="1">
        <f t="array" ref="D37">Common_InputFunctions.Utility_DisplayArrayInTable(Scope3_SourceData.Scope3_Livestock_Data(), Table_SourceData_Scope3_Animals[[#Headers],[Category]], 0, 2)</f>
        <v>Beef cattle</v>
      </c>
      <c r="E37" s="19" t="str" cm="1">
        <f t="array" ref="E37">Common_InputFunctions.Utility_DisplayArrayInTable(Scope3_SourceData.Scope3_Livestock_Data(), Table_SourceData_Scope3_Animals[[#Headers],[Category]], 0, 2)</f>
        <v>Cattle, for manufacturing beef</v>
      </c>
      <c r="F37" s="19" t="str" cm="1">
        <f t="array" ref="F37">Common_InputFunctions.Utility_DisplayArrayInTable(Scope3_SourceData.Scope3_Livestock_Data(), Table_SourceData_Scope3_Animals[[#Headers],[Category]], 0, 2)</f>
        <v>QLD</v>
      </c>
      <c r="G37" s="19" t="str" cm="1">
        <f t="array" ref="G37">Common_InputFunctions.Utility_DisplayArrayInTable(Scope3_SourceData.Scope3_Livestock_Data(), Table_SourceData_Scope3_Animals[[#Headers],[Category]], 0, 2)</f>
        <v>kg liveweight</v>
      </c>
      <c r="H37" s="19" cm="1">
        <f t="array" ref="H37">Common_InputFunctions.Utility_DisplayArrayInTable(Scope3_SourceData.Scope3_Livestock_Data(), Table_SourceData_Scope3_Animals[[#Headers],[Category]], 0, 2)</f>
        <v>10.9</v>
      </c>
      <c r="I37" s="19" t="str" cm="1">
        <f t="array" ref="I37">Common_InputFunctions.Utility_DisplayArrayInTable(Scope3_SourceData.Scope3_Livestock_Data(), Table_SourceData_Scope3_Animals[[#Headers],[Category]], 0, 2)</f>
        <v>at market</v>
      </c>
      <c r="J37" s="19" t="s">
        <v>1446</v>
      </c>
      <c r="L37" s="19" t="s">
        <v>640</v>
      </c>
      <c r="M37" s="19" t="s">
        <v>640</v>
      </c>
    </row>
    <row r="38" spans="1:13" ht="20.100000000000001" customHeight="1" x14ac:dyDescent="0.25">
      <c r="A38" s="5" t="str">
        <f>HYPERLINK("#'4.3.1.10-11 Soil Atmos Dep'!A1", "4.3.1.10-11 Soil Atmos Deposition")</f>
        <v>4.3.1.10-11 Soil Atmos Deposition</v>
      </c>
      <c r="D38" s="19" t="str" cm="1">
        <f t="array" ref="D38">Common_InputFunctions.Utility_DisplayArrayInTable(Scope3_SourceData.Scope3_Livestock_Data(), Table_SourceData_Scope3_Animals[[#Headers],[Category]], 0, 2)</f>
        <v>Beef cattle</v>
      </c>
      <c r="E38" s="19" t="str" cm="1">
        <f t="array" ref="E38">Common_InputFunctions.Utility_DisplayArrayInTable(Scope3_SourceData.Scope3_Livestock_Data(), Table_SourceData_Scope3_Animals[[#Headers],[Category]], 0, 2)</f>
        <v>Cattle, for manufacturing beef</v>
      </c>
      <c r="F38" s="19" t="str" cm="1">
        <f t="array" ref="F38">Common_InputFunctions.Utility_DisplayArrayInTable(Scope3_SourceData.Scope3_Livestock_Data(), Table_SourceData_Scope3_Animals[[#Headers],[Category]], 0, 2)</f>
        <v>SA</v>
      </c>
      <c r="G38" s="19" t="str" cm="1">
        <f t="array" ref="G38">Common_InputFunctions.Utility_DisplayArrayInTable(Scope3_SourceData.Scope3_Livestock_Data(), Table_SourceData_Scope3_Animals[[#Headers],[Category]], 0, 2)</f>
        <v>kg liveweight</v>
      </c>
      <c r="H38" s="19" cm="1">
        <f t="array" ref="H38">Common_InputFunctions.Utility_DisplayArrayInTable(Scope3_SourceData.Scope3_Livestock_Data(), Table_SourceData_Scope3_Animals[[#Headers],[Category]], 0, 2)</f>
        <v>7.63</v>
      </c>
      <c r="I38" s="19" t="str" cm="1">
        <f t="array" ref="I38">Common_InputFunctions.Utility_DisplayArrayInTable(Scope3_SourceData.Scope3_Livestock_Data(), Table_SourceData_Scope3_Animals[[#Headers],[Category]], 0, 2)</f>
        <v>at market</v>
      </c>
      <c r="J38" s="19" t="s">
        <v>1446</v>
      </c>
      <c r="L38" s="19" t="s">
        <v>641</v>
      </c>
      <c r="M38" s="19" t="s">
        <v>641</v>
      </c>
    </row>
    <row r="39" spans="1:13" ht="20.100000000000001" customHeight="1" x14ac:dyDescent="0.25">
      <c r="A39" s="5" t="str">
        <f>HYPERLINK("#'4.3.1.12-13 Soil leach runoff'!A1", "4.3.1.12-13 Soil leach &amp; runoff")</f>
        <v>4.3.1.12-13 Soil leach &amp; runoff</v>
      </c>
      <c r="D39" s="19" t="str" cm="1">
        <f t="array" ref="D39">Common_InputFunctions.Utility_DisplayArrayInTable(Scope3_SourceData.Scope3_Livestock_Data(), Table_SourceData_Scope3_Animals[[#Headers],[Category]], 0, 2)</f>
        <v>Beef cattle</v>
      </c>
      <c r="E39" s="19" t="str" cm="1">
        <f t="array" ref="E39">Common_InputFunctions.Utility_DisplayArrayInTable(Scope3_SourceData.Scope3_Livestock_Data(), Table_SourceData_Scope3_Animals[[#Headers],[Category]], 0, 2)</f>
        <v>Cattle, for manufacturing beef</v>
      </c>
      <c r="F39" s="19" t="str" cm="1">
        <f t="array" ref="F39">Common_InputFunctions.Utility_DisplayArrayInTable(Scope3_SourceData.Scope3_Livestock_Data(), Table_SourceData_Scope3_Animals[[#Headers],[Category]], 0, 2)</f>
        <v>TAS</v>
      </c>
      <c r="G39" s="19" t="str" cm="1">
        <f t="array" ref="G39">Common_InputFunctions.Utility_DisplayArrayInTable(Scope3_SourceData.Scope3_Livestock_Data(), Table_SourceData_Scope3_Animals[[#Headers],[Category]], 0, 2)</f>
        <v>kg liveweight</v>
      </c>
      <c r="H39" s="19" cm="1">
        <f t="array" ref="H39">Common_InputFunctions.Utility_DisplayArrayInTable(Scope3_SourceData.Scope3_Livestock_Data(), Table_SourceData_Scope3_Animals[[#Headers],[Category]], 0, 2)</f>
        <v>8.75</v>
      </c>
      <c r="I39" s="19" t="str" cm="1">
        <f t="array" ref="I39">Common_InputFunctions.Utility_DisplayArrayInTable(Scope3_SourceData.Scope3_Livestock_Data(), Table_SourceData_Scope3_Animals[[#Headers],[Category]], 0, 2)</f>
        <v>at market</v>
      </c>
      <c r="J39" s="19" t="s">
        <v>1446</v>
      </c>
      <c r="L39" s="19" t="s">
        <v>1447</v>
      </c>
      <c r="M39" s="19" t="s">
        <v>642</v>
      </c>
    </row>
    <row r="40" spans="1:13" ht="20.100000000000001" customHeight="1" x14ac:dyDescent="0.25">
      <c r="A40" s="5" t="str">
        <f>HYPERLINK("#'5.1.1.1-2 Inorganic fert N2O'!A1", "5.1.1.1-2 Inorganic fert N2O")</f>
        <v>5.1.1.1-2 Inorganic fert N2O</v>
      </c>
      <c r="D40" s="19" t="str" cm="1">
        <f t="array" ref="D40">Common_InputFunctions.Utility_DisplayArrayInTable(Scope3_SourceData.Scope3_Livestock_Data(), Table_SourceData_Scope3_Animals[[#Headers],[Category]], 0, 2)</f>
        <v>Beef cattle</v>
      </c>
      <c r="E40" s="19" t="str" cm="1">
        <f t="array" ref="E40">Common_InputFunctions.Utility_DisplayArrayInTable(Scope3_SourceData.Scope3_Livestock_Data(), Table_SourceData_Scope3_Animals[[#Headers],[Category]], 0, 2)</f>
        <v>Cattle, for manufacturing beef</v>
      </c>
      <c r="F40" s="19" t="str" cm="1">
        <f t="array" ref="F40">Common_InputFunctions.Utility_DisplayArrayInTable(Scope3_SourceData.Scope3_Livestock_Data(), Table_SourceData_Scope3_Animals[[#Headers],[Category]], 0, 2)</f>
        <v>VIC</v>
      </c>
      <c r="G40" s="19" t="str" cm="1">
        <f t="array" ref="G40">Common_InputFunctions.Utility_DisplayArrayInTable(Scope3_SourceData.Scope3_Livestock_Data(), Table_SourceData_Scope3_Animals[[#Headers],[Category]], 0, 2)</f>
        <v>kg liveweight</v>
      </c>
      <c r="H40" s="19" cm="1">
        <f t="array" ref="H40">Common_InputFunctions.Utility_DisplayArrayInTable(Scope3_SourceData.Scope3_Livestock_Data(), Table_SourceData_Scope3_Animals[[#Headers],[Category]], 0, 2)</f>
        <v>8.17</v>
      </c>
      <c r="I40" s="19" t="str" cm="1">
        <f t="array" ref="I40">Common_InputFunctions.Utility_DisplayArrayInTable(Scope3_SourceData.Scope3_Livestock_Data(), Table_SourceData_Scope3_Animals[[#Headers],[Category]], 0, 2)</f>
        <v>at market</v>
      </c>
      <c r="J40" s="19" t="s">
        <v>1446</v>
      </c>
      <c r="L40" s="19" t="s">
        <v>1448</v>
      </c>
      <c r="M40" s="19" t="s">
        <v>642</v>
      </c>
    </row>
    <row r="41" spans="1:13" ht="20.100000000000001" customHeight="1" x14ac:dyDescent="0.25">
      <c r="A41" s="5" t="str">
        <f>HYPERLINK("#'5.1.1.3-4 Inorganic fert CO2'!A1", "5.1.1.3-4 Inorganic fert CO2")</f>
        <v>5.1.1.3-4 Inorganic fert CO2</v>
      </c>
      <c r="D41" s="19" t="str" cm="1">
        <f t="array" ref="D41">Common_InputFunctions.Utility_DisplayArrayInTable(Scope3_SourceData.Scope3_Livestock_Data(), Table_SourceData_Scope3_Animals[[#Headers],[Category]], 0, 2)</f>
        <v>Beef cattle</v>
      </c>
      <c r="E41" s="19" t="str" cm="1">
        <f t="array" ref="E41">Common_InputFunctions.Utility_DisplayArrayInTable(Scope3_SourceData.Scope3_Livestock_Data(), Table_SourceData_Scope3_Animals[[#Headers],[Category]], 0, 2)</f>
        <v>Cattle, for manufacturing beef</v>
      </c>
      <c r="F41" s="19" t="str" cm="1">
        <f t="array" ref="F41">Common_InputFunctions.Utility_DisplayArrayInTable(Scope3_SourceData.Scope3_Livestock_Data(), Table_SourceData_Scope3_Animals[[#Headers],[Category]], 0, 2)</f>
        <v>WA</v>
      </c>
      <c r="G41" s="19" t="str" cm="1">
        <f t="array" ref="G41">Common_InputFunctions.Utility_DisplayArrayInTable(Scope3_SourceData.Scope3_Livestock_Data(), Table_SourceData_Scope3_Animals[[#Headers],[Category]], 0, 2)</f>
        <v>kg liveweight</v>
      </c>
      <c r="H41" s="19" cm="1">
        <f t="array" ref="H41">Common_InputFunctions.Utility_DisplayArrayInTable(Scope3_SourceData.Scope3_Livestock_Data(), Table_SourceData_Scope3_Animals[[#Headers],[Category]], 0, 2)</f>
        <v>13.1</v>
      </c>
      <c r="I41" s="19" t="str" cm="1">
        <f t="array" ref="I41">Common_InputFunctions.Utility_DisplayArrayInTable(Scope3_SourceData.Scope3_Livestock_Data(), Table_SourceData_Scope3_Animals[[#Headers],[Category]], 0, 2)</f>
        <v>at market</v>
      </c>
      <c r="J41" s="19" t="s">
        <v>1446</v>
      </c>
      <c r="L41" s="19" t="s">
        <v>1449</v>
      </c>
      <c r="M41" s="19" t="s">
        <v>642</v>
      </c>
    </row>
    <row r="42" spans="1:13" ht="20.100000000000001" customHeight="1" x14ac:dyDescent="0.25">
      <c r="A42" s="5" t="str">
        <f>HYPERLINK("#'5.2.1.1-2 Organic Fert N2O'!A1", "5.2.1.1-2 Organic fert N2O")</f>
        <v>5.2.1.1-2 Organic fert N2O</v>
      </c>
      <c r="D42" s="19" t="str" cm="1">
        <f t="array" ref="D42">Common_InputFunctions.Utility_DisplayArrayInTable(Scope3_SourceData.Scope3_Livestock_Data(), Table_SourceData_Scope3_Animals[[#Headers],[Category]], 0, 2)</f>
        <v>Beef cattle</v>
      </c>
      <c r="E42" s="19" t="str" cm="1">
        <f t="array" ref="E42">Common_InputFunctions.Utility_DisplayArrayInTable(Scope3_SourceData.Scope3_Livestock_Data(), Table_SourceData_Scope3_Animals[[#Headers],[Category]], 0, 2)</f>
        <v>Cattle, for prime beef</v>
      </c>
      <c r="F42" s="19" t="str" cm="1">
        <f t="array" ref="F42">Common_InputFunctions.Utility_DisplayArrayInTable(Scope3_SourceData.Scope3_Livestock_Data(), Table_SourceData_Scope3_Animals[[#Headers],[Category]], 0, 2)</f>
        <v>Australia</v>
      </c>
      <c r="G42" s="19" t="str" cm="1">
        <f t="array" ref="G42">Common_InputFunctions.Utility_DisplayArrayInTable(Scope3_SourceData.Scope3_Livestock_Data(), Table_SourceData_Scope3_Animals[[#Headers],[Category]], 0, 2)</f>
        <v>kg liveweight</v>
      </c>
      <c r="H42" s="19" cm="1">
        <f t="array" ref="H42">Common_InputFunctions.Utility_DisplayArrayInTable(Scope3_SourceData.Scope3_Livestock_Data(), Table_SourceData_Scope3_Animals[[#Headers],[Category]], 0, 2)</f>
        <v>14.5</v>
      </c>
      <c r="I42" s="19" t="str" cm="1">
        <f t="array" ref="I42">Common_InputFunctions.Utility_DisplayArrayInTable(Scope3_SourceData.Scope3_Livestock_Data(), Table_SourceData_Scope3_Animals[[#Headers],[Category]], 0, 2)</f>
        <v>at market</v>
      </c>
      <c r="J42" s="19" t="s">
        <v>1446</v>
      </c>
      <c r="L42" s="19" t="s">
        <v>1450</v>
      </c>
      <c r="M42" s="19" t="s">
        <v>637</v>
      </c>
    </row>
    <row r="43" spans="1:13" ht="20.100000000000001" customHeight="1" x14ac:dyDescent="0.25">
      <c r="A43" s="5" t="str">
        <f>HYPERLINK("#'5.3.1.1-2 Lime CO2'!A1", "5.3.1.1-2 Lime CO2")</f>
        <v>5.3.1.1-2 Lime CO2</v>
      </c>
      <c r="D43" s="19" t="str" cm="1">
        <f t="array" ref="D43">Common_InputFunctions.Utility_DisplayArrayInTable(Scope3_SourceData.Scope3_Livestock_Data(), Table_SourceData_Scope3_Animals[[#Headers],[Category]], 0, 2)</f>
        <v>Beef cattle</v>
      </c>
      <c r="E43" s="19" t="str" cm="1">
        <f t="array" ref="E43">Common_InputFunctions.Utility_DisplayArrayInTable(Scope3_SourceData.Scope3_Livestock_Data(), Table_SourceData_Scope3_Animals[[#Headers],[Category]], 0, 2)</f>
        <v>Cattle, for prime beef</v>
      </c>
      <c r="F43" s="19" t="str" cm="1">
        <f t="array" ref="F43">Common_InputFunctions.Utility_DisplayArrayInTable(Scope3_SourceData.Scope3_Livestock_Data(), Table_SourceData_Scope3_Animals[[#Headers],[Category]], 0, 2)</f>
        <v>NSW</v>
      </c>
      <c r="G43" s="19" t="str" cm="1">
        <f t="array" ref="G43">Common_InputFunctions.Utility_DisplayArrayInTable(Scope3_SourceData.Scope3_Livestock_Data(), Table_SourceData_Scope3_Animals[[#Headers],[Category]], 0, 2)</f>
        <v>kg liveweight</v>
      </c>
      <c r="H43" s="19" cm="1">
        <f t="array" ref="H43">Common_InputFunctions.Utility_DisplayArrayInTable(Scope3_SourceData.Scope3_Livestock_Data(), Table_SourceData_Scope3_Animals[[#Headers],[Category]], 0, 2)</f>
        <v>11.3</v>
      </c>
      <c r="I43" s="19" t="str" cm="1">
        <f t="array" ref="I43">Common_InputFunctions.Utility_DisplayArrayInTable(Scope3_SourceData.Scope3_Livestock_Data(), Table_SourceData_Scope3_Animals[[#Headers],[Category]], 0, 2)</f>
        <v>at market</v>
      </c>
      <c r="J43" s="19" t="s">
        <v>1446</v>
      </c>
      <c r="L43" s="19" t="s">
        <v>1451</v>
      </c>
      <c r="M43" s="19" t="s">
        <v>637</v>
      </c>
    </row>
    <row r="44" spans="1:13" ht="20.100000000000001" customHeight="1" x14ac:dyDescent="0.25">
      <c r="A44" s="5" t="str">
        <f>HYPERLINK("#'5.4.1.1-4 Atmos deposition'!A1", "5.4.1.1-4 Atmos. deposition")</f>
        <v>5.4.1.1-4 Atmos. deposition</v>
      </c>
      <c r="D44" s="19" t="str" cm="1">
        <f t="array" ref="D44">Common_InputFunctions.Utility_DisplayArrayInTable(Scope3_SourceData.Scope3_Livestock_Data(), Table_SourceData_Scope3_Animals[[#Headers],[Category]], 0, 2)</f>
        <v>Beef cattle</v>
      </c>
      <c r="E44" s="19" t="str" cm="1">
        <f t="array" ref="E44">Common_InputFunctions.Utility_DisplayArrayInTable(Scope3_SourceData.Scope3_Livestock_Data(), Table_SourceData_Scope3_Animals[[#Headers],[Category]], 0, 2)</f>
        <v>Cattle, for prime beef</v>
      </c>
      <c r="F44" s="19" t="str" cm="1">
        <f t="array" ref="F44">Common_InputFunctions.Utility_DisplayArrayInTable(Scope3_SourceData.Scope3_Livestock_Data(), Table_SourceData_Scope3_Animals[[#Headers],[Category]], 0, 2)</f>
        <v>NT</v>
      </c>
      <c r="G44" s="19" t="str" cm="1">
        <f t="array" ref="G44">Common_InputFunctions.Utility_DisplayArrayInTable(Scope3_SourceData.Scope3_Livestock_Data(), Table_SourceData_Scope3_Animals[[#Headers],[Category]], 0, 2)</f>
        <v>kg liveweight</v>
      </c>
      <c r="H44" s="19" cm="1">
        <f t="array" ref="H44">Common_InputFunctions.Utility_DisplayArrayInTable(Scope3_SourceData.Scope3_Livestock_Data(), Table_SourceData_Scope3_Animals[[#Headers],[Category]], 0, 2)</f>
        <v>18.899999999999999</v>
      </c>
      <c r="I44" s="19" t="str" cm="1">
        <f t="array" ref="I44">Common_InputFunctions.Utility_DisplayArrayInTable(Scope3_SourceData.Scope3_Livestock_Data(), Table_SourceData_Scope3_Animals[[#Headers],[Category]], 0, 2)</f>
        <v>at market</v>
      </c>
      <c r="J44" s="19" t="s">
        <v>1446</v>
      </c>
      <c r="L44" s="19" t="s">
        <v>1452</v>
      </c>
      <c r="M44" s="19" t="s">
        <v>637</v>
      </c>
    </row>
    <row r="45" spans="1:13" ht="20.100000000000001" customHeight="1" x14ac:dyDescent="0.25">
      <c r="A45" s="5" t="str">
        <f>HYPERLINK("#'5.5.1.1-2 Leaching and runoff'!A1", "5.5.1.1-2 Leaching &amp; runoff")</f>
        <v>5.5.1.1-2 Leaching &amp; runoff</v>
      </c>
      <c r="D45" s="19" t="str" cm="1">
        <f t="array" ref="D45">Common_InputFunctions.Utility_DisplayArrayInTable(Scope3_SourceData.Scope3_Livestock_Data(), Table_SourceData_Scope3_Animals[[#Headers],[Category]], 0, 2)</f>
        <v>Beef cattle</v>
      </c>
      <c r="E45" s="19" t="str" cm="1">
        <f t="array" ref="E45">Common_InputFunctions.Utility_DisplayArrayInTable(Scope3_SourceData.Scope3_Livestock_Data(), Table_SourceData_Scope3_Animals[[#Headers],[Category]], 0, 2)</f>
        <v>Cattle, for prime beef</v>
      </c>
      <c r="F45" s="19" t="str" cm="1">
        <f t="array" ref="F45">Common_InputFunctions.Utility_DisplayArrayInTable(Scope3_SourceData.Scope3_Livestock_Data(), Table_SourceData_Scope3_Animals[[#Headers],[Category]], 0, 2)</f>
        <v>QLD</v>
      </c>
      <c r="G45" s="19" t="str" cm="1">
        <f t="array" ref="G45">Common_InputFunctions.Utility_DisplayArrayInTable(Scope3_SourceData.Scope3_Livestock_Data(), Table_SourceData_Scope3_Animals[[#Headers],[Category]], 0, 2)</f>
        <v>kg liveweight</v>
      </c>
      <c r="H45" s="19" cm="1">
        <f t="array" ref="H45">Common_InputFunctions.Utility_DisplayArrayInTable(Scope3_SourceData.Scope3_Livestock_Data(), Table_SourceData_Scope3_Animals[[#Headers],[Category]], 0, 2)</f>
        <v>13.9</v>
      </c>
      <c r="I45" s="19" t="str" cm="1">
        <f t="array" ref="I45">Common_InputFunctions.Utility_DisplayArrayInTable(Scope3_SourceData.Scope3_Livestock_Data(), Table_SourceData_Scope3_Animals[[#Headers],[Category]], 0, 2)</f>
        <v>at market</v>
      </c>
      <c r="J45" s="19" t="s">
        <v>1446</v>
      </c>
      <c r="L45" s="19" t="s">
        <v>1453</v>
      </c>
      <c r="M45" s="19" t="s">
        <v>638</v>
      </c>
    </row>
    <row r="46" spans="1:13" ht="20.100000000000001" customHeight="1" x14ac:dyDescent="0.25">
      <c r="A46" s="5" t="str">
        <f>HYPERLINK("#'6.2.1.1-2 Pasture residue N2O'!A1", "6.2.1.1-2 Pasture residue N2O")</f>
        <v>6.2.1.1-2 Pasture residue N2O</v>
      </c>
      <c r="D46" s="19" t="str" cm="1">
        <f t="array" ref="D46">Common_InputFunctions.Utility_DisplayArrayInTable(Scope3_SourceData.Scope3_Livestock_Data(), Table_SourceData_Scope3_Animals[[#Headers],[Category]], 0, 2)</f>
        <v>Beef cattle</v>
      </c>
      <c r="E46" s="19" t="str" cm="1">
        <f t="array" ref="E46">Common_InputFunctions.Utility_DisplayArrayInTable(Scope3_SourceData.Scope3_Livestock_Data(), Table_SourceData_Scope3_Animals[[#Headers],[Category]], 0, 2)</f>
        <v>Cattle, for prime beef</v>
      </c>
      <c r="F46" s="19" t="str" cm="1">
        <f t="array" ref="F46">Common_InputFunctions.Utility_DisplayArrayInTable(Scope3_SourceData.Scope3_Livestock_Data(), Table_SourceData_Scope3_Animals[[#Headers],[Category]], 0, 2)</f>
        <v>SA</v>
      </c>
      <c r="G46" s="19" t="str" cm="1">
        <f t="array" ref="G46">Common_InputFunctions.Utility_DisplayArrayInTable(Scope3_SourceData.Scope3_Livestock_Data(), Table_SourceData_Scope3_Animals[[#Headers],[Category]], 0, 2)</f>
        <v>kg liveweight</v>
      </c>
      <c r="H46" s="19" cm="1">
        <f t="array" ref="H46">Common_InputFunctions.Utility_DisplayArrayInTable(Scope3_SourceData.Scope3_Livestock_Data(), Table_SourceData_Scope3_Animals[[#Headers],[Category]], 0, 2)</f>
        <v>12.3</v>
      </c>
      <c r="I46" s="19" t="str" cm="1">
        <f t="array" ref="I46">Common_InputFunctions.Utility_DisplayArrayInTable(Scope3_SourceData.Scope3_Livestock_Data(), Table_SourceData_Scope3_Animals[[#Headers],[Category]], 0, 2)</f>
        <v>at market</v>
      </c>
      <c r="J46" s="19" t="s">
        <v>1446</v>
      </c>
      <c r="L46" s="19" t="s">
        <v>1454</v>
      </c>
      <c r="M46" s="19" t="s">
        <v>638</v>
      </c>
    </row>
    <row r="47" spans="1:13" ht="20.100000000000001" customHeight="1" x14ac:dyDescent="0.25">
      <c r="A47" s="5" t="str">
        <f>HYPERLINK("#'6.3.1.1-2 Leach runoff pasture'!A1", "6.3.1.1-2 Leach &amp; runoff (pasture)")</f>
        <v>6.3.1.1-2 Leach &amp; runoff (pasture)</v>
      </c>
      <c r="D47" s="19" t="str" cm="1">
        <f t="array" ref="D47">Common_InputFunctions.Utility_DisplayArrayInTable(Scope3_SourceData.Scope3_Livestock_Data(), Table_SourceData_Scope3_Animals[[#Headers],[Category]], 0, 2)</f>
        <v>Beef cattle</v>
      </c>
      <c r="E47" s="19" t="str" cm="1">
        <f t="array" ref="E47">Common_InputFunctions.Utility_DisplayArrayInTable(Scope3_SourceData.Scope3_Livestock_Data(), Table_SourceData_Scope3_Animals[[#Headers],[Category]], 0, 2)</f>
        <v>Cattle, for prime beef</v>
      </c>
      <c r="F47" s="19" t="str" cm="1">
        <f t="array" ref="F47">Common_InputFunctions.Utility_DisplayArrayInTable(Scope3_SourceData.Scope3_Livestock_Data(), Table_SourceData_Scope3_Animals[[#Headers],[Category]], 0, 2)</f>
        <v>TAS</v>
      </c>
      <c r="G47" s="19" t="str" cm="1">
        <f t="array" ref="G47">Common_InputFunctions.Utility_DisplayArrayInTable(Scope3_SourceData.Scope3_Livestock_Data(), Table_SourceData_Scope3_Animals[[#Headers],[Category]], 0, 2)</f>
        <v>kg liveweight</v>
      </c>
      <c r="H47" s="19" cm="1">
        <f t="array" ref="H47">Common_InputFunctions.Utility_DisplayArrayInTable(Scope3_SourceData.Scope3_Livestock_Data(), Table_SourceData_Scope3_Animals[[#Headers],[Category]], 0, 2)</f>
        <v>11.5</v>
      </c>
      <c r="I47" s="19" t="str" cm="1">
        <f t="array" ref="I47">Common_InputFunctions.Utility_DisplayArrayInTable(Scope3_SourceData.Scope3_Livestock_Data(), Table_SourceData_Scope3_Animals[[#Headers],[Category]], 0, 2)</f>
        <v>at market</v>
      </c>
      <c r="J47" s="19" t="s">
        <v>1446</v>
      </c>
      <c r="L47" s="19" t="s">
        <v>1455</v>
      </c>
      <c r="M47" s="19" t="s">
        <v>638</v>
      </c>
    </row>
    <row r="48" spans="1:13" ht="20.100000000000001" customHeight="1" x14ac:dyDescent="0.25">
      <c r="A48" s="5" t="str">
        <f>HYPERLINK("#'8.1.1.1-2 Transport fuel'!A1", "8.1.1.1-2 Transport fuel")</f>
        <v>8.1.1.1-2 Transport fuel</v>
      </c>
      <c r="D48" s="19" t="str" cm="1">
        <f t="array" ref="D48">Common_InputFunctions.Utility_DisplayArrayInTable(Scope3_SourceData.Scope3_Livestock_Data(), Table_SourceData_Scope3_Animals[[#Headers],[Category]], 0, 2)</f>
        <v>Beef cattle</v>
      </c>
      <c r="E48" s="19" t="str" cm="1">
        <f t="array" ref="E48">Common_InputFunctions.Utility_DisplayArrayInTable(Scope3_SourceData.Scope3_Livestock_Data(), Table_SourceData_Scope3_Animals[[#Headers],[Category]], 0, 2)</f>
        <v>Cattle, for prime beef</v>
      </c>
      <c r="F48" s="19" t="str" cm="1">
        <f t="array" ref="F48">Common_InputFunctions.Utility_DisplayArrayInTable(Scope3_SourceData.Scope3_Livestock_Data(), Table_SourceData_Scope3_Animals[[#Headers],[Category]], 0, 2)</f>
        <v>VIC</v>
      </c>
      <c r="G48" s="19" t="str" cm="1">
        <f t="array" ref="G48">Common_InputFunctions.Utility_DisplayArrayInTable(Scope3_SourceData.Scope3_Livestock_Data(), Table_SourceData_Scope3_Animals[[#Headers],[Category]], 0, 2)</f>
        <v>kg liveweight</v>
      </c>
      <c r="H48" s="19" cm="1">
        <f t="array" ref="H48">Common_InputFunctions.Utility_DisplayArrayInTable(Scope3_SourceData.Scope3_Livestock_Data(), Table_SourceData_Scope3_Animals[[#Headers],[Category]], 0, 2)</f>
        <v>11.5</v>
      </c>
      <c r="I48" s="19" t="str" cm="1">
        <f t="array" ref="I48">Common_InputFunctions.Utility_DisplayArrayInTable(Scope3_SourceData.Scope3_Livestock_Data(), Table_SourceData_Scope3_Animals[[#Headers],[Category]], 0, 2)</f>
        <v>at market</v>
      </c>
      <c r="J48" s="19" t="s">
        <v>1446</v>
      </c>
      <c r="L48" s="19" t="s">
        <v>1456</v>
      </c>
      <c r="M48" s="19" t="s">
        <v>638</v>
      </c>
    </row>
    <row r="49" spans="1:13" ht="20.100000000000001" customHeight="1" x14ac:dyDescent="0.25">
      <c r="A49" s="5" t="str">
        <f>HYPERLINK("#'8.2.1.1-2 Stationary fuel'!A1", "8.2.1.1-2 Stationary fuel")</f>
        <v>8.2.1.1-2 Stationary fuel</v>
      </c>
      <c r="D49" s="19" t="str" cm="1">
        <f t="array" ref="D49">Common_InputFunctions.Utility_DisplayArrayInTable(Scope3_SourceData.Scope3_Livestock_Data(), Table_SourceData_Scope3_Animals[[#Headers],[Category]], 0, 2)</f>
        <v>Beef cattle</v>
      </c>
      <c r="E49" s="19" t="str" cm="1">
        <f t="array" ref="E49">Common_InputFunctions.Utility_DisplayArrayInTable(Scope3_SourceData.Scope3_Livestock_Data(), Table_SourceData_Scope3_Animals[[#Headers],[Category]], 0, 2)</f>
        <v>Cattle, for prime beef</v>
      </c>
      <c r="F49" s="19" t="str" cm="1">
        <f t="array" ref="F49">Common_InputFunctions.Utility_DisplayArrayInTable(Scope3_SourceData.Scope3_Livestock_Data(), Table_SourceData_Scope3_Animals[[#Headers],[Category]], 0, 2)</f>
        <v>WA</v>
      </c>
      <c r="G49" s="19" t="str" cm="1">
        <f t="array" ref="G49">Common_InputFunctions.Utility_DisplayArrayInTable(Scope3_SourceData.Scope3_Livestock_Data(), Table_SourceData_Scope3_Animals[[#Headers],[Category]], 0, 2)</f>
        <v>kg liveweight</v>
      </c>
      <c r="H49" s="19" cm="1">
        <f t="array" ref="H49">Common_InputFunctions.Utility_DisplayArrayInTable(Scope3_SourceData.Scope3_Livestock_Data(), Table_SourceData_Scope3_Animals[[#Headers],[Category]], 0, 2)</f>
        <v>20.8</v>
      </c>
      <c r="I49" s="19" t="str" cm="1">
        <f t="array" ref="I49">Common_InputFunctions.Utility_DisplayArrayInTable(Scope3_SourceData.Scope3_Livestock_Data(), Table_SourceData_Scope3_Animals[[#Headers],[Category]], 0, 2)</f>
        <v>at market</v>
      </c>
      <c r="J49" s="19" t="s">
        <v>1446</v>
      </c>
      <c r="L49" s="1" t="s">
        <v>1268</v>
      </c>
      <c r="M49" s="1" t="s">
        <v>1268</v>
      </c>
    </row>
    <row r="50" spans="1:13" ht="20.100000000000001" customHeight="1" x14ac:dyDescent="0.25">
      <c r="A50" s="5" t="str">
        <f>HYPERLINK("#'9.1.1.1-2 Refrigerant use'!A1", "9.1.1.1-2 Refrigerant use")</f>
        <v>9.1.1.1-2 Refrigerant use</v>
      </c>
      <c r="D50" s="19" t="str" cm="1">
        <f t="array" ref="D50">Common_InputFunctions.Utility_DisplayArrayInTable(Scope3_SourceData.Scope3_Livestock_Data(), Table_SourceData_Scope3_Animals[[#Headers],[Category]], 0, 2)</f>
        <v>Beef cattle</v>
      </c>
      <c r="E50" s="19" t="str" cm="1">
        <f t="array" ref="E50">Common_InputFunctions.Utility_DisplayArrayInTable(Scope3_SourceData.Scope3_Livestock_Data(), Table_SourceData_Scope3_Animals[[#Headers],[Category]], 0, 2)</f>
        <v>Cattle, weaners</v>
      </c>
      <c r="F50" s="19" t="str" cm="1">
        <f t="array" ref="F50">Common_InputFunctions.Utility_DisplayArrayInTable(Scope3_SourceData.Scope3_Livestock_Data(), Table_SourceData_Scope3_Animals[[#Headers],[Category]], 0, 2)</f>
        <v>Australia</v>
      </c>
      <c r="G50" s="19" t="str" cm="1">
        <f t="array" ref="G50">Common_InputFunctions.Utility_DisplayArrayInTable(Scope3_SourceData.Scope3_Livestock_Data(), Table_SourceData_Scope3_Animals[[#Headers],[Category]], 0, 2)</f>
        <v>kg liveweight</v>
      </c>
      <c r="H50" s="19" cm="1">
        <f t="array" ref="H50">Common_InputFunctions.Utility_DisplayArrayInTable(Scope3_SourceData.Scope3_Livestock_Data(), Table_SourceData_Scope3_Animals[[#Headers],[Category]], 0, 2)</f>
        <v>15.5</v>
      </c>
      <c r="I50" s="19" t="str" cm="1">
        <f t="array" ref="I50">Common_InputFunctions.Utility_DisplayArrayInTable(Scope3_SourceData.Scope3_Livestock_Data(), Table_SourceData_Scope3_Animals[[#Headers],[Category]], 0, 2)</f>
        <v>at market</v>
      </c>
      <c r="J50" s="19" t="s">
        <v>1446</v>
      </c>
    </row>
    <row r="51" spans="1:13" ht="20.100000000000001" customHeight="1" x14ac:dyDescent="0.25">
      <c r="A51" s="5" t="str">
        <f>HYPERLINK("#'10.1.1-2 Solid waste treatment'!A1", "10.1.1.1-2 Solid waste")</f>
        <v>10.1.1.1-2 Solid waste</v>
      </c>
      <c r="D51" s="19" t="str" cm="1">
        <f t="array" ref="D51">Common_InputFunctions.Utility_DisplayArrayInTable(Scope3_SourceData.Scope3_Livestock_Data(), Table_SourceData_Scope3_Animals[[#Headers],[Category]], 0, 2)</f>
        <v>Beef cattle</v>
      </c>
      <c r="E51" s="19" t="str" cm="1">
        <f t="array" ref="E51">Common_InputFunctions.Utility_DisplayArrayInTable(Scope3_SourceData.Scope3_Livestock_Data(), Table_SourceData_Scope3_Animals[[#Headers],[Category]], 0, 2)</f>
        <v>Cattle, weaners</v>
      </c>
      <c r="F51" s="19" t="str" cm="1">
        <f t="array" ref="F51">Common_InputFunctions.Utility_DisplayArrayInTable(Scope3_SourceData.Scope3_Livestock_Data(), Table_SourceData_Scope3_Animals[[#Headers],[Category]], 0, 2)</f>
        <v>NSW</v>
      </c>
      <c r="G51" s="19" t="str" cm="1">
        <f t="array" ref="G51">Common_InputFunctions.Utility_DisplayArrayInTable(Scope3_SourceData.Scope3_Livestock_Data(), Table_SourceData_Scope3_Animals[[#Headers],[Category]], 0, 2)</f>
        <v>kg liveweight</v>
      </c>
      <c r="H51" s="19" cm="1">
        <f t="array" ref="H51">Common_InputFunctions.Utility_DisplayArrayInTable(Scope3_SourceData.Scope3_Livestock_Data(), Table_SourceData_Scope3_Animals[[#Headers],[Category]], 0, 2)</f>
        <v>12.7</v>
      </c>
      <c r="I51" s="19" t="str" cm="1">
        <f t="array" ref="I51">Common_InputFunctions.Utility_DisplayArrayInTable(Scope3_SourceData.Scope3_Livestock_Data(), Table_SourceData_Scope3_Animals[[#Headers],[Category]], 0, 2)</f>
        <v>at market</v>
      </c>
      <c r="J51" s="19" t="s">
        <v>1446</v>
      </c>
    </row>
    <row r="52" spans="1:13" ht="20.100000000000001" customHeight="1" x14ac:dyDescent="0.25">
      <c r="A52" s="5" t="str">
        <f>HYPERLINK("#'14.1.1-2 Purchased electricity'!A1", "14.1.1-2 Purchased electricity")</f>
        <v>14.1.1-2 Purchased electricity</v>
      </c>
      <c r="D52" s="19" t="str" cm="1">
        <f t="array" ref="D52">Common_InputFunctions.Utility_DisplayArrayInTable(Scope3_SourceData.Scope3_Livestock_Data(), Table_SourceData_Scope3_Animals[[#Headers],[Category]], 0, 2)</f>
        <v>Beef cattle</v>
      </c>
      <c r="E52" s="19" t="str" cm="1">
        <f t="array" ref="E52">Common_InputFunctions.Utility_DisplayArrayInTable(Scope3_SourceData.Scope3_Livestock_Data(), Table_SourceData_Scope3_Animals[[#Headers],[Category]], 0, 2)</f>
        <v>Cattle, weaners</v>
      </c>
      <c r="F52" s="19" t="str" cm="1">
        <f t="array" ref="F52">Common_InputFunctions.Utility_DisplayArrayInTable(Scope3_SourceData.Scope3_Livestock_Data(), Table_SourceData_Scope3_Animals[[#Headers],[Category]], 0, 2)</f>
        <v>NT</v>
      </c>
      <c r="G52" s="19" t="str" cm="1">
        <f t="array" ref="G52">Common_InputFunctions.Utility_DisplayArrayInTable(Scope3_SourceData.Scope3_Livestock_Data(), Table_SourceData_Scope3_Animals[[#Headers],[Category]], 0, 2)</f>
        <v>kg liveweight</v>
      </c>
      <c r="H52" s="19" cm="1">
        <f t="array" ref="H52">Common_InputFunctions.Utility_DisplayArrayInTable(Scope3_SourceData.Scope3_Livestock_Data(), Table_SourceData_Scope3_Animals[[#Headers],[Category]], 0, 2)</f>
        <v>19.100000000000001</v>
      </c>
      <c r="I52" s="19" t="str" cm="1">
        <f t="array" ref="I52">Common_InputFunctions.Utility_DisplayArrayInTable(Scope3_SourceData.Scope3_Livestock_Data(), Table_SourceData_Scope3_Animals[[#Headers],[Category]], 0, 2)</f>
        <v>at market</v>
      </c>
      <c r="J52" s="19" t="s">
        <v>1446</v>
      </c>
    </row>
    <row r="53" spans="1:13" ht="20.100000000000001" customHeight="1" x14ac:dyDescent="0.25">
      <c r="A53" s="5" t="str">
        <f>HYPERLINK("#'15 Scope 3'!A1", "15 Scope 3")</f>
        <v>15 Scope 3</v>
      </c>
      <c r="D53" s="19" t="str" cm="1">
        <f t="array" ref="D53">Common_InputFunctions.Utility_DisplayArrayInTable(Scope3_SourceData.Scope3_Livestock_Data(), Table_SourceData_Scope3_Animals[[#Headers],[Category]], 0, 2)</f>
        <v>Beef cattle</v>
      </c>
      <c r="E53" s="19" t="str" cm="1">
        <f t="array" ref="E53">Common_InputFunctions.Utility_DisplayArrayInTable(Scope3_SourceData.Scope3_Livestock_Data(), Table_SourceData_Scope3_Animals[[#Headers],[Category]], 0, 2)</f>
        <v>Cattle, weaners</v>
      </c>
      <c r="F53" s="19" t="str" cm="1">
        <f t="array" ref="F53">Common_InputFunctions.Utility_DisplayArrayInTable(Scope3_SourceData.Scope3_Livestock_Data(), Table_SourceData_Scope3_Animals[[#Headers],[Category]], 0, 2)</f>
        <v>QLD</v>
      </c>
      <c r="G53" s="19" t="str" cm="1">
        <f t="array" ref="G53">Common_InputFunctions.Utility_DisplayArrayInTable(Scope3_SourceData.Scope3_Livestock_Data(), Table_SourceData_Scope3_Animals[[#Headers],[Category]], 0, 2)</f>
        <v>kg liveweight</v>
      </c>
      <c r="H53" s="19" cm="1">
        <f t="array" ref="H53">Common_InputFunctions.Utility_DisplayArrayInTable(Scope3_SourceData.Scope3_Livestock_Data(), Table_SourceData_Scope3_Animals[[#Headers],[Category]], 0, 2)</f>
        <v>20.5</v>
      </c>
      <c r="I53" s="19" t="str" cm="1">
        <f t="array" ref="I53">Common_InputFunctions.Utility_DisplayArrayInTable(Scope3_SourceData.Scope3_Livestock_Data(), Table_SourceData_Scope3_Animals[[#Headers],[Category]], 0, 2)</f>
        <v>at market</v>
      </c>
      <c r="J53" s="19" t="s">
        <v>1446</v>
      </c>
    </row>
    <row r="54" spans="1:13" ht="20.100000000000001" customHeight="1" x14ac:dyDescent="0.25">
      <c r="A54" s="5" t="str">
        <f>HYPERLINK("#'Calcs - Manure sent off-site'!A1", "Calcs - Manure sent off-site")</f>
        <v>Calcs - Manure sent off-site</v>
      </c>
      <c r="D54" s="19" t="str" cm="1">
        <f t="array" ref="D54">Common_InputFunctions.Utility_DisplayArrayInTable(Scope3_SourceData.Scope3_Livestock_Data(), Table_SourceData_Scope3_Animals[[#Headers],[Category]], 0, 2)</f>
        <v>Beef cattle</v>
      </c>
      <c r="E54" s="19" t="str" cm="1">
        <f t="array" ref="E54">Common_InputFunctions.Utility_DisplayArrayInTable(Scope3_SourceData.Scope3_Livestock_Data(), Table_SourceData_Scope3_Animals[[#Headers],[Category]], 0, 2)</f>
        <v>Cattle, weaners</v>
      </c>
      <c r="F54" s="19" t="str" cm="1">
        <f t="array" ref="F54">Common_InputFunctions.Utility_DisplayArrayInTable(Scope3_SourceData.Scope3_Livestock_Data(), Table_SourceData_Scope3_Animals[[#Headers],[Category]], 0, 2)</f>
        <v>SA</v>
      </c>
      <c r="G54" s="19" t="str" cm="1">
        <f t="array" ref="G54">Common_InputFunctions.Utility_DisplayArrayInTable(Scope3_SourceData.Scope3_Livestock_Data(), Table_SourceData_Scope3_Animals[[#Headers],[Category]], 0, 2)</f>
        <v>kg liveweight</v>
      </c>
      <c r="H54" s="19" cm="1">
        <f t="array" ref="H54">Common_InputFunctions.Utility_DisplayArrayInTable(Scope3_SourceData.Scope3_Livestock_Data(), Table_SourceData_Scope3_Animals[[#Headers],[Category]], 0, 2)</f>
        <v>10.8</v>
      </c>
      <c r="I54" s="19" t="str" cm="1">
        <f t="array" ref="I54">Common_InputFunctions.Utility_DisplayArrayInTable(Scope3_SourceData.Scope3_Livestock_Data(), Table_SourceData_Scope3_Animals[[#Headers],[Category]], 0, 2)</f>
        <v>at market</v>
      </c>
      <c r="J54" s="19" t="s">
        <v>1446</v>
      </c>
    </row>
    <row r="55" spans="1:13" ht="20.100000000000001" customHeight="1" x14ac:dyDescent="0.25">
      <c r="A55"/>
      <c r="D55" s="19" t="str" cm="1">
        <f t="array" ref="D55">Common_InputFunctions.Utility_DisplayArrayInTable(Scope3_SourceData.Scope3_Livestock_Data(), Table_SourceData_Scope3_Animals[[#Headers],[Category]], 0, 2)</f>
        <v>Beef cattle</v>
      </c>
      <c r="E55" s="19" t="str" cm="1">
        <f t="array" ref="E55">Common_InputFunctions.Utility_DisplayArrayInTable(Scope3_SourceData.Scope3_Livestock_Data(), Table_SourceData_Scope3_Animals[[#Headers],[Category]], 0, 2)</f>
        <v>Cattle, weaners</v>
      </c>
      <c r="F55" s="19" t="str" cm="1">
        <f t="array" ref="F55">Common_InputFunctions.Utility_DisplayArrayInTable(Scope3_SourceData.Scope3_Livestock_Data(), Table_SourceData_Scope3_Animals[[#Headers],[Category]], 0, 2)</f>
        <v>TAS</v>
      </c>
      <c r="G55" s="19" t="str" cm="1">
        <f t="array" ref="G55">Common_InputFunctions.Utility_DisplayArrayInTable(Scope3_SourceData.Scope3_Livestock_Data(), Table_SourceData_Scope3_Animals[[#Headers],[Category]], 0, 2)</f>
        <v>kg liveweight</v>
      </c>
      <c r="H55" s="19" cm="1">
        <f t="array" ref="H55">Common_InputFunctions.Utility_DisplayArrayInTable(Scope3_SourceData.Scope3_Livestock_Data(), Table_SourceData_Scope3_Animals[[#Headers],[Category]], 0, 2)</f>
        <v>13.4</v>
      </c>
      <c r="I55" s="19" t="str" cm="1">
        <f t="array" ref="I55">Common_InputFunctions.Utility_DisplayArrayInTable(Scope3_SourceData.Scope3_Livestock_Data(), Table_SourceData_Scope3_Animals[[#Headers],[Category]], 0, 2)</f>
        <v>at market</v>
      </c>
      <c r="J55" s="19" t="s">
        <v>1446</v>
      </c>
    </row>
    <row r="56" spans="1:13" ht="20.100000000000001" customHeight="1" x14ac:dyDescent="0.25">
      <c r="A56"/>
      <c r="D56" s="19" t="str" cm="1">
        <f t="array" ref="D56">Common_InputFunctions.Utility_DisplayArrayInTable(Scope3_SourceData.Scope3_Livestock_Data(), Table_SourceData_Scope3_Animals[[#Headers],[Category]], 0, 2)</f>
        <v>Beef cattle</v>
      </c>
      <c r="E56" s="19" t="str" cm="1">
        <f t="array" ref="E56">Common_InputFunctions.Utility_DisplayArrayInTable(Scope3_SourceData.Scope3_Livestock_Data(), Table_SourceData_Scope3_Animals[[#Headers],[Category]], 0, 2)</f>
        <v>Cattle, weaners</v>
      </c>
      <c r="F56" s="19" t="str" cm="1">
        <f t="array" ref="F56">Common_InputFunctions.Utility_DisplayArrayInTable(Scope3_SourceData.Scope3_Livestock_Data(), Table_SourceData_Scope3_Animals[[#Headers],[Category]], 0, 2)</f>
        <v>VIC</v>
      </c>
      <c r="G56" s="19" t="str" cm="1">
        <f t="array" ref="G56">Common_InputFunctions.Utility_DisplayArrayInTable(Scope3_SourceData.Scope3_Livestock_Data(), Table_SourceData_Scope3_Animals[[#Headers],[Category]], 0, 2)</f>
        <v>kg liveweight</v>
      </c>
      <c r="H56" s="19" cm="1">
        <f t="array" ref="H56">Common_InputFunctions.Utility_DisplayArrayInTable(Scope3_SourceData.Scope3_Livestock_Data(), Table_SourceData_Scope3_Animals[[#Headers],[Category]], 0, 2)</f>
        <v>12</v>
      </c>
      <c r="I56" s="19" t="str" cm="1">
        <f t="array" ref="I56">Common_InputFunctions.Utility_DisplayArrayInTable(Scope3_SourceData.Scope3_Livestock_Data(), Table_SourceData_Scope3_Animals[[#Headers],[Category]], 0, 2)</f>
        <v>at market</v>
      </c>
      <c r="J56" s="19" t="s">
        <v>1446</v>
      </c>
    </row>
    <row r="57" spans="1:13" ht="20.100000000000001" customHeight="1" x14ac:dyDescent="0.25">
      <c r="A57" s="82" t="s">
        <v>1</v>
      </c>
      <c r="D57" s="19" t="str" cm="1">
        <f t="array" ref="D57">Common_InputFunctions.Utility_DisplayArrayInTable(Scope3_SourceData.Scope3_Livestock_Data(), Table_SourceData_Scope3_Animals[[#Headers],[Category]], 0, 2)</f>
        <v>Beef cattle</v>
      </c>
      <c r="E57" s="19" t="str" cm="1">
        <f t="array" ref="E57">Common_InputFunctions.Utility_DisplayArrayInTable(Scope3_SourceData.Scope3_Livestock_Data(), Table_SourceData_Scope3_Animals[[#Headers],[Category]], 0, 2)</f>
        <v>Cattle, weaners</v>
      </c>
      <c r="F57" s="19" t="str" cm="1">
        <f t="array" ref="F57">Common_InputFunctions.Utility_DisplayArrayInTable(Scope3_SourceData.Scope3_Livestock_Data(), Table_SourceData_Scope3_Animals[[#Headers],[Category]], 0, 2)</f>
        <v>WA</v>
      </c>
      <c r="G57" s="19" t="str" cm="1">
        <f t="array" ref="G57">Common_InputFunctions.Utility_DisplayArrayInTable(Scope3_SourceData.Scope3_Livestock_Data(), Table_SourceData_Scope3_Animals[[#Headers],[Category]], 0, 2)</f>
        <v>kg liveweight</v>
      </c>
      <c r="H57" s="19" cm="1">
        <f t="array" ref="H57">Common_InputFunctions.Utility_DisplayArrayInTable(Scope3_SourceData.Scope3_Livestock_Data(), Table_SourceData_Scope3_Animals[[#Headers],[Category]], 0, 2)</f>
        <v>12.4</v>
      </c>
      <c r="I57" s="19" t="str" cm="1">
        <f t="array" ref="I57">Common_InputFunctions.Utility_DisplayArrayInTable(Scope3_SourceData.Scope3_Livestock_Data(), Table_SourceData_Scope3_Animals[[#Headers],[Category]], 0, 2)</f>
        <v>at market</v>
      </c>
      <c r="J57" s="19" t="s">
        <v>1446</v>
      </c>
    </row>
    <row r="58" spans="1:13" ht="20.100000000000001" customHeight="1" x14ac:dyDescent="0.25">
      <c r="A58" s="5" t="str">
        <f>HYPERLINK("#'Constants - Dairy'!A1", "Constants - Dairy")</f>
        <v>Constants - Dairy</v>
      </c>
      <c r="D58" s="19" t="str" cm="1">
        <f t="array" ref="D58">Common_InputFunctions.Utility_DisplayArrayInTable(Scope3_SourceData.Scope3_Livestock_Data(), Table_SourceData_Scope3_Animals[[#Headers],[Category]], 0, 2)</f>
        <v>Chickens</v>
      </c>
      <c r="E58" s="19" t="str" cm="1">
        <f t="array" ref="E58">Common_InputFunctions.Utility_DisplayArrayInTable(Scope3_SourceData.Scope3_Livestock_Data(), Table_SourceData_Scope3_Animals[[#Headers],[Category]], 0, 2)</f>
        <v>Chickens</v>
      </c>
      <c r="F58" s="19" t="str" cm="1">
        <f t="array" ref="F58">Common_InputFunctions.Utility_DisplayArrayInTable(Scope3_SourceData.Scope3_Livestock_Data(), Table_SourceData_Scope3_Animals[[#Headers],[Category]], 0, 2)</f>
        <v>Australia</v>
      </c>
      <c r="G58" s="19" t="str" cm="1">
        <f t="array" ref="G58">Common_InputFunctions.Utility_DisplayArrayInTable(Scope3_SourceData.Scope3_Livestock_Data(), Table_SourceData_Scope3_Animals[[#Headers],[Category]], 0, 2)</f>
        <v>kg liveweight</v>
      </c>
      <c r="H58" s="19" cm="1">
        <f t="array" ref="H58">Common_InputFunctions.Utility_DisplayArrayInTable(Scope3_SourceData.Scope3_Livestock_Data(), Table_SourceData_Scope3_Animals[[#Headers],[Category]], 0, 2)</f>
        <v>1.36</v>
      </c>
      <c r="I58" s="19" t="str" cm="1">
        <f t="array" ref="I58">Common_InputFunctions.Utility_DisplayArrayInTable(Scope3_SourceData.Scope3_Livestock_Data(), Table_SourceData_Scope3_Animals[[#Headers],[Category]], 0, 2)</f>
        <v>at market</v>
      </c>
      <c r="J58" s="19" t="s">
        <v>1446</v>
      </c>
    </row>
    <row r="59" spans="1:13" ht="20.100000000000001" customHeight="1" x14ac:dyDescent="0.25">
      <c r="A59" s="5" t="str">
        <f>HYPERLINK("#'Constants - Ag Residue'!A1", "Constants - Ag residue")</f>
        <v>Constants - Ag residue</v>
      </c>
      <c r="D59" s="19" t="str" cm="1">
        <f t="array" ref="D59">Common_InputFunctions.Utility_DisplayArrayInTable(Scope3_SourceData.Scope3_Livestock_Data(), Table_SourceData_Scope3_Animals[[#Headers],[Category]], 0, 2)</f>
        <v>Dairy cattle</v>
      </c>
      <c r="E59" s="19" t="str" cm="1">
        <f t="array" ref="E59">Common_InputFunctions.Utility_DisplayArrayInTable(Scope3_SourceData.Scope3_Livestock_Data(), Table_SourceData_Scope3_Animals[[#Headers],[Category]], 0, 2)</f>
        <v>Dairy cows</v>
      </c>
      <c r="F59" s="19" t="str" cm="1">
        <f t="array" ref="F59">Common_InputFunctions.Utility_DisplayArrayInTable(Scope3_SourceData.Scope3_Livestock_Data(), Table_SourceData_Scope3_Animals[[#Headers],[Category]], 0, 2)</f>
        <v>VIC</v>
      </c>
      <c r="G59" s="19" t="str" cm="1">
        <f t="array" ref="G59">Common_InputFunctions.Utility_DisplayArrayInTable(Scope3_SourceData.Scope3_Livestock_Data(), Table_SourceData_Scope3_Animals[[#Headers],[Category]], 0, 2)</f>
        <v>kg liveweight</v>
      </c>
      <c r="H59" s="19" cm="1">
        <f t="array" ref="H59">Common_InputFunctions.Utility_DisplayArrayInTable(Scope3_SourceData.Scope3_Livestock_Data(), Table_SourceData_Scope3_Animals[[#Headers],[Category]], 0, 2)</f>
        <v>4.41</v>
      </c>
      <c r="I59" s="19" t="str" cm="1">
        <f t="array" ref="I59">Common_InputFunctions.Utility_DisplayArrayInTable(Scope3_SourceData.Scope3_Livestock_Data(), Table_SourceData_Scope3_Animals[[#Headers],[Category]], 0, 2)</f>
        <v>at market</v>
      </c>
      <c r="J59" s="19" t="s">
        <v>1446</v>
      </c>
    </row>
    <row r="60" spans="1:13" ht="20.100000000000001" customHeight="1" x14ac:dyDescent="0.25">
      <c r="A60" s="5" t="str">
        <f>HYPERLINK("#'Constants - Common Livestock'!A1", "Constants - Common Livestock")</f>
        <v>Constants - Common Livestock</v>
      </c>
      <c r="D60" s="19" t="str" cm="1">
        <f t="array" ref="D60">Common_InputFunctions.Utility_DisplayArrayInTable(Scope3_SourceData.Scope3_Livestock_Data(), Table_SourceData_Scope3_Animals[[#Headers],[Category]], 0, 2)</f>
        <v>Pigs</v>
      </c>
      <c r="E60" s="19" t="str" cm="1">
        <f t="array" ref="E60">Common_InputFunctions.Utility_DisplayArrayInTable(Scope3_SourceData.Scope3_Livestock_Data(), Table_SourceData_Scope3_Animals[[#Headers],[Category]], 0, 2)</f>
        <v>Pigs</v>
      </c>
      <c r="F60" s="19" t="str" cm="1">
        <f t="array" ref="F60">Common_InputFunctions.Utility_DisplayArrayInTable(Scope3_SourceData.Scope3_Livestock_Data(), Table_SourceData_Scope3_Animals[[#Headers],[Category]], 0, 2)</f>
        <v>Australia</v>
      </c>
      <c r="G60" s="19" t="str" cm="1">
        <f t="array" ref="G60">Common_InputFunctions.Utility_DisplayArrayInTable(Scope3_SourceData.Scope3_Livestock_Data(), Table_SourceData_Scope3_Animals[[#Headers],[Category]], 0, 2)</f>
        <v>kg liveweight</v>
      </c>
      <c r="H60" s="19" cm="1">
        <f t="array" ref="H60">Common_InputFunctions.Utility_DisplayArrayInTable(Scope3_SourceData.Scope3_Livestock_Data(), Table_SourceData_Scope3_Animals[[#Headers],[Category]], 0, 2)</f>
        <v>3.38</v>
      </c>
      <c r="I60" s="19" t="str" cm="1">
        <f t="array" ref="I60">Common_InputFunctions.Utility_DisplayArrayInTable(Scope3_SourceData.Scope3_Livestock_Data(), Table_SourceData_Scope3_Animals[[#Headers],[Category]], 0, 2)</f>
        <v>at market</v>
      </c>
      <c r="J60" s="19" t="s">
        <v>1446</v>
      </c>
    </row>
    <row r="61" spans="1:13" ht="20.100000000000001" customHeight="1" x14ac:dyDescent="0.25">
      <c r="A61" s="5" t="str">
        <f>HYPERLINK("#'Constants - Electricity'!A1", "Constants - Electricity")</f>
        <v>Constants - Electricity</v>
      </c>
      <c r="D61" s="19" t="str" cm="1">
        <f t="array" ref="D61">Common_InputFunctions.Utility_DisplayArrayInTable(Scope3_SourceData.Scope3_Livestock_Data(), Table_SourceData_Scope3_Animals[[#Headers],[Category]], 0, 2)</f>
        <v>Sheep</v>
      </c>
      <c r="E61" s="19" t="str" cm="1">
        <f t="array" ref="E61">Common_InputFunctions.Utility_DisplayArrayInTable(Scope3_SourceData.Scope3_Livestock_Data(), Table_SourceData_Scope3_Animals[[#Headers],[Category]], 0, 2)</f>
        <v>Sheep, for mutton</v>
      </c>
      <c r="F61" s="19" t="str" cm="1">
        <f t="array" ref="F61">Common_InputFunctions.Utility_DisplayArrayInTable(Scope3_SourceData.Scope3_Livestock_Data(), Table_SourceData_Scope3_Animals[[#Headers],[Category]], 0, 2)</f>
        <v>Australia</v>
      </c>
      <c r="G61" s="19" t="str" cm="1">
        <f t="array" ref="G61">Common_InputFunctions.Utility_DisplayArrayInTable(Scope3_SourceData.Scope3_Livestock_Data(), Table_SourceData_Scope3_Animals[[#Headers],[Category]], 0, 2)</f>
        <v>kg liveweight</v>
      </c>
      <c r="H61" s="19" cm="1">
        <f t="array" ref="H61">Common_InputFunctions.Utility_DisplayArrayInTable(Scope3_SourceData.Scope3_Livestock_Data(), Table_SourceData_Scope3_Animals[[#Headers],[Category]], 0, 2)</f>
        <v>6.81</v>
      </c>
      <c r="I61" s="19" t="str" cm="1">
        <f t="array" ref="I61">Common_InputFunctions.Utility_DisplayArrayInTable(Scope3_SourceData.Scope3_Livestock_Data(), Table_SourceData_Scope3_Animals[[#Headers],[Category]], 0, 2)</f>
        <v>at market</v>
      </c>
      <c r="J61" s="19" t="s">
        <v>1446</v>
      </c>
    </row>
    <row r="62" spans="1:13" ht="20.100000000000001" customHeight="1" x14ac:dyDescent="0.25">
      <c r="A62" s="5" t="str">
        <f>HYPERLINK("#'Constants - Fertiliser'!A1", "Constants - Fertiliser")</f>
        <v>Constants - Fertiliser</v>
      </c>
      <c r="D62" s="19" t="str" cm="1">
        <f t="array" ref="D62">Common_InputFunctions.Utility_DisplayArrayInTable(Scope3_SourceData.Scope3_Livestock_Data(), Table_SourceData_Scope3_Animals[[#Headers],[Category]], 0, 2)</f>
        <v>Sheep</v>
      </c>
      <c r="E62" s="19" t="str" cm="1">
        <f t="array" ref="E62">Common_InputFunctions.Utility_DisplayArrayInTable(Scope3_SourceData.Scope3_Livestock_Data(), Table_SourceData_Scope3_Animals[[#Headers],[Category]], 0, 2)</f>
        <v>Sheep, for mutton</v>
      </c>
      <c r="F62" s="19" t="str" cm="1">
        <f t="array" ref="F62">Common_InputFunctions.Utility_DisplayArrayInTable(Scope3_SourceData.Scope3_Livestock_Data(), Table_SourceData_Scope3_Animals[[#Headers],[Category]], 0, 2)</f>
        <v>NSW</v>
      </c>
      <c r="G62" s="19" t="str" cm="1">
        <f t="array" ref="G62">Common_InputFunctions.Utility_DisplayArrayInTable(Scope3_SourceData.Scope3_Livestock_Data(), Table_SourceData_Scope3_Animals[[#Headers],[Category]], 0, 2)</f>
        <v>kg liveweight</v>
      </c>
      <c r="H62" s="19" cm="1">
        <f t="array" ref="H62">Common_InputFunctions.Utility_DisplayArrayInTable(Scope3_SourceData.Scope3_Livestock_Data(), Table_SourceData_Scope3_Animals[[#Headers],[Category]], 0, 2)</f>
        <v>2.2599999999999998</v>
      </c>
      <c r="I62" s="19" t="str" cm="1">
        <f t="array" ref="I62">Common_InputFunctions.Utility_DisplayArrayInTable(Scope3_SourceData.Scope3_Livestock_Data(), Table_SourceData_Scope3_Animals[[#Headers],[Category]], 0, 2)</f>
        <v>at market</v>
      </c>
      <c r="J62" s="19" t="s">
        <v>1446</v>
      </c>
    </row>
    <row r="63" spans="1:13" ht="20.100000000000001" customHeight="1" x14ac:dyDescent="0.25">
      <c r="A63" s="5" t="str">
        <f>HYPERLINK("#'Constants - Fuel'!A1", "Constants - Fuel")</f>
        <v>Constants - Fuel</v>
      </c>
      <c r="D63" s="19" t="str" cm="1">
        <f t="array" ref="D63">Common_InputFunctions.Utility_DisplayArrayInTable(Scope3_SourceData.Scope3_Livestock_Data(), Table_SourceData_Scope3_Animals[[#Headers],[Category]], 0, 2)</f>
        <v>Sheep</v>
      </c>
      <c r="E63" s="19" t="str" cm="1">
        <f t="array" ref="E63">Common_InputFunctions.Utility_DisplayArrayInTable(Scope3_SourceData.Scope3_Livestock_Data(), Table_SourceData_Scope3_Animals[[#Headers],[Category]], 0, 2)</f>
        <v>Sheep, for mutton</v>
      </c>
      <c r="F63" s="19" t="str" cm="1">
        <f t="array" ref="F63">Common_InputFunctions.Utility_DisplayArrayInTable(Scope3_SourceData.Scope3_Livestock_Data(), Table_SourceData_Scope3_Animals[[#Headers],[Category]], 0, 2)</f>
        <v>QLD</v>
      </c>
      <c r="G63" s="19" t="str" cm="1">
        <f t="array" ref="G63">Common_InputFunctions.Utility_DisplayArrayInTable(Scope3_SourceData.Scope3_Livestock_Data(), Table_SourceData_Scope3_Animals[[#Headers],[Category]], 0, 2)</f>
        <v>kg liveweight</v>
      </c>
      <c r="H63" s="19" cm="1">
        <f t="array" ref="H63">Common_InputFunctions.Utility_DisplayArrayInTable(Scope3_SourceData.Scope3_Livestock_Data(), Table_SourceData_Scope3_Animals[[#Headers],[Category]], 0, 2)</f>
        <v>6.33</v>
      </c>
      <c r="I63" s="19" t="str" cm="1">
        <f t="array" ref="I63">Common_InputFunctions.Utility_DisplayArrayInTable(Scope3_SourceData.Scope3_Livestock_Data(), Table_SourceData_Scope3_Animals[[#Headers],[Category]], 0, 2)</f>
        <v>at market</v>
      </c>
      <c r="J63" s="19" t="s">
        <v>1446</v>
      </c>
    </row>
    <row r="64" spans="1:13" ht="20.100000000000001" customHeight="1" x14ac:dyDescent="0.25">
      <c r="A64" s="83" t="str">
        <f>HYPERLINK("#'Constants - Scope 3'!A1", "Constants - Scope 3")</f>
        <v>Constants - Scope 3</v>
      </c>
      <c r="D64" s="19" t="str" cm="1">
        <f t="array" ref="D64">Common_InputFunctions.Utility_DisplayArrayInTable(Scope3_SourceData.Scope3_Livestock_Data(), Table_SourceData_Scope3_Animals[[#Headers],[Category]], 0, 2)</f>
        <v>Sheep</v>
      </c>
      <c r="E64" s="19" t="str" cm="1">
        <f t="array" ref="E64">Common_InputFunctions.Utility_DisplayArrayInTable(Scope3_SourceData.Scope3_Livestock_Data(), Table_SourceData_Scope3_Animals[[#Headers],[Category]], 0, 2)</f>
        <v>Sheep, for mutton</v>
      </c>
      <c r="F64" s="19" t="str" cm="1">
        <f t="array" ref="F64">Common_InputFunctions.Utility_DisplayArrayInTable(Scope3_SourceData.Scope3_Livestock_Data(), Table_SourceData_Scope3_Animals[[#Headers],[Category]], 0, 2)</f>
        <v>SA</v>
      </c>
      <c r="G64" s="19" t="str" cm="1">
        <f t="array" ref="G64">Common_InputFunctions.Utility_DisplayArrayInTable(Scope3_SourceData.Scope3_Livestock_Data(), Table_SourceData_Scope3_Animals[[#Headers],[Category]], 0, 2)</f>
        <v>kg liveweight</v>
      </c>
      <c r="H64" s="19" cm="1">
        <f t="array" ref="H64">Common_InputFunctions.Utility_DisplayArrayInTable(Scope3_SourceData.Scope3_Livestock_Data(), Table_SourceData_Scope3_Animals[[#Headers],[Category]], 0, 2)</f>
        <v>6.18</v>
      </c>
      <c r="I64" s="19" t="str" cm="1">
        <f t="array" ref="I64">Common_InputFunctions.Utility_DisplayArrayInTable(Scope3_SourceData.Scope3_Livestock_Data(), Table_SourceData_Scope3_Animals[[#Headers],[Category]], 0, 2)</f>
        <v>at market</v>
      </c>
      <c r="J64" s="19" t="s">
        <v>1446</v>
      </c>
    </row>
    <row r="65" spans="1:10" ht="20.100000000000001" customHeight="1" x14ac:dyDescent="0.25">
      <c r="A65" s="5" t="str">
        <f>HYPERLINK("#'Constants - Common'!A1", "Constants - Common")</f>
        <v>Constants - Common</v>
      </c>
      <c r="D65" s="19" t="str" cm="1">
        <f t="array" ref="D65">Common_InputFunctions.Utility_DisplayArrayInTable(Scope3_SourceData.Scope3_Livestock_Data(), Table_SourceData_Scope3_Animals[[#Headers],[Category]], 0, 2)</f>
        <v>Sheep</v>
      </c>
      <c r="E65" s="19" t="str" cm="1">
        <f t="array" ref="E65">Common_InputFunctions.Utility_DisplayArrayInTable(Scope3_SourceData.Scope3_Livestock_Data(), Table_SourceData_Scope3_Animals[[#Headers],[Category]], 0, 2)</f>
        <v>Sheep, for mutton</v>
      </c>
      <c r="F65" s="19" t="str" cm="1">
        <f t="array" ref="F65">Common_InputFunctions.Utility_DisplayArrayInTable(Scope3_SourceData.Scope3_Livestock_Data(), Table_SourceData_Scope3_Animals[[#Headers],[Category]], 0, 2)</f>
        <v>TAS</v>
      </c>
      <c r="G65" s="19" t="str" cm="1">
        <f t="array" ref="G65">Common_InputFunctions.Utility_DisplayArrayInTable(Scope3_SourceData.Scope3_Livestock_Data(), Table_SourceData_Scope3_Animals[[#Headers],[Category]], 0, 2)</f>
        <v>kg liveweight</v>
      </c>
      <c r="H65" s="19" cm="1">
        <f t="array" ref="H65">Common_InputFunctions.Utility_DisplayArrayInTable(Scope3_SourceData.Scope3_Livestock_Data(), Table_SourceData_Scope3_Animals[[#Headers],[Category]], 0, 2)</f>
        <v>7.5</v>
      </c>
      <c r="I65" s="19" t="str" cm="1">
        <f t="array" ref="I65">Common_InputFunctions.Utility_DisplayArrayInTable(Scope3_SourceData.Scope3_Livestock_Data(), Table_SourceData_Scope3_Animals[[#Headers],[Category]], 0, 2)</f>
        <v>at market</v>
      </c>
      <c r="J65" s="19" t="s">
        <v>1446</v>
      </c>
    </row>
    <row r="66" spans="1:10" ht="20.100000000000001" customHeight="1" x14ac:dyDescent="0.25">
      <c r="A66" s="5" t="str">
        <f>HYPERLINK("#'Constants - Refrigerants'!A1", "Constants - Refrigerants")</f>
        <v>Constants - Refrigerants</v>
      </c>
      <c r="D66" s="19" t="str" cm="1">
        <f t="array" ref="D66">Common_InputFunctions.Utility_DisplayArrayInTable(Scope3_SourceData.Scope3_Livestock_Data(), Table_SourceData_Scope3_Animals[[#Headers],[Category]], 0, 2)</f>
        <v>Sheep</v>
      </c>
      <c r="E66" s="19" t="str" cm="1">
        <f t="array" ref="E66">Common_InputFunctions.Utility_DisplayArrayInTable(Scope3_SourceData.Scope3_Livestock_Data(), Table_SourceData_Scope3_Animals[[#Headers],[Category]], 0, 2)</f>
        <v>Sheep, for mutton</v>
      </c>
      <c r="F66" s="19" t="str" cm="1">
        <f t="array" ref="F66">Common_InputFunctions.Utility_DisplayArrayInTable(Scope3_SourceData.Scope3_Livestock_Data(), Table_SourceData_Scope3_Animals[[#Headers],[Category]], 0, 2)</f>
        <v>VIC</v>
      </c>
      <c r="G66" s="19" t="str" cm="1">
        <f t="array" ref="G66">Common_InputFunctions.Utility_DisplayArrayInTable(Scope3_SourceData.Scope3_Livestock_Data(), Table_SourceData_Scope3_Animals[[#Headers],[Category]], 0, 2)</f>
        <v>kg liveweight</v>
      </c>
      <c r="H66" s="19" cm="1">
        <f t="array" ref="H66">Common_InputFunctions.Utility_DisplayArrayInTable(Scope3_SourceData.Scope3_Livestock_Data(), Table_SourceData_Scope3_Animals[[#Headers],[Category]], 0, 2)</f>
        <v>8.08</v>
      </c>
      <c r="I66" s="19" t="str" cm="1">
        <f t="array" ref="I66">Common_InputFunctions.Utility_DisplayArrayInTable(Scope3_SourceData.Scope3_Livestock_Data(), Table_SourceData_Scope3_Animals[[#Headers],[Category]], 0, 2)</f>
        <v>at market</v>
      </c>
      <c r="J66" s="19" t="s">
        <v>1446</v>
      </c>
    </row>
    <row r="67" spans="1:10" ht="20.100000000000001" customHeight="1" x14ac:dyDescent="0.25">
      <c r="A67" s="5" t="str">
        <f>HYPERLINK("#'Constants - Solid Waste'!A1", "Constants - Solid Waste")</f>
        <v>Constants - Solid Waste</v>
      </c>
      <c r="D67" s="19" t="str" cm="1">
        <f t="array" ref="D67">Common_InputFunctions.Utility_DisplayArrayInTable(Scope3_SourceData.Scope3_Livestock_Data(), Table_SourceData_Scope3_Animals[[#Headers],[Category]], 0, 2)</f>
        <v>Sheep</v>
      </c>
      <c r="E67" s="19" t="str" cm="1">
        <f t="array" ref="E67">Common_InputFunctions.Utility_DisplayArrayInTable(Scope3_SourceData.Scope3_Livestock_Data(), Table_SourceData_Scope3_Animals[[#Headers],[Category]], 0, 2)</f>
        <v>Sheep, for mutton</v>
      </c>
      <c r="F67" s="19" t="str" cm="1">
        <f t="array" ref="F67">Common_InputFunctions.Utility_DisplayArrayInTable(Scope3_SourceData.Scope3_Livestock_Data(), Table_SourceData_Scope3_Animals[[#Headers],[Category]], 0, 2)</f>
        <v>WA</v>
      </c>
      <c r="G67" s="19" t="str" cm="1">
        <f t="array" ref="G67">Common_InputFunctions.Utility_DisplayArrayInTable(Scope3_SourceData.Scope3_Livestock_Data(), Table_SourceData_Scope3_Animals[[#Headers],[Category]], 0, 2)</f>
        <v>kg liveweight</v>
      </c>
      <c r="H67" s="19" cm="1">
        <f t="array" ref="H67">Common_InputFunctions.Utility_DisplayArrayInTable(Scope3_SourceData.Scope3_Livestock_Data(), Table_SourceData_Scope3_Animals[[#Headers],[Category]], 0, 2)</f>
        <v>5.45</v>
      </c>
      <c r="I67" s="19" t="str" cm="1">
        <f t="array" ref="I67">Common_InputFunctions.Utility_DisplayArrayInTable(Scope3_SourceData.Scope3_Livestock_Data(), Table_SourceData_Scope3_Animals[[#Headers],[Category]], 0, 2)</f>
        <v>at market</v>
      </c>
      <c r="J67" s="19" t="s">
        <v>1446</v>
      </c>
    </row>
    <row r="68" spans="1:10" ht="20.100000000000001" customHeight="1" x14ac:dyDescent="0.25">
      <c r="A68" s="5" t="str">
        <f>HYPERLINK("#'Acknowledgements'!A1", "Acknowledgements")</f>
        <v>Acknowledgements</v>
      </c>
      <c r="D68" s="19" t="str" cm="1">
        <f t="array" ref="D68">Common_InputFunctions.Utility_DisplayArrayInTable(Scope3_SourceData.Scope3_Livestock_Data(), Table_SourceData_Scope3_Animals[[#Headers],[Category]], 0, 2)</f>
        <v>Sheep</v>
      </c>
      <c r="E68" s="19" t="str" cm="1">
        <f t="array" ref="E68">Common_InputFunctions.Utility_DisplayArrayInTable(Scope3_SourceData.Scope3_Livestock_Data(), Table_SourceData_Scope3_Animals[[#Headers],[Category]], 0, 2)</f>
        <v>Sheep, for prime lamb</v>
      </c>
      <c r="F68" s="19" t="str" cm="1">
        <f t="array" ref="F68">Common_InputFunctions.Utility_DisplayArrayInTable(Scope3_SourceData.Scope3_Livestock_Data(), Table_SourceData_Scope3_Animals[[#Headers],[Category]], 0, 2)</f>
        <v>Australia</v>
      </c>
      <c r="G68" s="19" t="str" cm="1">
        <f t="array" ref="G68">Common_InputFunctions.Utility_DisplayArrayInTable(Scope3_SourceData.Scope3_Livestock_Data(), Table_SourceData_Scope3_Animals[[#Headers],[Category]], 0, 2)</f>
        <v>kg liveweight</v>
      </c>
      <c r="H68" s="19" cm="1">
        <f t="array" ref="H68">Common_InputFunctions.Utility_DisplayArrayInTable(Scope3_SourceData.Scope3_Livestock_Data(), Table_SourceData_Scope3_Animals[[#Headers],[Category]], 0, 2)</f>
        <v>7.15</v>
      </c>
      <c r="I68" s="19" t="str" cm="1">
        <f t="array" ref="I68">Common_InputFunctions.Utility_DisplayArrayInTable(Scope3_SourceData.Scope3_Livestock_Data(), Table_SourceData_Scope3_Animals[[#Headers],[Category]], 0, 2)</f>
        <v>at market</v>
      </c>
      <c r="J68" s="19" t="s">
        <v>1446</v>
      </c>
    </row>
    <row r="69" spans="1:10" ht="20.100000000000001" customHeight="1" x14ac:dyDescent="0.25">
      <c r="A69"/>
      <c r="D69" s="19" t="str" cm="1">
        <f t="array" ref="D69">Common_InputFunctions.Utility_DisplayArrayInTable(Scope3_SourceData.Scope3_Livestock_Data(), Table_SourceData_Scope3_Animals[[#Headers],[Category]], 0, 2)</f>
        <v>Sheep</v>
      </c>
      <c r="E69" s="19" t="str" cm="1">
        <f t="array" ref="E69">Common_InputFunctions.Utility_DisplayArrayInTable(Scope3_SourceData.Scope3_Livestock_Data(), Table_SourceData_Scope3_Animals[[#Headers],[Category]], 0, 2)</f>
        <v>Sheep, for prime lamb</v>
      </c>
      <c r="F69" s="19" t="str" cm="1">
        <f t="array" ref="F69">Common_InputFunctions.Utility_DisplayArrayInTable(Scope3_SourceData.Scope3_Livestock_Data(), Table_SourceData_Scope3_Animals[[#Headers],[Category]], 0, 2)</f>
        <v>NSW</v>
      </c>
      <c r="G69" s="19" t="str" cm="1">
        <f t="array" ref="G69">Common_InputFunctions.Utility_DisplayArrayInTable(Scope3_SourceData.Scope3_Livestock_Data(), Table_SourceData_Scope3_Animals[[#Headers],[Category]], 0, 2)</f>
        <v>kg liveweight</v>
      </c>
      <c r="H69" s="19" cm="1">
        <f t="array" ref="H69">Common_InputFunctions.Utility_DisplayArrayInTable(Scope3_SourceData.Scope3_Livestock_Data(), Table_SourceData_Scope3_Animals[[#Headers],[Category]], 0, 2)</f>
        <v>8.2899999999999991</v>
      </c>
      <c r="I69" s="19" t="str" cm="1">
        <f t="array" ref="I69">Common_InputFunctions.Utility_DisplayArrayInTable(Scope3_SourceData.Scope3_Livestock_Data(), Table_SourceData_Scope3_Animals[[#Headers],[Category]], 0, 2)</f>
        <v>at market</v>
      </c>
      <c r="J69" s="19" t="s">
        <v>1446</v>
      </c>
    </row>
    <row r="70" spans="1:10" ht="20.100000000000001" customHeight="1" x14ac:dyDescent="0.25">
      <c r="A70"/>
      <c r="D70" s="19" t="str" cm="1">
        <f t="array" ref="D70">Common_InputFunctions.Utility_DisplayArrayInTable(Scope3_SourceData.Scope3_Livestock_Data(), Table_SourceData_Scope3_Animals[[#Headers],[Category]], 0, 2)</f>
        <v>Sheep</v>
      </c>
      <c r="E70" s="19" t="str" cm="1">
        <f t="array" ref="E70">Common_InputFunctions.Utility_DisplayArrayInTable(Scope3_SourceData.Scope3_Livestock_Data(), Table_SourceData_Scope3_Animals[[#Headers],[Category]], 0, 2)</f>
        <v>Sheep, for prime lamb</v>
      </c>
      <c r="F70" s="19" t="str" cm="1">
        <f t="array" ref="F70">Common_InputFunctions.Utility_DisplayArrayInTable(Scope3_SourceData.Scope3_Livestock_Data(), Table_SourceData_Scope3_Animals[[#Headers],[Category]], 0, 2)</f>
        <v>QLD</v>
      </c>
      <c r="G70" s="19" t="str" cm="1">
        <f t="array" ref="G70">Common_InputFunctions.Utility_DisplayArrayInTable(Scope3_SourceData.Scope3_Livestock_Data(), Table_SourceData_Scope3_Animals[[#Headers],[Category]], 0, 2)</f>
        <v>kg liveweight</v>
      </c>
      <c r="H70" s="19" cm="1">
        <f t="array" ref="H70">Common_InputFunctions.Utility_DisplayArrayInTable(Scope3_SourceData.Scope3_Livestock_Data(), Table_SourceData_Scope3_Animals[[#Headers],[Category]], 0, 2)</f>
        <v>6.39</v>
      </c>
      <c r="I70" s="19" t="str" cm="1">
        <f t="array" ref="I70">Common_InputFunctions.Utility_DisplayArrayInTable(Scope3_SourceData.Scope3_Livestock_Data(), Table_SourceData_Scope3_Animals[[#Headers],[Category]], 0, 2)</f>
        <v>at market</v>
      </c>
      <c r="J70" s="19" t="s">
        <v>1446</v>
      </c>
    </row>
    <row r="71" spans="1:10" ht="20.100000000000001" customHeight="1" x14ac:dyDescent="0.25">
      <c r="A71"/>
      <c r="D71" s="19" t="str" cm="1">
        <f t="array" ref="D71">Common_InputFunctions.Utility_DisplayArrayInTable(Scope3_SourceData.Scope3_Livestock_Data(), Table_SourceData_Scope3_Animals[[#Headers],[Category]], 0, 2)</f>
        <v>Sheep</v>
      </c>
      <c r="E71" s="19" t="str" cm="1">
        <f t="array" ref="E71">Common_InputFunctions.Utility_DisplayArrayInTable(Scope3_SourceData.Scope3_Livestock_Data(), Table_SourceData_Scope3_Animals[[#Headers],[Category]], 0, 2)</f>
        <v>Sheep, for prime lamb</v>
      </c>
      <c r="F71" s="19" t="str" cm="1">
        <f t="array" ref="F71">Common_InputFunctions.Utility_DisplayArrayInTable(Scope3_SourceData.Scope3_Livestock_Data(), Table_SourceData_Scope3_Animals[[#Headers],[Category]], 0, 2)</f>
        <v>SA</v>
      </c>
      <c r="G71" s="19" t="str" cm="1">
        <f t="array" ref="G71">Common_InputFunctions.Utility_DisplayArrayInTable(Scope3_SourceData.Scope3_Livestock_Data(), Table_SourceData_Scope3_Animals[[#Headers],[Category]], 0, 2)</f>
        <v>kg liveweight</v>
      </c>
      <c r="H71" s="19" cm="1">
        <f t="array" ref="H71">Common_InputFunctions.Utility_DisplayArrayInTable(Scope3_SourceData.Scope3_Livestock_Data(), Table_SourceData_Scope3_Animals[[#Headers],[Category]], 0, 2)</f>
        <v>6.87</v>
      </c>
      <c r="I71" s="19" t="str" cm="1">
        <f t="array" ref="I71">Common_InputFunctions.Utility_DisplayArrayInTable(Scope3_SourceData.Scope3_Livestock_Data(), Table_SourceData_Scope3_Animals[[#Headers],[Category]], 0, 2)</f>
        <v>at market</v>
      </c>
      <c r="J71" s="19" t="s">
        <v>1446</v>
      </c>
    </row>
    <row r="72" spans="1:10" ht="20.100000000000001" customHeight="1" x14ac:dyDescent="0.25">
      <c r="A72"/>
      <c r="D72" s="19" t="str" cm="1">
        <f t="array" ref="D72">Common_InputFunctions.Utility_DisplayArrayInTable(Scope3_SourceData.Scope3_Livestock_Data(), Table_SourceData_Scope3_Animals[[#Headers],[Category]], 0, 2)</f>
        <v>Sheep</v>
      </c>
      <c r="E72" s="19" t="str" cm="1">
        <f t="array" ref="E72">Common_InputFunctions.Utility_DisplayArrayInTable(Scope3_SourceData.Scope3_Livestock_Data(), Table_SourceData_Scope3_Animals[[#Headers],[Category]], 0, 2)</f>
        <v>Sheep, for prime lamb</v>
      </c>
      <c r="F72" s="19" t="str" cm="1">
        <f t="array" ref="F72">Common_InputFunctions.Utility_DisplayArrayInTable(Scope3_SourceData.Scope3_Livestock_Data(), Table_SourceData_Scope3_Animals[[#Headers],[Category]], 0, 2)</f>
        <v>TAS</v>
      </c>
      <c r="G72" s="19" t="str" cm="1">
        <f t="array" ref="G72">Common_InputFunctions.Utility_DisplayArrayInTable(Scope3_SourceData.Scope3_Livestock_Data(), Table_SourceData_Scope3_Animals[[#Headers],[Category]], 0, 2)</f>
        <v>kg liveweight</v>
      </c>
      <c r="H72" s="19" cm="1">
        <f t="array" ref="H72">Common_InputFunctions.Utility_DisplayArrayInTable(Scope3_SourceData.Scope3_Livestock_Data(), Table_SourceData_Scope3_Animals[[#Headers],[Category]], 0, 2)</f>
        <v>8.66</v>
      </c>
      <c r="I72" s="19" t="str" cm="1">
        <f t="array" ref="I72">Common_InputFunctions.Utility_DisplayArrayInTable(Scope3_SourceData.Scope3_Livestock_Data(), Table_SourceData_Scope3_Animals[[#Headers],[Category]], 0, 2)</f>
        <v>at market</v>
      </c>
      <c r="J72" s="19" t="s">
        <v>1446</v>
      </c>
    </row>
    <row r="73" spans="1:10" ht="20.100000000000001" customHeight="1" x14ac:dyDescent="0.25">
      <c r="A73"/>
      <c r="D73" s="19" t="str" cm="1">
        <f t="array" ref="D73">Common_InputFunctions.Utility_DisplayArrayInTable(Scope3_SourceData.Scope3_Livestock_Data(), Table_SourceData_Scope3_Animals[[#Headers],[Category]], 0, 2)</f>
        <v>Sheep</v>
      </c>
      <c r="E73" s="19" t="str" cm="1">
        <f t="array" ref="E73">Common_InputFunctions.Utility_DisplayArrayInTable(Scope3_SourceData.Scope3_Livestock_Data(), Table_SourceData_Scope3_Animals[[#Headers],[Category]], 0, 2)</f>
        <v>Sheep, for prime lamb</v>
      </c>
      <c r="F73" s="19" t="str" cm="1">
        <f t="array" ref="F73">Common_InputFunctions.Utility_DisplayArrayInTable(Scope3_SourceData.Scope3_Livestock_Data(), Table_SourceData_Scope3_Animals[[#Headers],[Category]], 0, 2)</f>
        <v>VIC</v>
      </c>
      <c r="G73" s="19" t="str" cm="1">
        <f t="array" ref="G73">Common_InputFunctions.Utility_DisplayArrayInTable(Scope3_SourceData.Scope3_Livestock_Data(), Table_SourceData_Scope3_Animals[[#Headers],[Category]], 0, 2)</f>
        <v>kg liveweight</v>
      </c>
      <c r="H73" s="19" cm="1">
        <f t="array" ref="H73">Common_InputFunctions.Utility_DisplayArrayInTable(Scope3_SourceData.Scope3_Livestock_Data(), Table_SourceData_Scope3_Animals[[#Headers],[Category]], 0, 2)</f>
        <v>10</v>
      </c>
      <c r="I73" s="19" t="str" cm="1">
        <f t="array" ref="I73">Common_InputFunctions.Utility_DisplayArrayInTable(Scope3_SourceData.Scope3_Livestock_Data(), Table_SourceData_Scope3_Animals[[#Headers],[Category]], 0, 2)</f>
        <v>at market</v>
      </c>
      <c r="J73" s="19" t="s">
        <v>1446</v>
      </c>
    </row>
    <row r="74" spans="1:10" ht="20.100000000000001" customHeight="1" x14ac:dyDescent="0.25">
      <c r="A74"/>
      <c r="D74" s="19" t="str" cm="1">
        <f t="array" ref="D74">Common_InputFunctions.Utility_DisplayArrayInTable(Scope3_SourceData.Scope3_Livestock_Data(), Table_SourceData_Scope3_Animals[[#Headers],[Category]], 0, 2)</f>
        <v>Sheep</v>
      </c>
      <c r="E74" s="19" t="str" cm="1">
        <f t="array" ref="E74">Common_InputFunctions.Utility_DisplayArrayInTable(Scope3_SourceData.Scope3_Livestock_Data(), Table_SourceData_Scope3_Animals[[#Headers],[Category]], 0, 2)</f>
        <v>Sheep, for prime lamb</v>
      </c>
      <c r="F74" s="19" t="str" cm="1">
        <f t="array" ref="F74">Common_InputFunctions.Utility_DisplayArrayInTable(Scope3_SourceData.Scope3_Livestock_Data(), Table_SourceData_Scope3_Animals[[#Headers],[Category]], 0, 2)</f>
        <v>WA</v>
      </c>
      <c r="G74" s="19" t="str" cm="1">
        <f t="array" ref="G74">Common_InputFunctions.Utility_DisplayArrayInTable(Scope3_SourceData.Scope3_Livestock_Data(), Table_SourceData_Scope3_Animals[[#Headers],[Category]], 0, 2)</f>
        <v>kg liveweight</v>
      </c>
      <c r="H74" s="19" cm="1">
        <f t="array" ref="H74">Common_InputFunctions.Utility_DisplayArrayInTable(Scope3_SourceData.Scope3_Livestock_Data(), Table_SourceData_Scope3_Animals[[#Headers],[Category]], 0, 2)</f>
        <v>5.67</v>
      </c>
      <c r="I74" s="19" t="str" cm="1">
        <f t="array" ref="I74">Common_InputFunctions.Utility_DisplayArrayInTable(Scope3_SourceData.Scope3_Livestock_Data(), Table_SourceData_Scope3_Animals[[#Headers],[Category]], 0, 2)</f>
        <v>at market</v>
      </c>
      <c r="J74" s="19" t="s">
        <v>1446</v>
      </c>
    </row>
    <row r="75" spans="1:10" ht="20.100000000000001" customHeight="1" x14ac:dyDescent="0.25">
      <c r="A75"/>
    </row>
    <row r="76" spans="1:10" ht="20.100000000000001" customHeight="1" x14ac:dyDescent="0.25">
      <c r="A76"/>
      <c r="D76" s="2" t="s">
        <v>1457</v>
      </c>
    </row>
    <row r="77" spans="1:10" ht="20.100000000000001" customHeight="1" x14ac:dyDescent="0.25">
      <c r="A77"/>
      <c r="D77" s="19" t="s">
        <v>1439</v>
      </c>
      <c r="E77" s="19" t="s">
        <v>131</v>
      </c>
      <c r="F77" s="19" t="s">
        <v>1440</v>
      </c>
      <c r="G77" s="19" t="s">
        <v>1441</v>
      </c>
      <c r="H77" s="19" t="s">
        <v>1442</v>
      </c>
      <c r="I77" s="19" t="s">
        <v>1443</v>
      </c>
      <c r="J77" s="19" t="s">
        <v>834</v>
      </c>
    </row>
    <row r="78" spans="1:10" ht="20.100000000000001" customHeight="1" x14ac:dyDescent="0.25">
      <c r="A78"/>
      <c r="D78" s="19" t="str" cm="1">
        <f t="array" ref="D78">Common_InputFunctions.Utility_DisplayArrayInTable(Scope3_SourceData.Scope3_Chemicals_Data(), Table_SourceData_Scope3_ChemicalsCleaning[[#Headers],[Category]], 0, 2)</f>
        <v>Cleaning chemicals</v>
      </c>
      <c r="E78" s="19" t="str" cm="1">
        <f t="array" ref="E78">Common_InputFunctions.Utility_DisplayArrayInTable(Scope3_SourceData.Scope3_Chemicals_Data(), Table_SourceData_Scope3_ChemicalsCleaning[[#Headers],[Category]], 0, 2)</f>
        <v>Alkaline cleaner</v>
      </c>
      <c r="F78" s="19" t="str" cm="1">
        <f t="array" ref="F78">Common_InputFunctions.Utility_DisplayArrayInTable(Scope3_SourceData.Scope3_Chemicals_Data(), Table_SourceData_Scope3_ChemicalsCleaning[[#Headers],[Category]], 0, 2)</f>
        <v>Global</v>
      </c>
      <c r="G78" s="19" t="str" cm="1">
        <f t="array" ref="G78">Common_InputFunctions.Utility_DisplayArrayInTable(Scope3_SourceData.Scope3_Chemicals_Data(), Table_SourceData_Scope3_ChemicalsCleaning[[#Headers],[Category]], 0, 2)</f>
        <v>kg</v>
      </c>
      <c r="H78" s="19" cm="1">
        <f t="array" ref="H78">Common_InputFunctions.Utility_DisplayArrayInTable(Scope3_SourceData.Scope3_Chemicals_Data(), Table_SourceData_Scope3_ChemicalsCleaning[[#Headers],[Category]], 0, 2)</f>
        <v>0.72199999999999998</v>
      </c>
      <c r="I78" s="19" t="str" cm="1">
        <f t="array" ref="I78">Common_InputFunctions.Utility_DisplayArrayInTable(Scope3_SourceData.Scope3_Chemicals_Data(), Table_SourceData_Scope3_ChemicalsCleaning[[#Headers],[Category]], 0, 2)</f>
        <v>at manufacturer</v>
      </c>
      <c r="J78" s="19" t="s">
        <v>1446</v>
      </c>
    </row>
    <row r="79" spans="1:10" ht="20.100000000000001" customHeight="1" x14ac:dyDescent="0.25">
      <c r="A79"/>
      <c r="D79" s="19" t="str" cm="1">
        <f t="array" ref="D79">Common_InputFunctions.Utility_DisplayArrayInTable(Scope3_SourceData.Scope3_Chemicals_Data(), Table_SourceData_Scope3_ChemicalsCleaning[[#Headers],[Category]], 0, 2)</f>
        <v>Cleaning chemicals</v>
      </c>
      <c r="E79" s="19" t="str" cm="1">
        <f t="array" ref="E79">Common_InputFunctions.Utility_DisplayArrayInTable(Scope3_SourceData.Scope3_Chemicals_Data(), Table_SourceData_Scope3_ChemicalsCleaning[[#Headers],[Category]], 0, 2)</f>
        <v>Bleach</v>
      </c>
      <c r="F79" s="19" t="str" cm="1">
        <f t="array" ref="F79">Common_InputFunctions.Utility_DisplayArrayInTable(Scope3_SourceData.Scope3_Chemicals_Data(), Table_SourceData_Scope3_ChemicalsCleaning[[#Headers],[Category]], 0, 2)</f>
        <v>Global</v>
      </c>
      <c r="G79" s="19" t="str" cm="1">
        <f t="array" ref="G79">Common_InputFunctions.Utility_DisplayArrayInTable(Scope3_SourceData.Scope3_Chemicals_Data(), Table_SourceData_Scope3_ChemicalsCleaning[[#Headers],[Category]], 0, 2)</f>
        <v>kg</v>
      </c>
      <c r="H79" s="19" cm="1">
        <f t="array" ref="H79">Common_InputFunctions.Utility_DisplayArrayInTable(Scope3_SourceData.Scope3_Chemicals_Data(), Table_SourceData_Scope3_ChemicalsCleaning[[#Headers],[Category]], 0, 2)</f>
        <v>0.80400000000000005</v>
      </c>
      <c r="I79" s="19" t="str" cm="1">
        <f t="array" ref="I79">Common_InputFunctions.Utility_DisplayArrayInTable(Scope3_SourceData.Scope3_Chemicals_Data(), Table_SourceData_Scope3_ChemicalsCleaning[[#Headers],[Category]], 0, 2)</f>
        <v>at manufacturer</v>
      </c>
      <c r="J79" s="19" t="s">
        <v>1446</v>
      </c>
    </row>
    <row r="80" spans="1:10" ht="20.100000000000001" customHeight="1" x14ac:dyDescent="0.25">
      <c r="A80"/>
      <c r="D80" s="19" t="str" cm="1">
        <f t="array" ref="D80">Common_InputFunctions.Utility_DisplayArrayInTable(Scope3_SourceData.Scope3_Chemicals_Data(), Table_SourceData_Scope3_ChemicalsCleaning[[#Headers],[Category]], 0, 2)</f>
        <v>Cleaning chemicals</v>
      </c>
      <c r="E80" s="19" t="str" cm="1">
        <f t="array" ref="E80">Common_InputFunctions.Utility_DisplayArrayInTable(Scope3_SourceData.Scope3_Chemicals_Data(), Table_SourceData_Scope3_ChemicalsCleaning[[#Headers],[Category]], 0, 2)</f>
        <v>Phosphoric acid</v>
      </c>
      <c r="F80" s="19" t="str" cm="1">
        <f t="array" ref="F80">Common_InputFunctions.Utility_DisplayArrayInTable(Scope3_SourceData.Scope3_Chemicals_Data(), Table_SourceData_Scope3_ChemicalsCleaning[[#Headers],[Category]], 0, 2)</f>
        <v>Global</v>
      </c>
      <c r="G80" s="19" t="str" cm="1">
        <f t="array" ref="G80">Common_InputFunctions.Utility_DisplayArrayInTable(Scope3_SourceData.Scope3_Chemicals_Data(), Table_SourceData_Scope3_ChemicalsCleaning[[#Headers],[Category]], 0, 2)</f>
        <v>kg</v>
      </c>
      <c r="H80" s="19" cm="1">
        <f t="array" ref="H80">Common_InputFunctions.Utility_DisplayArrayInTable(Scope3_SourceData.Scope3_Chemicals_Data(), Table_SourceData_Scope3_ChemicalsCleaning[[#Headers],[Category]], 0, 2)</f>
        <v>0.90700000000000003</v>
      </c>
      <c r="I80" s="19" t="str" cm="1">
        <f t="array" ref="I80">Common_InputFunctions.Utility_DisplayArrayInTable(Scope3_SourceData.Scope3_Chemicals_Data(), Table_SourceData_Scope3_ChemicalsCleaning[[#Headers],[Category]], 0, 2)</f>
        <v>at manufacturer</v>
      </c>
      <c r="J80" s="19" t="s">
        <v>1446</v>
      </c>
    </row>
    <row r="81" spans="1:17" ht="20.100000000000001" customHeight="1" x14ac:dyDescent="0.25">
      <c r="A81"/>
    </row>
    <row r="82" spans="1:17" ht="20.100000000000001" customHeight="1" x14ac:dyDescent="0.25">
      <c r="A82"/>
      <c r="D82" s="19" t="s">
        <v>1439</v>
      </c>
      <c r="E82" s="19" t="s">
        <v>131</v>
      </c>
      <c r="F82" s="19" t="s">
        <v>1440</v>
      </c>
      <c r="G82" s="19" t="s">
        <v>1441</v>
      </c>
      <c r="H82" s="19" t="s">
        <v>1442</v>
      </c>
      <c r="I82" s="19" t="s">
        <v>1443</v>
      </c>
      <c r="J82" s="19" t="s">
        <v>834</v>
      </c>
    </row>
    <row r="83" spans="1:17" ht="20.100000000000001" customHeight="1" x14ac:dyDescent="0.25">
      <c r="A83"/>
      <c r="D83" s="19" t="str" cm="1">
        <f t="array" ref="D83">Common_InputFunctions.Utility_DisplayArrayInTable(Scope3_SourceData.Scope3_Chemicals_Data(), Table_SourceData_Scope3_ChemicalsPharmacy[[#Headers],[Category]], -3, 2)</f>
        <v>Pharmacy chemicals</v>
      </c>
      <c r="E83" s="19" t="str" cm="1">
        <f t="array" ref="E83">Common_InputFunctions.Utility_DisplayArrayInTable(Scope3_SourceData.Scope3_Chemicals_Data(), Table_SourceData_Scope3_ChemicalsPharmacy[[#Headers],[Category]], -3, 2)</f>
        <v>Parasite control for cattle (external), dipping</v>
      </c>
      <c r="F83" s="19" t="str" cm="1">
        <f t="array" ref="F83">Common_InputFunctions.Utility_DisplayArrayInTable(Scope3_SourceData.Scope3_Chemicals_Data(), Table_SourceData_Scope3_ChemicalsPharmacy[[#Headers],[Category]], -3, 2)</f>
        <v>Global</v>
      </c>
      <c r="G83" s="19" t="str" cm="1">
        <f t="array" ref="G83">Common_InputFunctions.Utility_DisplayArrayInTable(Scope3_SourceData.Scope3_Chemicals_Data(), Table_SourceData_Scope3_ChemicalsPharmacy[[#Headers],[Category]], -3, 2)</f>
        <v>p (head)</v>
      </c>
      <c r="H83" s="19" cm="1">
        <f t="array" ref="H83">Common_InputFunctions.Utility_DisplayArrayInTable(Scope3_SourceData.Scope3_Chemicals_Data(), Table_SourceData_Scope3_ChemicalsPharmacy[[#Headers],[Category]], -3, 2)</f>
        <v>5.4699999999999999E-2</v>
      </c>
      <c r="I83" s="19" t="str" cm="1">
        <f t="array" ref="I83">Common_InputFunctions.Utility_DisplayArrayInTable(Scope3_SourceData.Scope3_Chemicals_Data(), Table_SourceData_Scope3_ChemicalsPharmacy[[#Headers],[Category]], -3, 2)</f>
        <v>at manufacturer</v>
      </c>
      <c r="J83" s="19" t="s">
        <v>1446</v>
      </c>
    </row>
    <row r="84" spans="1:17" ht="20.100000000000001" customHeight="1" x14ac:dyDescent="0.25">
      <c r="A84"/>
      <c r="D84" s="19" t="str" cm="1">
        <f t="array" ref="D84">Common_InputFunctions.Utility_DisplayArrayInTable(Scope3_SourceData.Scope3_Chemicals_Data(), Table_SourceData_Scope3_ChemicalsPharmacy[[#Headers],[Category]], -3, 2)</f>
        <v>Pharmacy chemicals</v>
      </c>
      <c r="E84" s="19" t="str" cm="1">
        <f t="array" ref="E84">Common_InputFunctions.Utility_DisplayArrayInTable(Scope3_SourceData.Scope3_Chemicals_Data(), Table_SourceData_Scope3_ChemicalsPharmacy[[#Headers],[Category]], -3, 2)</f>
        <v>Parasite control for cattle (internal)</v>
      </c>
      <c r="F84" s="19" t="str" cm="1">
        <f t="array" ref="F84">Common_InputFunctions.Utility_DisplayArrayInTable(Scope3_SourceData.Scope3_Chemicals_Data(), Table_SourceData_Scope3_ChemicalsPharmacy[[#Headers],[Category]], -3, 2)</f>
        <v>Global</v>
      </c>
      <c r="G84" s="19" t="str" cm="1">
        <f t="array" ref="G84">Common_InputFunctions.Utility_DisplayArrayInTable(Scope3_SourceData.Scope3_Chemicals_Data(), Table_SourceData_Scope3_ChemicalsPharmacy[[#Headers],[Category]], -3, 2)</f>
        <v>p (head)</v>
      </c>
      <c r="H84" s="19" cm="1">
        <f t="array" ref="H84">Common_InputFunctions.Utility_DisplayArrayInTable(Scope3_SourceData.Scope3_Chemicals_Data(), Table_SourceData_Scope3_ChemicalsPharmacy[[#Headers],[Category]], -3, 2)</f>
        <v>1.4200000000000001E-2</v>
      </c>
      <c r="I84" s="19" t="str" cm="1">
        <f t="array" ref="I84">Common_InputFunctions.Utility_DisplayArrayInTable(Scope3_SourceData.Scope3_Chemicals_Data(), Table_SourceData_Scope3_ChemicalsPharmacy[[#Headers],[Category]], -3, 2)</f>
        <v>at manufacturer</v>
      </c>
      <c r="J84" s="19" t="s">
        <v>1446</v>
      </c>
    </row>
    <row r="85" spans="1:17" ht="20.100000000000001" customHeight="1" x14ac:dyDescent="0.25">
      <c r="A85"/>
      <c r="D85" s="19" t="str" cm="1">
        <f t="array" ref="D85">Common_InputFunctions.Utility_DisplayArrayInTable(Scope3_SourceData.Scope3_Chemicals_Data(), Table_SourceData_Scope3_ChemicalsPharmacy[[#Headers],[Category]], -3, 2)</f>
        <v>Pharmacy chemicals</v>
      </c>
      <c r="E85" s="19" t="str" cm="1">
        <f t="array" ref="E85">Common_InputFunctions.Utility_DisplayArrayInTable(Scope3_SourceData.Scope3_Chemicals_Data(), Table_SourceData_Scope3_ChemicalsPharmacy[[#Headers],[Category]], -3, 2)</f>
        <v>Parasite control for sheep (external)</v>
      </c>
      <c r="F85" s="19" t="str" cm="1">
        <f t="array" ref="F85">Common_InputFunctions.Utility_DisplayArrayInTable(Scope3_SourceData.Scope3_Chemicals_Data(), Table_SourceData_Scope3_ChemicalsPharmacy[[#Headers],[Category]], -3, 2)</f>
        <v>Global</v>
      </c>
      <c r="G85" s="19" t="str" cm="1">
        <f t="array" ref="G85">Common_InputFunctions.Utility_DisplayArrayInTable(Scope3_SourceData.Scope3_Chemicals_Data(), Table_SourceData_Scope3_ChemicalsPharmacy[[#Headers],[Category]], -3, 2)</f>
        <v>p (head)</v>
      </c>
      <c r="H85" s="19" cm="1">
        <f t="array" ref="H85">Common_InputFunctions.Utility_DisplayArrayInTable(Scope3_SourceData.Scope3_Chemicals_Data(), Table_SourceData_Scope3_ChemicalsPharmacy[[#Headers],[Category]], -3, 2)</f>
        <v>1.43E-2</v>
      </c>
      <c r="I85" s="19" t="str" cm="1">
        <f t="array" ref="I85">Common_InputFunctions.Utility_DisplayArrayInTable(Scope3_SourceData.Scope3_Chemicals_Data(), Table_SourceData_Scope3_ChemicalsPharmacy[[#Headers],[Category]], -3, 2)</f>
        <v>at manufacturer</v>
      </c>
      <c r="J85" s="19" t="s">
        <v>1446</v>
      </c>
    </row>
    <row r="86" spans="1:17" ht="20.100000000000001" customHeight="1" x14ac:dyDescent="0.25">
      <c r="A86"/>
      <c r="D86" s="19" t="str" cm="1">
        <f t="array" ref="D86">Common_InputFunctions.Utility_DisplayArrayInTable(Scope3_SourceData.Scope3_Chemicals_Data(), Table_SourceData_Scope3_ChemicalsPharmacy[[#Headers],[Category]], -3, 2)</f>
        <v>Pharmacy chemicals</v>
      </c>
      <c r="E86" s="19" t="str" cm="1">
        <f t="array" ref="E86">Common_InputFunctions.Utility_DisplayArrayInTable(Scope3_SourceData.Scope3_Chemicals_Data(), Table_SourceData_Scope3_ChemicalsPharmacy[[#Headers],[Category]], -3, 2)</f>
        <v>Parasite control for sheep (internal)</v>
      </c>
      <c r="F86" s="19" t="str" cm="1">
        <f t="array" ref="F86">Common_InputFunctions.Utility_DisplayArrayInTable(Scope3_SourceData.Scope3_Chemicals_Data(), Table_SourceData_Scope3_ChemicalsPharmacy[[#Headers],[Category]], -3, 2)</f>
        <v>Global</v>
      </c>
      <c r="G86" s="19" t="str" cm="1">
        <f t="array" ref="G86">Common_InputFunctions.Utility_DisplayArrayInTable(Scope3_SourceData.Scope3_Chemicals_Data(), Table_SourceData_Scope3_ChemicalsPharmacy[[#Headers],[Category]], -3, 2)</f>
        <v>p (head)</v>
      </c>
      <c r="H86" s="19" cm="1">
        <f t="array" ref="H86">Common_InputFunctions.Utility_DisplayArrayInTable(Scope3_SourceData.Scope3_Chemicals_Data(), Table_SourceData_Scope3_ChemicalsPharmacy[[#Headers],[Category]], -3, 2)</f>
        <v>4.2599999999999999E-3</v>
      </c>
      <c r="I86" s="19" t="str" cm="1">
        <f t="array" ref="I86">Common_InputFunctions.Utility_DisplayArrayInTable(Scope3_SourceData.Scope3_Chemicals_Data(), Table_SourceData_Scope3_ChemicalsPharmacy[[#Headers],[Category]], -3, 2)</f>
        <v>at manufacturer</v>
      </c>
      <c r="J86" s="19" t="s">
        <v>1446</v>
      </c>
    </row>
    <row r="87" spans="1:17" ht="20.100000000000001" customHeight="1" x14ac:dyDescent="0.25">
      <c r="A87"/>
    </row>
    <row r="88" spans="1:17" ht="20.100000000000001" customHeight="1" x14ac:dyDescent="0.25">
      <c r="A88"/>
      <c r="D88" s="2" t="s">
        <v>1252</v>
      </c>
    </row>
    <row r="89" spans="1:17" ht="20.100000000000001" customHeight="1" x14ac:dyDescent="0.25">
      <c r="A89"/>
      <c r="D89" s="19" t="s">
        <v>1439</v>
      </c>
      <c r="E89" s="19" t="s">
        <v>131</v>
      </c>
      <c r="F89" s="19" t="s">
        <v>1440</v>
      </c>
      <c r="G89" s="19" t="s">
        <v>1441</v>
      </c>
      <c r="H89" s="19" t="s">
        <v>1442</v>
      </c>
      <c r="I89" s="19" t="s">
        <v>1443</v>
      </c>
      <c r="J89" s="19" t="s">
        <v>834</v>
      </c>
      <c r="O89" s="19" t="s">
        <v>131</v>
      </c>
      <c r="P89" s="19" t="s">
        <v>1444</v>
      </c>
      <c r="Q89" s="1" t="str">
        <f>"Table_ProductRegions_" &amp; SUBSTITUTE(SUBSTITUTE(SUBSTITUTE(SUBSTITUTE(O90, " ", ""), ",", ""), "(", ""), ")", "")</f>
        <v>Table_ProductRegions_Barleygrain</v>
      </c>
    </row>
    <row r="90" spans="1:17" ht="20.100000000000001" customHeight="1" x14ac:dyDescent="0.25">
      <c r="A90"/>
      <c r="D90" s="19" t="str" cm="1">
        <f t="array" ref="D90">Common_InputFunctions.Utility_DisplayArrayInTable(Scope3_SourceData.Scope3_Feed_Data(), Table_SourceData_Scope3_Feed[[#Headers],[Category]], -1, 2)</f>
        <v>Grain</v>
      </c>
      <c r="E90" s="19" t="str" cm="1">
        <f t="array" ref="E90">Common_InputFunctions.Utility_DisplayArrayInTable(Scope3_SourceData.Scope3_Feed_Data(), Table_SourceData_Scope3_Feed[[#Headers],[Category]], -1, 2)</f>
        <v>Barley grain</v>
      </c>
      <c r="F90" s="19" t="str" cm="1">
        <f t="array" ref="F90">Common_InputFunctions.Utility_DisplayArrayInTable(Scope3_SourceData.Scope3_Feed_Data(), Table_SourceData_Scope3_Feed[[#Headers],[Category]], -1, 2)</f>
        <v>Australia</v>
      </c>
      <c r="G90" s="19" t="str" cm="1">
        <f t="array" ref="G90">Common_InputFunctions.Utility_DisplayArrayInTable(Scope3_SourceData.Scope3_Feed_Data(), Table_SourceData_Scope3_Feed[[#Headers],[Category]], -1, 2)</f>
        <v>kg</v>
      </c>
      <c r="H90" s="19" cm="1">
        <f t="array" ref="H90">Common_InputFunctions.Utility_DisplayArrayInTable(Scope3_SourceData.Scope3_Feed_Data(), Table_SourceData_Scope3_Feed[[#Headers],[Category]], -1, 2)</f>
        <v>0.23899999999999999</v>
      </c>
      <c r="I90" s="19" t="str" cm="1">
        <f t="array" ref="I90">Common_InputFunctions.Utility_DisplayArrayInTable(Scope3_SourceData.Scope3_Feed_Data(), Table_SourceData_Scope3_Feed[[#Headers],[Category]], -1, 2)</f>
        <v>at market</v>
      </c>
      <c r="J90" s="19" t="s">
        <v>1446</v>
      </c>
      <c r="O90" s="19" t="str">
        <f>Table_SourceData_Scope3_Feed[[#This Row],[Product]]</f>
        <v>Barley grain</v>
      </c>
      <c r="P90" s="19" t="str">
        <f>Table_SourceData_Scope3_Feed[[#This Row],[Region of origin]]</f>
        <v>Australia</v>
      </c>
    </row>
    <row r="91" spans="1:17" ht="20.100000000000001" customHeight="1" x14ac:dyDescent="0.25">
      <c r="A91"/>
      <c r="D91" s="19" t="str" cm="1">
        <f t="array" ref="D91">Common_InputFunctions.Utility_DisplayArrayInTable(Scope3_SourceData.Scope3_Feed_Data(), Table_SourceData_Scope3_Feed[[#Headers],[Category]], -1, 2)</f>
        <v>Grain</v>
      </c>
      <c r="E91" s="19" t="str" cm="1">
        <f t="array" ref="E91">Common_InputFunctions.Utility_DisplayArrayInTable(Scope3_SourceData.Scope3_Feed_Data(), Table_SourceData_Scope3_Feed[[#Headers],[Category]], -1, 2)</f>
        <v>Barley grain</v>
      </c>
      <c r="F91" s="19" t="str" cm="1">
        <f t="array" ref="F91">Common_InputFunctions.Utility_DisplayArrayInTable(Scope3_SourceData.Scope3_Feed_Data(), Table_SourceData_Scope3_Feed[[#Headers],[Category]], -1, 2)</f>
        <v>NSW</v>
      </c>
      <c r="G91" s="19" t="str" cm="1">
        <f t="array" ref="G91">Common_InputFunctions.Utility_DisplayArrayInTable(Scope3_SourceData.Scope3_Feed_Data(), Table_SourceData_Scope3_Feed[[#Headers],[Category]], -1, 2)</f>
        <v>kg</v>
      </c>
      <c r="H91" s="19" cm="1">
        <f t="array" ref="H91">Common_InputFunctions.Utility_DisplayArrayInTable(Scope3_SourceData.Scope3_Feed_Data(), Table_SourceData_Scope3_Feed[[#Headers],[Category]], -1, 2)</f>
        <v>0.25600000000000001</v>
      </c>
      <c r="I91" s="19" t="str" cm="1">
        <f t="array" ref="I91">Common_InputFunctions.Utility_DisplayArrayInTable(Scope3_SourceData.Scope3_Feed_Data(), Table_SourceData_Scope3_Feed[[#Headers],[Category]], -1, 2)</f>
        <v>at market</v>
      </c>
      <c r="J91" s="19" t="s">
        <v>1446</v>
      </c>
      <c r="O91" s="19" t="str">
        <f>Table_SourceData_Scope3_Feed[[#This Row],[Product]]</f>
        <v>Barley grain</v>
      </c>
      <c r="P91" s="19" t="str">
        <f>Table_SourceData_Scope3_Feed[[#This Row],[Region of origin]]</f>
        <v>NSW</v>
      </c>
    </row>
    <row r="92" spans="1:17" ht="20.100000000000001" customHeight="1" x14ac:dyDescent="0.25">
      <c r="A92"/>
      <c r="D92" s="19" t="str" cm="1">
        <f t="array" ref="D92">Common_InputFunctions.Utility_DisplayArrayInTable(Scope3_SourceData.Scope3_Feed_Data(), Table_SourceData_Scope3_Feed[[#Headers],[Category]], -1, 2)</f>
        <v>Grain</v>
      </c>
      <c r="E92" s="19" t="str" cm="1">
        <f t="array" ref="E92">Common_InputFunctions.Utility_DisplayArrayInTable(Scope3_SourceData.Scope3_Feed_Data(), Table_SourceData_Scope3_Feed[[#Headers],[Category]], -1, 2)</f>
        <v>Barley grain</v>
      </c>
      <c r="F92" s="19" t="str" cm="1">
        <f t="array" ref="F92">Common_InputFunctions.Utility_DisplayArrayInTable(Scope3_SourceData.Scope3_Feed_Data(), Table_SourceData_Scope3_Feed[[#Headers],[Category]], -1, 2)</f>
        <v>NT</v>
      </c>
      <c r="G92" s="19" t="str" cm="1">
        <f t="array" ref="G92">Common_InputFunctions.Utility_DisplayArrayInTable(Scope3_SourceData.Scope3_Feed_Data(), Table_SourceData_Scope3_Feed[[#Headers],[Category]], -1, 2)</f>
        <v>kg</v>
      </c>
      <c r="H92" s="19" cm="1">
        <f t="array" ref="H92">Common_InputFunctions.Utility_DisplayArrayInTable(Scope3_SourceData.Scope3_Feed_Data(), Table_SourceData_Scope3_Feed[[#Headers],[Category]], -1, 2)</f>
        <v>0.33200000000000002</v>
      </c>
      <c r="I92" s="19" t="str" cm="1">
        <f t="array" ref="I92">Common_InputFunctions.Utility_DisplayArrayInTable(Scope3_SourceData.Scope3_Feed_Data(), Table_SourceData_Scope3_Feed[[#Headers],[Category]], -1, 2)</f>
        <v>at market</v>
      </c>
      <c r="J92" s="19" t="s">
        <v>1446</v>
      </c>
      <c r="O92" s="19" t="str">
        <f>Table_SourceData_Scope3_Feed[[#This Row],[Product]]</f>
        <v>Barley grain</v>
      </c>
      <c r="P92" s="19" t="str">
        <f>Table_SourceData_Scope3_Feed[[#This Row],[Region of origin]]</f>
        <v>NT</v>
      </c>
    </row>
    <row r="93" spans="1:17" ht="20.100000000000001" customHeight="1" x14ac:dyDescent="0.25">
      <c r="A93"/>
      <c r="D93" s="19" t="str" cm="1">
        <f t="array" ref="D93">Common_InputFunctions.Utility_DisplayArrayInTable(Scope3_SourceData.Scope3_Feed_Data(), Table_SourceData_Scope3_Feed[[#Headers],[Category]], -1, 2)</f>
        <v>Grain</v>
      </c>
      <c r="E93" s="19" t="str" cm="1">
        <f t="array" ref="E93">Common_InputFunctions.Utility_DisplayArrayInTable(Scope3_SourceData.Scope3_Feed_Data(), Table_SourceData_Scope3_Feed[[#Headers],[Category]], -1, 2)</f>
        <v>Barley grain</v>
      </c>
      <c r="F93" s="19" t="str" cm="1">
        <f t="array" ref="F93">Common_InputFunctions.Utility_DisplayArrayInTable(Scope3_SourceData.Scope3_Feed_Data(), Table_SourceData_Scope3_Feed[[#Headers],[Category]], -1, 2)</f>
        <v>QLD</v>
      </c>
      <c r="G93" s="19" t="str" cm="1">
        <f t="array" ref="G93">Common_InputFunctions.Utility_DisplayArrayInTable(Scope3_SourceData.Scope3_Feed_Data(), Table_SourceData_Scope3_Feed[[#Headers],[Category]], -1, 2)</f>
        <v>kg</v>
      </c>
      <c r="H93" s="19" cm="1">
        <f t="array" ref="H93">Common_InputFunctions.Utility_DisplayArrayInTable(Scope3_SourceData.Scope3_Feed_Data(), Table_SourceData_Scope3_Feed[[#Headers],[Category]], -1, 2)</f>
        <v>0.26900000000000002</v>
      </c>
      <c r="I93" s="19" t="str" cm="1">
        <f t="array" ref="I93">Common_InputFunctions.Utility_DisplayArrayInTable(Scope3_SourceData.Scope3_Feed_Data(), Table_SourceData_Scope3_Feed[[#Headers],[Category]], -1, 2)</f>
        <v>at market</v>
      </c>
      <c r="J93" s="19" t="s">
        <v>1446</v>
      </c>
      <c r="O93" s="19" t="str">
        <f>Table_SourceData_Scope3_Feed[[#This Row],[Product]]</f>
        <v>Barley grain</v>
      </c>
      <c r="P93" s="19" t="str">
        <f>Table_SourceData_Scope3_Feed[[#This Row],[Region of origin]]</f>
        <v>QLD</v>
      </c>
    </row>
    <row r="94" spans="1:17" ht="20.100000000000001" customHeight="1" x14ac:dyDescent="0.25">
      <c r="A94"/>
      <c r="D94" s="19" t="str" cm="1">
        <f t="array" ref="D94">Common_InputFunctions.Utility_DisplayArrayInTable(Scope3_SourceData.Scope3_Feed_Data(), Table_SourceData_Scope3_Feed[[#Headers],[Category]], -1, 2)</f>
        <v>Grain</v>
      </c>
      <c r="E94" s="19" t="str" cm="1">
        <f t="array" ref="E94">Common_InputFunctions.Utility_DisplayArrayInTable(Scope3_SourceData.Scope3_Feed_Data(), Table_SourceData_Scope3_Feed[[#Headers],[Category]], -1, 2)</f>
        <v>Barley grain</v>
      </c>
      <c r="F94" s="19" t="str" cm="1">
        <f t="array" ref="F94">Common_InputFunctions.Utility_DisplayArrayInTable(Scope3_SourceData.Scope3_Feed_Data(), Table_SourceData_Scope3_Feed[[#Headers],[Category]], -1, 2)</f>
        <v>SA</v>
      </c>
      <c r="G94" s="19" t="str" cm="1">
        <f t="array" ref="G94">Common_InputFunctions.Utility_DisplayArrayInTable(Scope3_SourceData.Scope3_Feed_Data(), Table_SourceData_Scope3_Feed[[#Headers],[Category]], -1, 2)</f>
        <v>kg</v>
      </c>
      <c r="H94" s="19" cm="1">
        <f t="array" ref="H94">Common_InputFunctions.Utility_DisplayArrayInTable(Scope3_SourceData.Scope3_Feed_Data(), Table_SourceData_Scope3_Feed[[#Headers],[Category]], -1, 2)</f>
        <v>0.223</v>
      </c>
      <c r="I94" s="19" t="str" cm="1">
        <f t="array" ref="I94">Common_InputFunctions.Utility_DisplayArrayInTable(Scope3_SourceData.Scope3_Feed_Data(), Table_SourceData_Scope3_Feed[[#Headers],[Category]], -1, 2)</f>
        <v>at market</v>
      </c>
      <c r="J94" s="19" t="s">
        <v>1446</v>
      </c>
      <c r="O94" s="19" t="str">
        <f>Table_SourceData_Scope3_Feed[[#This Row],[Product]]</f>
        <v>Barley grain</v>
      </c>
      <c r="P94" s="19" t="str">
        <f>Table_SourceData_Scope3_Feed[[#This Row],[Region of origin]]</f>
        <v>SA</v>
      </c>
    </row>
    <row r="95" spans="1:17" ht="20.100000000000001" customHeight="1" x14ac:dyDescent="0.25">
      <c r="A95"/>
      <c r="D95" s="19" t="str" cm="1">
        <f t="array" ref="D95">Common_InputFunctions.Utility_DisplayArrayInTable(Scope3_SourceData.Scope3_Feed_Data(), Table_SourceData_Scope3_Feed[[#Headers],[Category]], -1, 2)</f>
        <v>Grain</v>
      </c>
      <c r="E95" s="19" t="str" cm="1">
        <f t="array" ref="E95">Common_InputFunctions.Utility_DisplayArrayInTable(Scope3_SourceData.Scope3_Feed_Data(), Table_SourceData_Scope3_Feed[[#Headers],[Category]], -1, 2)</f>
        <v>Barley grain</v>
      </c>
      <c r="F95" s="19" t="str" cm="1">
        <f t="array" ref="F95">Common_InputFunctions.Utility_DisplayArrayInTable(Scope3_SourceData.Scope3_Feed_Data(), Table_SourceData_Scope3_Feed[[#Headers],[Category]], -1, 2)</f>
        <v>TAS</v>
      </c>
      <c r="G95" s="19" t="str" cm="1">
        <f t="array" ref="G95">Common_InputFunctions.Utility_DisplayArrayInTable(Scope3_SourceData.Scope3_Feed_Data(), Table_SourceData_Scope3_Feed[[#Headers],[Category]], -1, 2)</f>
        <v>kg</v>
      </c>
      <c r="H95" s="19" cm="1">
        <f t="array" ref="H95">Common_InputFunctions.Utility_DisplayArrayInTable(Scope3_SourceData.Scope3_Feed_Data(), Table_SourceData_Scope3_Feed[[#Headers],[Category]], -1, 2)</f>
        <v>0.307</v>
      </c>
      <c r="I95" s="19" t="str" cm="1">
        <f t="array" ref="I95">Common_InputFunctions.Utility_DisplayArrayInTable(Scope3_SourceData.Scope3_Feed_Data(), Table_SourceData_Scope3_Feed[[#Headers],[Category]], -1, 2)</f>
        <v>at market</v>
      </c>
      <c r="J95" s="19" t="s">
        <v>1446</v>
      </c>
      <c r="O95" s="19" t="str">
        <f>Table_SourceData_Scope3_Feed[[#This Row],[Product]]</f>
        <v>Barley grain</v>
      </c>
      <c r="P95" s="19" t="str">
        <f>Table_SourceData_Scope3_Feed[[#This Row],[Region of origin]]</f>
        <v>TAS</v>
      </c>
    </row>
    <row r="96" spans="1:17" ht="20.100000000000001" customHeight="1" x14ac:dyDescent="0.25">
      <c r="A96"/>
      <c r="D96" s="19" t="str" cm="1">
        <f t="array" ref="D96">Common_InputFunctions.Utility_DisplayArrayInTable(Scope3_SourceData.Scope3_Feed_Data(), Table_SourceData_Scope3_Feed[[#Headers],[Category]], -1, 2)</f>
        <v>Grain</v>
      </c>
      <c r="E96" s="19" t="str" cm="1">
        <f t="array" ref="E96">Common_InputFunctions.Utility_DisplayArrayInTable(Scope3_SourceData.Scope3_Feed_Data(), Table_SourceData_Scope3_Feed[[#Headers],[Category]], -1, 2)</f>
        <v>Barley grain</v>
      </c>
      <c r="F96" s="19" t="str" cm="1">
        <f t="array" ref="F96">Common_InputFunctions.Utility_DisplayArrayInTable(Scope3_SourceData.Scope3_Feed_Data(), Table_SourceData_Scope3_Feed[[#Headers],[Category]], -1, 2)</f>
        <v>VIC</v>
      </c>
      <c r="G96" s="19" t="str" cm="1">
        <f t="array" ref="G96">Common_InputFunctions.Utility_DisplayArrayInTable(Scope3_SourceData.Scope3_Feed_Data(), Table_SourceData_Scope3_Feed[[#Headers],[Category]], -1, 2)</f>
        <v>kg</v>
      </c>
      <c r="H96" s="19" cm="1">
        <f t="array" ref="H96">Common_InputFunctions.Utility_DisplayArrayInTable(Scope3_SourceData.Scope3_Feed_Data(), Table_SourceData_Scope3_Feed[[#Headers],[Category]], -1, 2)</f>
        <v>0.24099999999999999</v>
      </c>
      <c r="I96" s="19" t="str" cm="1">
        <f t="array" ref="I96">Common_InputFunctions.Utility_DisplayArrayInTable(Scope3_SourceData.Scope3_Feed_Data(), Table_SourceData_Scope3_Feed[[#Headers],[Category]], -1, 2)</f>
        <v>at market</v>
      </c>
      <c r="J96" s="19" t="s">
        <v>1446</v>
      </c>
      <c r="O96" s="19" t="str">
        <f>Table_SourceData_Scope3_Feed[[#This Row],[Product]]</f>
        <v>Barley grain</v>
      </c>
      <c r="P96" s="19" t="str">
        <f>Table_SourceData_Scope3_Feed[[#This Row],[Region of origin]]</f>
        <v>VIC</v>
      </c>
    </row>
    <row r="97" spans="1:17" ht="20.100000000000001" customHeight="1" x14ac:dyDescent="0.25">
      <c r="A97"/>
      <c r="D97" s="19" t="str" cm="1">
        <f t="array" ref="D97">Common_InputFunctions.Utility_DisplayArrayInTable(Scope3_SourceData.Scope3_Feed_Data(), Table_SourceData_Scope3_Feed[[#Headers],[Category]], -1, 2)</f>
        <v>Grain</v>
      </c>
      <c r="E97" s="19" t="str" cm="1">
        <f t="array" ref="E97">Common_InputFunctions.Utility_DisplayArrayInTable(Scope3_SourceData.Scope3_Feed_Data(), Table_SourceData_Scope3_Feed[[#Headers],[Category]], -1, 2)</f>
        <v>Barley grain</v>
      </c>
      <c r="F97" s="19" t="str" cm="1">
        <f t="array" ref="F97">Common_InputFunctions.Utility_DisplayArrayInTable(Scope3_SourceData.Scope3_Feed_Data(), Table_SourceData_Scope3_Feed[[#Headers],[Category]], -1, 2)</f>
        <v>WA</v>
      </c>
      <c r="G97" s="19" t="str" cm="1">
        <f t="array" ref="G97">Common_InputFunctions.Utility_DisplayArrayInTable(Scope3_SourceData.Scope3_Feed_Data(), Table_SourceData_Scope3_Feed[[#Headers],[Category]], -1, 2)</f>
        <v>kg</v>
      </c>
      <c r="H97" s="19" cm="1">
        <f t="array" ref="H97">Common_InputFunctions.Utility_DisplayArrayInTable(Scope3_SourceData.Scope3_Feed_Data(), Table_SourceData_Scope3_Feed[[#Headers],[Category]], -1, 2)</f>
        <v>0.23599999999999999</v>
      </c>
      <c r="I97" s="19" t="str" cm="1">
        <f t="array" ref="I97">Common_InputFunctions.Utility_DisplayArrayInTable(Scope3_SourceData.Scope3_Feed_Data(), Table_SourceData_Scope3_Feed[[#Headers],[Category]], -1, 2)</f>
        <v>at market</v>
      </c>
      <c r="J97" s="19" t="s">
        <v>1446</v>
      </c>
      <c r="L97" s="19" t="s">
        <v>131</v>
      </c>
      <c r="M97" s="19" t="s">
        <v>1444</v>
      </c>
      <c r="N97" s="1" t="str">
        <f>"Table_ProductRegions_" &amp; SUBSTITUTE(SUBSTITUTE(SUBSTITUTE(SUBSTITUTE(L98, " ", ""), ",", ""), "(", ""), ")", "")</f>
        <v>Table_ProductRegions_Maizegrain</v>
      </c>
      <c r="O97" s="19" t="str">
        <f>Table_SourceData_Scope3_Feed[[#This Row],[Product]]</f>
        <v>Barley grain</v>
      </c>
      <c r="P97" s="19" t="str">
        <f>Table_SourceData_Scope3_Feed[[#This Row],[Region of origin]]</f>
        <v>WA</v>
      </c>
    </row>
    <row r="98" spans="1:17" ht="20.100000000000001" customHeight="1" x14ac:dyDescent="0.25">
      <c r="A98"/>
      <c r="D98" s="19" t="str" cm="1">
        <f t="array" ref="D98">Common_InputFunctions.Utility_DisplayArrayInTable(Scope3_SourceData.Scope3_Feed_Data(), Table_SourceData_Scope3_Feed[[#Headers],[Category]], -1, 2)</f>
        <v>Grain</v>
      </c>
      <c r="E98" s="19" t="str" cm="1">
        <f t="array" ref="E98">Common_InputFunctions.Utility_DisplayArrayInTable(Scope3_SourceData.Scope3_Feed_Data(), Table_SourceData_Scope3_Feed[[#Headers],[Category]], -1, 2)</f>
        <v>Maize grain</v>
      </c>
      <c r="F98" s="19" t="str" cm="1">
        <f t="array" ref="F98">Common_InputFunctions.Utility_DisplayArrayInTable(Scope3_SourceData.Scope3_Feed_Data(), Table_SourceData_Scope3_Feed[[#Headers],[Category]], -1, 2)</f>
        <v>Australia</v>
      </c>
      <c r="G98" s="19" t="str" cm="1">
        <f t="array" ref="G98">Common_InputFunctions.Utility_DisplayArrayInTable(Scope3_SourceData.Scope3_Feed_Data(), Table_SourceData_Scope3_Feed[[#Headers],[Category]], -1, 2)</f>
        <v>kg</v>
      </c>
      <c r="H98" s="19" cm="1">
        <f t="array" ref="H98">Common_InputFunctions.Utility_DisplayArrayInTable(Scope3_SourceData.Scope3_Feed_Data(), Table_SourceData_Scope3_Feed[[#Headers],[Category]], -1, 2)</f>
        <v>0.18099999999999999</v>
      </c>
      <c r="I98" s="19" t="str" cm="1">
        <f t="array" ref="I98">Common_InputFunctions.Utility_DisplayArrayInTable(Scope3_SourceData.Scope3_Feed_Data(), Table_SourceData_Scope3_Feed[[#Headers],[Category]], -1, 2)</f>
        <v>at market</v>
      </c>
      <c r="J98" s="19" t="s">
        <v>1446</v>
      </c>
      <c r="L98" s="19" t="str">
        <f>Table_SourceData_Scope3_Feed[[#This Row],[Product]]</f>
        <v>Maize grain</v>
      </c>
      <c r="M98" s="19" t="str">
        <f>Table_SourceData_Scope3_Feed[[#This Row],[Region of origin]]</f>
        <v>Australia</v>
      </c>
    </row>
    <row r="99" spans="1:17" ht="20.100000000000001" customHeight="1" x14ac:dyDescent="0.25">
      <c r="A99"/>
      <c r="D99" s="19" t="str" cm="1">
        <f t="array" ref="D99">Common_InputFunctions.Utility_DisplayArrayInTable(Scope3_SourceData.Scope3_Feed_Data(), Table_SourceData_Scope3_Feed[[#Headers],[Category]], -1, 2)</f>
        <v>Grain</v>
      </c>
      <c r="E99" s="19" t="str" cm="1">
        <f t="array" ref="E99">Common_InputFunctions.Utility_DisplayArrayInTable(Scope3_SourceData.Scope3_Feed_Data(), Table_SourceData_Scope3_Feed[[#Headers],[Category]], -1, 2)</f>
        <v>Maize grain</v>
      </c>
      <c r="F99" s="19" t="str" cm="1">
        <f t="array" ref="F99">Common_InputFunctions.Utility_DisplayArrayInTable(Scope3_SourceData.Scope3_Feed_Data(), Table_SourceData_Scope3_Feed[[#Headers],[Category]], -1, 2)</f>
        <v>NSW</v>
      </c>
      <c r="G99" s="19" t="str" cm="1">
        <f t="array" ref="G99">Common_InputFunctions.Utility_DisplayArrayInTable(Scope3_SourceData.Scope3_Feed_Data(), Table_SourceData_Scope3_Feed[[#Headers],[Category]], -1, 2)</f>
        <v>kg</v>
      </c>
      <c r="H99" s="19" cm="1">
        <f t="array" ref="H99">Common_InputFunctions.Utility_DisplayArrayInTable(Scope3_SourceData.Scope3_Feed_Data(), Table_SourceData_Scope3_Feed[[#Headers],[Category]], -1, 2)</f>
        <v>0.16900000000000001</v>
      </c>
      <c r="I99" s="19" t="str" cm="1">
        <f t="array" ref="I99">Common_InputFunctions.Utility_DisplayArrayInTable(Scope3_SourceData.Scope3_Feed_Data(), Table_SourceData_Scope3_Feed[[#Headers],[Category]], -1, 2)</f>
        <v>at market</v>
      </c>
      <c r="J99" s="19" t="s">
        <v>1446</v>
      </c>
      <c r="L99" s="19" t="str">
        <f>Table_SourceData_Scope3_Feed[[#This Row],[Product]]</f>
        <v>Maize grain</v>
      </c>
      <c r="M99" s="19" t="str">
        <f>Table_SourceData_Scope3_Feed[[#This Row],[Region of origin]]</f>
        <v>NSW</v>
      </c>
    </row>
    <row r="100" spans="1:17" ht="20.100000000000001" customHeight="1" x14ac:dyDescent="0.25">
      <c r="A100"/>
      <c r="D100" s="19" t="str" cm="1">
        <f t="array" ref="D100">Common_InputFunctions.Utility_DisplayArrayInTable(Scope3_SourceData.Scope3_Feed_Data(), Table_SourceData_Scope3_Feed[[#Headers],[Category]], -1, 2)</f>
        <v>Grain</v>
      </c>
      <c r="E100" s="19" t="str" cm="1">
        <f t="array" ref="E100">Common_InputFunctions.Utility_DisplayArrayInTable(Scope3_SourceData.Scope3_Feed_Data(), Table_SourceData_Scope3_Feed[[#Headers],[Category]], -1, 2)</f>
        <v>Maize grain</v>
      </c>
      <c r="F100" s="19" t="str" cm="1">
        <f t="array" ref="F100">Common_InputFunctions.Utility_DisplayArrayInTable(Scope3_SourceData.Scope3_Feed_Data(), Table_SourceData_Scope3_Feed[[#Headers],[Category]], -1, 2)</f>
        <v>NT</v>
      </c>
      <c r="G100" s="19" t="str" cm="1">
        <f t="array" ref="G100">Common_InputFunctions.Utility_DisplayArrayInTable(Scope3_SourceData.Scope3_Feed_Data(), Table_SourceData_Scope3_Feed[[#Headers],[Category]], -1, 2)</f>
        <v>kg</v>
      </c>
      <c r="H100" s="19" cm="1">
        <f t="array" ref="H100">Common_InputFunctions.Utility_DisplayArrayInTable(Scope3_SourceData.Scope3_Feed_Data(), Table_SourceData_Scope3_Feed[[#Headers],[Category]], -1, 2)</f>
        <v>0.25600000000000001</v>
      </c>
      <c r="I100" s="19" t="str" cm="1">
        <f t="array" ref="I100">Common_InputFunctions.Utility_DisplayArrayInTable(Scope3_SourceData.Scope3_Feed_Data(), Table_SourceData_Scope3_Feed[[#Headers],[Category]], -1, 2)</f>
        <v>at market</v>
      </c>
      <c r="J100" s="19" t="s">
        <v>1446</v>
      </c>
      <c r="L100" s="19" t="str">
        <f>Table_SourceData_Scope3_Feed[[#This Row],[Product]]</f>
        <v>Maize grain</v>
      </c>
      <c r="M100" s="19" t="str">
        <f>Table_SourceData_Scope3_Feed[[#This Row],[Region of origin]]</f>
        <v>NT</v>
      </c>
    </row>
    <row r="101" spans="1:17" ht="20.100000000000001" customHeight="1" x14ac:dyDescent="0.25">
      <c r="A101"/>
      <c r="D101" s="19" t="str" cm="1">
        <f t="array" ref="D101">Common_InputFunctions.Utility_DisplayArrayInTable(Scope3_SourceData.Scope3_Feed_Data(), Table_SourceData_Scope3_Feed[[#Headers],[Category]], -1, 2)</f>
        <v>Grain</v>
      </c>
      <c r="E101" s="19" t="str" cm="1">
        <f t="array" ref="E101">Common_InputFunctions.Utility_DisplayArrayInTable(Scope3_SourceData.Scope3_Feed_Data(), Table_SourceData_Scope3_Feed[[#Headers],[Category]], -1, 2)</f>
        <v>Maize grain</v>
      </c>
      <c r="F101" s="19" t="str" cm="1">
        <f t="array" ref="F101">Common_InputFunctions.Utility_DisplayArrayInTable(Scope3_SourceData.Scope3_Feed_Data(), Table_SourceData_Scope3_Feed[[#Headers],[Category]], -1, 2)</f>
        <v>QLD</v>
      </c>
      <c r="G101" s="19" t="str" cm="1">
        <f t="array" ref="G101">Common_InputFunctions.Utility_DisplayArrayInTable(Scope3_SourceData.Scope3_Feed_Data(), Table_SourceData_Scope3_Feed[[#Headers],[Category]], -1, 2)</f>
        <v>kg</v>
      </c>
      <c r="H101" s="19" cm="1">
        <f t="array" ref="H101">Common_InputFunctions.Utility_DisplayArrayInTable(Scope3_SourceData.Scope3_Feed_Data(), Table_SourceData_Scope3_Feed[[#Headers],[Category]], -1, 2)</f>
        <v>0.186</v>
      </c>
      <c r="I101" s="19" t="str" cm="1">
        <f t="array" ref="I101">Common_InputFunctions.Utility_DisplayArrayInTable(Scope3_SourceData.Scope3_Feed_Data(), Table_SourceData_Scope3_Feed[[#Headers],[Category]], -1, 2)</f>
        <v>at market</v>
      </c>
      <c r="J101" s="19" t="s">
        <v>1446</v>
      </c>
      <c r="L101" s="19" t="str">
        <f>Table_SourceData_Scope3_Feed[[#This Row],[Product]]</f>
        <v>Maize grain</v>
      </c>
      <c r="M101" s="19" t="str">
        <f>Table_SourceData_Scope3_Feed[[#This Row],[Region of origin]]</f>
        <v>QLD</v>
      </c>
    </row>
    <row r="102" spans="1:17" ht="20.100000000000001" customHeight="1" x14ac:dyDescent="0.25">
      <c r="A102"/>
      <c r="D102" s="19" t="str" cm="1">
        <f t="array" ref="D102">Common_InputFunctions.Utility_DisplayArrayInTable(Scope3_SourceData.Scope3_Feed_Data(), Table_SourceData_Scope3_Feed[[#Headers],[Category]], -1, 2)</f>
        <v>Grain</v>
      </c>
      <c r="E102" s="19" t="str" cm="1">
        <f t="array" ref="E102">Common_InputFunctions.Utility_DisplayArrayInTable(Scope3_SourceData.Scope3_Feed_Data(), Table_SourceData_Scope3_Feed[[#Headers],[Category]], -1, 2)</f>
        <v>Maize grain</v>
      </c>
      <c r="F102" s="19" t="str" cm="1">
        <f t="array" ref="F102">Common_InputFunctions.Utility_DisplayArrayInTable(Scope3_SourceData.Scope3_Feed_Data(), Table_SourceData_Scope3_Feed[[#Headers],[Category]], -1, 2)</f>
        <v>SA</v>
      </c>
      <c r="G102" s="19" t="str" cm="1">
        <f t="array" ref="G102">Common_InputFunctions.Utility_DisplayArrayInTable(Scope3_SourceData.Scope3_Feed_Data(), Table_SourceData_Scope3_Feed[[#Headers],[Category]], -1, 2)</f>
        <v>kg</v>
      </c>
      <c r="H102" s="19" cm="1">
        <f t="array" ref="H102">Common_InputFunctions.Utility_DisplayArrayInTable(Scope3_SourceData.Scope3_Feed_Data(), Table_SourceData_Scope3_Feed[[#Headers],[Category]], -1, 2)</f>
        <v>0.17599999999999999</v>
      </c>
      <c r="I102" s="19" t="str" cm="1">
        <f t="array" ref="I102">Common_InputFunctions.Utility_DisplayArrayInTable(Scope3_SourceData.Scope3_Feed_Data(), Table_SourceData_Scope3_Feed[[#Headers],[Category]], -1, 2)</f>
        <v>at market</v>
      </c>
      <c r="J102" s="19" t="s">
        <v>1446</v>
      </c>
      <c r="L102" s="19" t="str">
        <f>Table_SourceData_Scope3_Feed[[#This Row],[Product]]</f>
        <v>Maize grain</v>
      </c>
      <c r="M102" s="19" t="str">
        <f>Table_SourceData_Scope3_Feed[[#This Row],[Region of origin]]</f>
        <v>SA</v>
      </c>
    </row>
    <row r="103" spans="1:17" ht="20.100000000000001" customHeight="1" x14ac:dyDescent="0.25">
      <c r="A103"/>
      <c r="D103" s="19" t="str" cm="1">
        <f t="array" ref="D103">Common_InputFunctions.Utility_DisplayArrayInTable(Scope3_SourceData.Scope3_Feed_Data(), Table_SourceData_Scope3_Feed[[#Headers],[Category]], -1, 2)</f>
        <v>Grain</v>
      </c>
      <c r="E103" s="19" t="str" cm="1">
        <f t="array" ref="E103">Common_InputFunctions.Utility_DisplayArrayInTable(Scope3_SourceData.Scope3_Feed_Data(), Table_SourceData_Scope3_Feed[[#Headers],[Category]], -1, 2)</f>
        <v>Maize grain</v>
      </c>
      <c r="F103" s="19" t="str" cm="1">
        <f t="array" ref="F103">Common_InputFunctions.Utility_DisplayArrayInTable(Scope3_SourceData.Scope3_Feed_Data(), Table_SourceData_Scope3_Feed[[#Headers],[Category]], -1, 2)</f>
        <v>VIC</v>
      </c>
      <c r="G103" s="19" t="str" cm="1">
        <f t="array" ref="G103">Common_InputFunctions.Utility_DisplayArrayInTable(Scope3_SourceData.Scope3_Feed_Data(), Table_SourceData_Scope3_Feed[[#Headers],[Category]], -1, 2)</f>
        <v>kg</v>
      </c>
      <c r="H103" s="19" cm="1">
        <f t="array" ref="H103">Common_InputFunctions.Utility_DisplayArrayInTable(Scope3_SourceData.Scope3_Feed_Data(), Table_SourceData_Scope3_Feed[[#Headers],[Category]], -1, 2)</f>
        <v>0.159</v>
      </c>
      <c r="I103" s="19" t="str" cm="1">
        <f t="array" ref="I103">Common_InputFunctions.Utility_DisplayArrayInTable(Scope3_SourceData.Scope3_Feed_Data(), Table_SourceData_Scope3_Feed[[#Headers],[Category]], -1, 2)</f>
        <v>at market</v>
      </c>
      <c r="J103" s="19" t="s">
        <v>1446</v>
      </c>
      <c r="L103" s="19" t="str">
        <f>Table_SourceData_Scope3_Feed[[#This Row],[Product]]</f>
        <v>Maize grain</v>
      </c>
      <c r="M103" s="19" t="str">
        <f>Table_SourceData_Scope3_Feed[[#This Row],[Region of origin]]</f>
        <v>VIC</v>
      </c>
    </row>
    <row r="104" spans="1:17" ht="20.100000000000001" customHeight="1" x14ac:dyDescent="0.25">
      <c r="A104"/>
      <c r="D104" s="19" t="str" cm="1">
        <f t="array" ref="D104">Common_InputFunctions.Utility_DisplayArrayInTable(Scope3_SourceData.Scope3_Feed_Data(), Table_SourceData_Scope3_Feed[[#Headers],[Category]], -1, 2)</f>
        <v>Grain</v>
      </c>
      <c r="E104" s="19" t="str" cm="1">
        <f t="array" ref="E104">Common_InputFunctions.Utility_DisplayArrayInTable(Scope3_SourceData.Scope3_Feed_Data(), Table_SourceData_Scope3_Feed[[#Headers],[Category]], -1, 2)</f>
        <v>Maize grain</v>
      </c>
      <c r="F104" s="19" t="str" cm="1">
        <f t="array" ref="F104">Common_InputFunctions.Utility_DisplayArrayInTable(Scope3_SourceData.Scope3_Feed_Data(), Table_SourceData_Scope3_Feed[[#Headers],[Category]], -1, 2)</f>
        <v>WA</v>
      </c>
      <c r="G104" s="19" t="str" cm="1">
        <f t="array" ref="G104">Common_InputFunctions.Utility_DisplayArrayInTable(Scope3_SourceData.Scope3_Feed_Data(), Table_SourceData_Scope3_Feed[[#Headers],[Category]], -1, 2)</f>
        <v>kg</v>
      </c>
      <c r="H104" s="19" cm="1">
        <f t="array" ref="H104">Common_InputFunctions.Utility_DisplayArrayInTable(Scope3_SourceData.Scope3_Feed_Data(), Table_SourceData_Scope3_Feed[[#Headers],[Category]], -1, 2)</f>
        <v>0.28499999999999998</v>
      </c>
      <c r="I104" s="19" t="str" cm="1">
        <f t="array" ref="I104">Common_InputFunctions.Utility_DisplayArrayInTable(Scope3_SourceData.Scope3_Feed_Data(), Table_SourceData_Scope3_Feed[[#Headers],[Category]], -1, 2)</f>
        <v>at market</v>
      </c>
      <c r="J104" s="19" t="s">
        <v>1446</v>
      </c>
      <c r="L104" s="19" t="str">
        <f>Table_SourceData_Scope3_Feed[[#This Row],[Product]]</f>
        <v>Maize grain</v>
      </c>
      <c r="M104" s="19" t="str">
        <f>Table_SourceData_Scope3_Feed[[#This Row],[Region of origin]]</f>
        <v>WA</v>
      </c>
      <c r="O104" s="19" t="s">
        <v>131</v>
      </c>
      <c r="P104" s="19" t="s">
        <v>1444</v>
      </c>
      <c r="Q104" s="1" t="str">
        <f>"Table_ProductRegions_" &amp; SUBSTITUTE(SUBSTITUTE(SUBSTITUTE(SUBSTITUTE(O105, " ", ""), ",", ""), "(", ""), ")", "")</f>
        <v>Table_ProductRegions_Sorghumgrain</v>
      </c>
    </row>
    <row r="105" spans="1:17" ht="20.100000000000001" customHeight="1" x14ac:dyDescent="0.25">
      <c r="A105"/>
      <c r="D105" s="19" t="str" cm="1">
        <f t="array" ref="D105">Common_InputFunctions.Utility_DisplayArrayInTable(Scope3_SourceData.Scope3_Feed_Data(), Table_SourceData_Scope3_Feed[[#Headers],[Category]], -1, 2)</f>
        <v>Grain</v>
      </c>
      <c r="E105" s="19" t="str" cm="1">
        <f t="array" ref="E105">Common_InputFunctions.Utility_DisplayArrayInTable(Scope3_SourceData.Scope3_Feed_Data(), Table_SourceData_Scope3_Feed[[#Headers],[Category]], -1, 2)</f>
        <v>Sorghum grain</v>
      </c>
      <c r="F105" s="19" t="str" cm="1">
        <f t="array" ref="F105">Common_InputFunctions.Utility_DisplayArrayInTable(Scope3_SourceData.Scope3_Feed_Data(), Table_SourceData_Scope3_Feed[[#Headers],[Category]], -1, 2)</f>
        <v>Australia</v>
      </c>
      <c r="G105" s="19" t="str" cm="1">
        <f t="array" ref="G105">Common_InputFunctions.Utility_DisplayArrayInTable(Scope3_SourceData.Scope3_Feed_Data(), Table_SourceData_Scope3_Feed[[#Headers],[Category]], -1, 2)</f>
        <v>kg</v>
      </c>
      <c r="H105" s="19" cm="1">
        <f t="array" ref="H105">Common_InputFunctions.Utility_DisplayArrayInTable(Scope3_SourceData.Scope3_Feed_Data(), Table_SourceData_Scope3_Feed[[#Headers],[Category]], -1, 2)</f>
        <v>0.23200000000000001</v>
      </c>
      <c r="I105" s="19" t="str" cm="1">
        <f t="array" ref="I105">Common_InputFunctions.Utility_DisplayArrayInTable(Scope3_SourceData.Scope3_Feed_Data(), Table_SourceData_Scope3_Feed[[#Headers],[Category]], -1, 2)</f>
        <v>at market</v>
      </c>
      <c r="J105" s="19" t="s">
        <v>1446</v>
      </c>
      <c r="O105" s="19" t="str">
        <f>Table_SourceData_Scope3_Feed[[#This Row],[Product]]</f>
        <v>Sorghum grain</v>
      </c>
      <c r="P105" s="19" t="str">
        <f>Table_SourceData_Scope3_Feed[[#This Row],[Region of origin]]</f>
        <v>Australia</v>
      </c>
    </row>
    <row r="106" spans="1:17" ht="20.100000000000001" customHeight="1" x14ac:dyDescent="0.25">
      <c r="A106"/>
      <c r="D106" s="19" t="str" cm="1">
        <f t="array" ref="D106">Common_InputFunctions.Utility_DisplayArrayInTable(Scope3_SourceData.Scope3_Feed_Data(), Table_SourceData_Scope3_Feed[[#Headers],[Category]], -1, 2)</f>
        <v>Grain</v>
      </c>
      <c r="E106" s="19" t="str" cm="1">
        <f t="array" ref="E106">Common_InputFunctions.Utility_DisplayArrayInTable(Scope3_SourceData.Scope3_Feed_Data(), Table_SourceData_Scope3_Feed[[#Headers],[Category]], -1, 2)</f>
        <v>Sorghum grain</v>
      </c>
      <c r="F106" s="19" t="str" cm="1">
        <f t="array" ref="F106">Common_InputFunctions.Utility_DisplayArrayInTable(Scope3_SourceData.Scope3_Feed_Data(), Table_SourceData_Scope3_Feed[[#Headers],[Category]], -1, 2)</f>
        <v>NSW</v>
      </c>
      <c r="G106" s="19" t="str" cm="1">
        <f t="array" ref="G106">Common_InputFunctions.Utility_DisplayArrayInTable(Scope3_SourceData.Scope3_Feed_Data(), Table_SourceData_Scope3_Feed[[#Headers],[Category]], -1, 2)</f>
        <v>kg</v>
      </c>
      <c r="H106" s="19" cm="1">
        <f t="array" ref="H106">Common_InputFunctions.Utility_DisplayArrayInTable(Scope3_SourceData.Scope3_Feed_Data(), Table_SourceData_Scope3_Feed[[#Headers],[Category]], -1, 2)</f>
        <v>0.23200000000000001</v>
      </c>
      <c r="I106" s="19" t="str" cm="1">
        <f t="array" ref="I106">Common_InputFunctions.Utility_DisplayArrayInTable(Scope3_SourceData.Scope3_Feed_Data(), Table_SourceData_Scope3_Feed[[#Headers],[Category]], -1, 2)</f>
        <v>at market</v>
      </c>
      <c r="J106" s="19" t="s">
        <v>1446</v>
      </c>
      <c r="O106" s="19" t="str">
        <f>Table_SourceData_Scope3_Feed[[#This Row],[Product]]</f>
        <v>Sorghum grain</v>
      </c>
      <c r="P106" s="19" t="str">
        <f>Table_SourceData_Scope3_Feed[[#This Row],[Region of origin]]</f>
        <v>NSW</v>
      </c>
    </row>
    <row r="107" spans="1:17" ht="20.100000000000001" customHeight="1" x14ac:dyDescent="0.25">
      <c r="A107"/>
      <c r="D107" s="19" t="str" cm="1">
        <f t="array" ref="D107">Common_InputFunctions.Utility_DisplayArrayInTable(Scope3_SourceData.Scope3_Feed_Data(), Table_SourceData_Scope3_Feed[[#Headers],[Category]], -1, 2)</f>
        <v>Grain</v>
      </c>
      <c r="E107" s="19" t="str" cm="1">
        <f t="array" ref="E107">Common_InputFunctions.Utility_DisplayArrayInTable(Scope3_SourceData.Scope3_Feed_Data(), Table_SourceData_Scope3_Feed[[#Headers],[Category]], -1, 2)</f>
        <v>Sorghum grain</v>
      </c>
      <c r="F107" s="19" t="str" cm="1">
        <f t="array" ref="F107">Common_InputFunctions.Utility_DisplayArrayInTable(Scope3_SourceData.Scope3_Feed_Data(), Table_SourceData_Scope3_Feed[[#Headers],[Category]], -1, 2)</f>
        <v>QLD</v>
      </c>
      <c r="G107" s="19" t="str" cm="1">
        <f t="array" ref="G107">Common_InputFunctions.Utility_DisplayArrayInTable(Scope3_SourceData.Scope3_Feed_Data(), Table_SourceData_Scope3_Feed[[#Headers],[Category]], -1, 2)</f>
        <v>kg</v>
      </c>
      <c r="H107" s="19" cm="1">
        <f t="array" ref="H107">Common_InputFunctions.Utility_DisplayArrayInTable(Scope3_SourceData.Scope3_Feed_Data(), Table_SourceData_Scope3_Feed[[#Headers],[Category]], -1, 2)</f>
        <v>0.23100000000000001</v>
      </c>
      <c r="I107" s="19" t="str" cm="1">
        <f t="array" ref="I107">Common_InputFunctions.Utility_DisplayArrayInTable(Scope3_SourceData.Scope3_Feed_Data(), Table_SourceData_Scope3_Feed[[#Headers],[Category]], -1, 2)</f>
        <v>at market</v>
      </c>
      <c r="J107" s="19" t="s">
        <v>1446</v>
      </c>
      <c r="O107" s="19" t="str">
        <f>Table_SourceData_Scope3_Feed[[#This Row],[Product]]</f>
        <v>Sorghum grain</v>
      </c>
      <c r="P107" s="19" t="str">
        <f>Table_SourceData_Scope3_Feed[[#This Row],[Region of origin]]</f>
        <v>QLD</v>
      </c>
    </row>
    <row r="108" spans="1:17" ht="20.100000000000001" customHeight="1" x14ac:dyDescent="0.25">
      <c r="A108"/>
      <c r="D108" s="19" t="str" cm="1">
        <f t="array" ref="D108">Common_InputFunctions.Utility_DisplayArrayInTable(Scope3_SourceData.Scope3_Feed_Data(), Table_SourceData_Scope3_Feed[[#Headers],[Category]], -1, 2)</f>
        <v>Grain</v>
      </c>
      <c r="E108" s="19" t="str" cm="1">
        <f t="array" ref="E108">Common_InputFunctions.Utility_DisplayArrayInTable(Scope3_SourceData.Scope3_Feed_Data(), Table_SourceData_Scope3_Feed[[#Headers],[Category]], -1, 2)</f>
        <v>Sorghum grain</v>
      </c>
      <c r="F108" s="19" t="str" cm="1">
        <f t="array" ref="F108">Common_InputFunctions.Utility_DisplayArrayInTable(Scope3_SourceData.Scope3_Feed_Data(), Table_SourceData_Scope3_Feed[[#Headers],[Category]], -1, 2)</f>
        <v>SA</v>
      </c>
      <c r="G108" s="19" t="str" cm="1">
        <f t="array" ref="G108">Common_InputFunctions.Utility_DisplayArrayInTable(Scope3_SourceData.Scope3_Feed_Data(), Table_SourceData_Scope3_Feed[[#Headers],[Category]], -1, 2)</f>
        <v>kg</v>
      </c>
      <c r="H108" s="19" cm="1">
        <f t="array" ref="H108">Common_InputFunctions.Utility_DisplayArrayInTable(Scope3_SourceData.Scope3_Feed_Data(), Table_SourceData_Scope3_Feed[[#Headers],[Category]], -1, 2)</f>
        <v>0.218</v>
      </c>
      <c r="I108" s="19" t="str" cm="1">
        <f t="array" ref="I108">Common_InputFunctions.Utility_DisplayArrayInTable(Scope3_SourceData.Scope3_Feed_Data(), Table_SourceData_Scope3_Feed[[#Headers],[Category]], -1, 2)</f>
        <v>at market</v>
      </c>
      <c r="J108" s="19" t="s">
        <v>1446</v>
      </c>
      <c r="O108" s="19" t="str">
        <f>Table_SourceData_Scope3_Feed[[#This Row],[Product]]</f>
        <v>Sorghum grain</v>
      </c>
      <c r="P108" s="19" t="str">
        <f>Table_SourceData_Scope3_Feed[[#This Row],[Region of origin]]</f>
        <v>SA</v>
      </c>
    </row>
    <row r="109" spans="1:17" ht="20.100000000000001" customHeight="1" x14ac:dyDescent="0.25">
      <c r="A109"/>
      <c r="D109" s="19" t="str" cm="1">
        <f t="array" ref="D109">Common_InputFunctions.Utility_DisplayArrayInTable(Scope3_SourceData.Scope3_Feed_Data(), Table_SourceData_Scope3_Feed[[#Headers],[Category]], -1, 2)</f>
        <v>Grain</v>
      </c>
      <c r="E109" s="19" t="str" cm="1">
        <f t="array" ref="E109">Common_InputFunctions.Utility_DisplayArrayInTable(Scope3_SourceData.Scope3_Feed_Data(), Table_SourceData_Scope3_Feed[[#Headers],[Category]], -1, 2)</f>
        <v>Sorghum grain</v>
      </c>
      <c r="F109" s="19" t="str" cm="1">
        <f t="array" ref="F109">Common_InputFunctions.Utility_DisplayArrayInTable(Scope3_SourceData.Scope3_Feed_Data(), Table_SourceData_Scope3_Feed[[#Headers],[Category]], -1, 2)</f>
        <v>VIC</v>
      </c>
      <c r="G109" s="19" t="str" cm="1">
        <f t="array" ref="G109">Common_InputFunctions.Utility_DisplayArrayInTable(Scope3_SourceData.Scope3_Feed_Data(), Table_SourceData_Scope3_Feed[[#Headers],[Category]], -1, 2)</f>
        <v>kg</v>
      </c>
      <c r="H109" s="19" cm="1">
        <f t="array" ref="H109">Common_InputFunctions.Utility_DisplayArrayInTable(Scope3_SourceData.Scope3_Feed_Data(), Table_SourceData_Scope3_Feed[[#Headers],[Category]], -1, 2)</f>
        <v>0.246</v>
      </c>
      <c r="I109" s="19" t="str" cm="1">
        <f t="array" ref="I109">Common_InputFunctions.Utility_DisplayArrayInTable(Scope3_SourceData.Scope3_Feed_Data(), Table_SourceData_Scope3_Feed[[#Headers],[Category]], -1, 2)</f>
        <v>at market</v>
      </c>
      <c r="J109" s="19" t="s">
        <v>1446</v>
      </c>
      <c r="L109" s="19" t="s">
        <v>131</v>
      </c>
      <c r="M109" s="19" t="s">
        <v>1444</v>
      </c>
      <c r="N109" s="1" t="str">
        <f>"Table_ProductRegions_" &amp; SUBSTITUTE(SUBSTITUTE(SUBSTITUTE(SUBSTITUTE(L110, " ", ""), ",", ""), "(", ""), ")", "")</f>
        <v>Table_ProductRegions_Wheatgrain</v>
      </c>
      <c r="O109" s="19" t="str">
        <f>Table_SourceData_Scope3_Feed[[#This Row],[Product]]</f>
        <v>Sorghum grain</v>
      </c>
      <c r="P109" s="19" t="str">
        <f>Table_SourceData_Scope3_Feed[[#This Row],[Region of origin]]</f>
        <v>VIC</v>
      </c>
    </row>
    <row r="110" spans="1:17" ht="20.100000000000001" customHeight="1" x14ac:dyDescent="0.25">
      <c r="A110"/>
      <c r="D110" s="19" t="str" cm="1">
        <f t="array" ref="D110">Common_InputFunctions.Utility_DisplayArrayInTable(Scope3_SourceData.Scope3_Feed_Data(), Table_SourceData_Scope3_Feed[[#Headers],[Category]], -1, 2)</f>
        <v>Grain</v>
      </c>
      <c r="E110" s="19" t="str" cm="1">
        <f t="array" ref="E110">Common_InputFunctions.Utility_DisplayArrayInTable(Scope3_SourceData.Scope3_Feed_Data(), Table_SourceData_Scope3_Feed[[#Headers],[Category]], -1, 2)</f>
        <v>Wheat grain</v>
      </c>
      <c r="F110" s="19" t="str" cm="1">
        <f t="array" ref="F110">Common_InputFunctions.Utility_DisplayArrayInTable(Scope3_SourceData.Scope3_Feed_Data(), Table_SourceData_Scope3_Feed[[#Headers],[Category]], -1, 2)</f>
        <v>Australia</v>
      </c>
      <c r="G110" s="19" t="str" cm="1">
        <f t="array" ref="G110">Common_InputFunctions.Utility_DisplayArrayInTable(Scope3_SourceData.Scope3_Feed_Data(), Table_SourceData_Scope3_Feed[[#Headers],[Category]], -1, 2)</f>
        <v>kg</v>
      </c>
      <c r="H110" s="19" cm="1">
        <f t="array" ref="H110">Common_InputFunctions.Utility_DisplayArrayInTable(Scope3_SourceData.Scope3_Feed_Data(), Table_SourceData_Scope3_Feed[[#Headers],[Category]], -1, 2)</f>
        <v>0.26800000000000002</v>
      </c>
      <c r="I110" s="19" t="str" cm="1">
        <f t="array" ref="I110">Common_InputFunctions.Utility_DisplayArrayInTable(Scope3_SourceData.Scope3_Feed_Data(), Table_SourceData_Scope3_Feed[[#Headers],[Category]], -1, 2)</f>
        <v>at market</v>
      </c>
      <c r="J110" s="19" t="s">
        <v>1446</v>
      </c>
      <c r="L110" s="19" t="str">
        <f>Table_SourceData_Scope3_Feed[[#This Row],[Product]]</f>
        <v>Wheat grain</v>
      </c>
      <c r="M110" s="19" t="str">
        <f>Table_SourceData_Scope3_Feed[[#This Row],[Region of origin]]</f>
        <v>Australia</v>
      </c>
    </row>
    <row r="111" spans="1:17" ht="20.100000000000001" customHeight="1" x14ac:dyDescent="0.25">
      <c r="A111"/>
      <c r="D111" s="19" t="str" cm="1">
        <f t="array" ref="D111">Common_InputFunctions.Utility_DisplayArrayInTable(Scope3_SourceData.Scope3_Feed_Data(), Table_SourceData_Scope3_Feed[[#Headers],[Category]], -1, 2)</f>
        <v>Grain</v>
      </c>
      <c r="E111" s="19" t="str" cm="1">
        <f t="array" ref="E111">Common_InputFunctions.Utility_DisplayArrayInTable(Scope3_SourceData.Scope3_Feed_Data(), Table_SourceData_Scope3_Feed[[#Headers],[Category]], -1, 2)</f>
        <v>Wheat grain</v>
      </c>
      <c r="F111" s="19" t="str" cm="1">
        <f t="array" ref="F111">Common_InputFunctions.Utility_DisplayArrayInTable(Scope3_SourceData.Scope3_Feed_Data(), Table_SourceData_Scope3_Feed[[#Headers],[Category]], -1, 2)</f>
        <v>NSW</v>
      </c>
      <c r="G111" s="19" t="str" cm="1">
        <f t="array" ref="G111">Common_InputFunctions.Utility_DisplayArrayInTable(Scope3_SourceData.Scope3_Feed_Data(), Table_SourceData_Scope3_Feed[[#Headers],[Category]], -1, 2)</f>
        <v>kg</v>
      </c>
      <c r="H111" s="19" cm="1">
        <f t="array" ref="H111">Common_InputFunctions.Utility_DisplayArrayInTable(Scope3_SourceData.Scope3_Feed_Data(), Table_SourceData_Scope3_Feed[[#Headers],[Category]], -1, 2)</f>
        <v>0.28199999999999997</v>
      </c>
      <c r="I111" s="19" t="str" cm="1">
        <f t="array" ref="I111">Common_InputFunctions.Utility_DisplayArrayInTable(Scope3_SourceData.Scope3_Feed_Data(), Table_SourceData_Scope3_Feed[[#Headers],[Category]], -1, 2)</f>
        <v>at market</v>
      </c>
      <c r="J111" s="19" t="s">
        <v>1446</v>
      </c>
      <c r="L111" s="19" t="str">
        <f>Table_SourceData_Scope3_Feed[[#This Row],[Product]]</f>
        <v>Wheat grain</v>
      </c>
      <c r="M111" s="19" t="str">
        <f>Table_SourceData_Scope3_Feed[[#This Row],[Region of origin]]</f>
        <v>NSW</v>
      </c>
    </row>
    <row r="112" spans="1:17" ht="20.100000000000001" customHeight="1" x14ac:dyDescent="0.25">
      <c r="A112"/>
      <c r="D112" s="19" t="str" cm="1">
        <f t="array" ref="D112">Common_InputFunctions.Utility_DisplayArrayInTable(Scope3_SourceData.Scope3_Feed_Data(), Table_SourceData_Scope3_Feed[[#Headers],[Category]], -1, 2)</f>
        <v>Grain</v>
      </c>
      <c r="E112" s="19" t="str" cm="1">
        <f t="array" ref="E112">Common_InputFunctions.Utility_DisplayArrayInTable(Scope3_SourceData.Scope3_Feed_Data(), Table_SourceData_Scope3_Feed[[#Headers],[Category]], -1, 2)</f>
        <v>Wheat grain</v>
      </c>
      <c r="F112" s="19" t="str" cm="1">
        <f t="array" ref="F112">Common_InputFunctions.Utility_DisplayArrayInTable(Scope3_SourceData.Scope3_Feed_Data(), Table_SourceData_Scope3_Feed[[#Headers],[Category]], -1, 2)</f>
        <v>NT</v>
      </c>
      <c r="G112" s="19" t="str" cm="1">
        <f t="array" ref="G112">Common_InputFunctions.Utility_DisplayArrayInTable(Scope3_SourceData.Scope3_Feed_Data(), Table_SourceData_Scope3_Feed[[#Headers],[Category]], -1, 2)</f>
        <v>kg</v>
      </c>
      <c r="H112" s="19" cm="1">
        <f t="array" ref="H112">Common_InputFunctions.Utility_DisplayArrayInTable(Scope3_SourceData.Scope3_Feed_Data(), Table_SourceData_Scope3_Feed[[#Headers],[Category]], -1, 2)</f>
        <v>0.38500000000000001</v>
      </c>
      <c r="I112" s="19" t="str" cm="1">
        <f t="array" ref="I112">Common_InputFunctions.Utility_DisplayArrayInTable(Scope3_SourceData.Scope3_Feed_Data(), Table_SourceData_Scope3_Feed[[#Headers],[Category]], -1, 2)</f>
        <v>at market</v>
      </c>
      <c r="J112" s="19" t="s">
        <v>1446</v>
      </c>
      <c r="L112" s="19" t="str">
        <f>Table_SourceData_Scope3_Feed[[#This Row],[Product]]</f>
        <v>Wheat grain</v>
      </c>
      <c r="M112" s="19" t="str">
        <f>Table_SourceData_Scope3_Feed[[#This Row],[Region of origin]]</f>
        <v>NT</v>
      </c>
    </row>
    <row r="113" spans="1:17" ht="20.100000000000001" customHeight="1" x14ac:dyDescent="0.25">
      <c r="A113"/>
      <c r="D113" s="19" t="str" cm="1">
        <f t="array" ref="D113">Common_InputFunctions.Utility_DisplayArrayInTable(Scope3_SourceData.Scope3_Feed_Data(), Table_SourceData_Scope3_Feed[[#Headers],[Category]], -1, 2)</f>
        <v>Grain</v>
      </c>
      <c r="E113" s="19" t="str" cm="1">
        <f t="array" ref="E113">Common_InputFunctions.Utility_DisplayArrayInTable(Scope3_SourceData.Scope3_Feed_Data(), Table_SourceData_Scope3_Feed[[#Headers],[Category]], -1, 2)</f>
        <v>Wheat grain</v>
      </c>
      <c r="F113" s="19" t="str" cm="1">
        <f t="array" ref="F113">Common_InputFunctions.Utility_DisplayArrayInTable(Scope3_SourceData.Scope3_Feed_Data(), Table_SourceData_Scope3_Feed[[#Headers],[Category]], -1, 2)</f>
        <v>QLD</v>
      </c>
      <c r="G113" s="19" t="str" cm="1">
        <f t="array" ref="G113">Common_InputFunctions.Utility_DisplayArrayInTable(Scope3_SourceData.Scope3_Feed_Data(), Table_SourceData_Scope3_Feed[[#Headers],[Category]], -1, 2)</f>
        <v>kg</v>
      </c>
      <c r="H113" s="19" cm="1">
        <f t="array" ref="H113">Common_InputFunctions.Utility_DisplayArrayInTable(Scope3_SourceData.Scope3_Feed_Data(), Table_SourceData_Scope3_Feed[[#Headers],[Category]], -1, 2)</f>
        <v>0.29599999999999999</v>
      </c>
      <c r="I113" s="19" t="str" cm="1">
        <f t="array" ref="I113">Common_InputFunctions.Utility_DisplayArrayInTable(Scope3_SourceData.Scope3_Feed_Data(), Table_SourceData_Scope3_Feed[[#Headers],[Category]], -1, 2)</f>
        <v>at market</v>
      </c>
      <c r="J113" s="19" t="s">
        <v>1446</v>
      </c>
      <c r="L113" s="19" t="str">
        <f>Table_SourceData_Scope3_Feed[[#This Row],[Product]]</f>
        <v>Wheat grain</v>
      </c>
      <c r="M113" s="19" t="str">
        <f>Table_SourceData_Scope3_Feed[[#This Row],[Region of origin]]</f>
        <v>QLD</v>
      </c>
    </row>
    <row r="114" spans="1:17" ht="20.100000000000001" customHeight="1" x14ac:dyDescent="0.25">
      <c r="A114"/>
      <c r="D114" s="19" t="str" cm="1">
        <f t="array" ref="D114">Common_InputFunctions.Utility_DisplayArrayInTable(Scope3_SourceData.Scope3_Feed_Data(), Table_SourceData_Scope3_Feed[[#Headers],[Category]], -1, 2)</f>
        <v>Grain</v>
      </c>
      <c r="E114" s="19" t="str" cm="1">
        <f t="array" ref="E114">Common_InputFunctions.Utility_DisplayArrayInTable(Scope3_SourceData.Scope3_Feed_Data(), Table_SourceData_Scope3_Feed[[#Headers],[Category]], -1, 2)</f>
        <v>Wheat grain</v>
      </c>
      <c r="F114" s="19" t="str" cm="1">
        <f t="array" ref="F114">Common_InputFunctions.Utility_DisplayArrayInTable(Scope3_SourceData.Scope3_Feed_Data(), Table_SourceData_Scope3_Feed[[#Headers],[Category]], -1, 2)</f>
        <v>SA</v>
      </c>
      <c r="G114" s="19" t="str" cm="1">
        <f t="array" ref="G114">Common_InputFunctions.Utility_DisplayArrayInTable(Scope3_SourceData.Scope3_Feed_Data(), Table_SourceData_Scope3_Feed[[#Headers],[Category]], -1, 2)</f>
        <v>kg</v>
      </c>
      <c r="H114" s="19" cm="1">
        <f t="array" ref="H114">Common_InputFunctions.Utility_DisplayArrayInTable(Scope3_SourceData.Scope3_Feed_Data(), Table_SourceData_Scope3_Feed[[#Headers],[Category]], -1, 2)</f>
        <v>0.24099999999999999</v>
      </c>
      <c r="I114" s="19" t="str" cm="1">
        <f t="array" ref="I114">Common_InputFunctions.Utility_DisplayArrayInTable(Scope3_SourceData.Scope3_Feed_Data(), Table_SourceData_Scope3_Feed[[#Headers],[Category]], -1, 2)</f>
        <v>at market</v>
      </c>
      <c r="J114" s="19" t="s">
        <v>1446</v>
      </c>
      <c r="L114" s="19" t="str">
        <f>Table_SourceData_Scope3_Feed[[#This Row],[Product]]</f>
        <v>Wheat grain</v>
      </c>
      <c r="M114" s="19" t="str">
        <f>Table_SourceData_Scope3_Feed[[#This Row],[Region of origin]]</f>
        <v>SA</v>
      </c>
    </row>
    <row r="115" spans="1:17" ht="20.100000000000001" customHeight="1" x14ac:dyDescent="0.25">
      <c r="A115"/>
      <c r="D115" s="19" t="str" cm="1">
        <f t="array" ref="D115">Common_InputFunctions.Utility_DisplayArrayInTable(Scope3_SourceData.Scope3_Feed_Data(), Table_SourceData_Scope3_Feed[[#Headers],[Category]], -1, 2)</f>
        <v>Grain</v>
      </c>
      <c r="E115" s="19" t="str" cm="1">
        <f t="array" ref="E115">Common_InputFunctions.Utility_DisplayArrayInTable(Scope3_SourceData.Scope3_Feed_Data(), Table_SourceData_Scope3_Feed[[#Headers],[Category]], -1, 2)</f>
        <v>Wheat grain</v>
      </c>
      <c r="F115" s="19" t="str" cm="1">
        <f t="array" ref="F115">Common_InputFunctions.Utility_DisplayArrayInTable(Scope3_SourceData.Scope3_Feed_Data(), Table_SourceData_Scope3_Feed[[#Headers],[Category]], -1, 2)</f>
        <v>TAS</v>
      </c>
      <c r="G115" s="19" t="str" cm="1">
        <f t="array" ref="G115">Common_InputFunctions.Utility_DisplayArrayInTable(Scope3_SourceData.Scope3_Feed_Data(), Table_SourceData_Scope3_Feed[[#Headers],[Category]], -1, 2)</f>
        <v>kg</v>
      </c>
      <c r="H115" s="19" cm="1">
        <f t="array" ref="H115">Common_InputFunctions.Utility_DisplayArrayInTable(Scope3_SourceData.Scope3_Feed_Data(), Table_SourceData_Scope3_Feed[[#Headers],[Category]], -1, 2)</f>
        <v>0.33800000000000002</v>
      </c>
      <c r="I115" s="19" t="str" cm="1">
        <f t="array" ref="I115">Common_InputFunctions.Utility_DisplayArrayInTable(Scope3_SourceData.Scope3_Feed_Data(), Table_SourceData_Scope3_Feed[[#Headers],[Category]], -1, 2)</f>
        <v>at market</v>
      </c>
      <c r="J115" s="19" t="s">
        <v>1446</v>
      </c>
      <c r="L115" s="19" t="str">
        <f>Table_SourceData_Scope3_Feed[[#This Row],[Product]]</f>
        <v>Wheat grain</v>
      </c>
      <c r="M115" s="19" t="str">
        <f>Table_SourceData_Scope3_Feed[[#This Row],[Region of origin]]</f>
        <v>TAS</v>
      </c>
    </row>
    <row r="116" spans="1:17" ht="20.100000000000001" customHeight="1" x14ac:dyDescent="0.25">
      <c r="A116"/>
      <c r="D116" s="19" t="str" cm="1">
        <f t="array" ref="D116">Common_InputFunctions.Utility_DisplayArrayInTable(Scope3_SourceData.Scope3_Feed_Data(), Table_SourceData_Scope3_Feed[[#Headers],[Category]], -1, 2)</f>
        <v>Grain</v>
      </c>
      <c r="E116" s="19" t="str" cm="1">
        <f t="array" ref="E116">Common_InputFunctions.Utility_DisplayArrayInTable(Scope3_SourceData.Scope3_Feed_Data(), Table_SourceData_Scope3_Feed[[#Headers],[Category]], -1, 2)</f>
        <v>Wheat grain</v>
      </c>
      <c r="F116" s="19" t="str" cm="1">
        <f t="array" ref="F116">Common_InputFunctions.Utility_DisplayArrayInTable(Scope3_SourceData.Scope3_Feed_Data(), Table_SourceData_Scope3_Feed[[#Headers],[Category]], -1, 2)</f>
        <v>VIC</v>
      </c>
      <c r="G116" s="19" t="str" cm="1">
        <f t="array" ref="G116">Common_InputFunctions.Utility_DisplayArrayInTable(Scope3_SourceData.Scope3_Feed_Data(), Table_SourceData_Scope3_Feed[[#Headers],[Category]], -1, 2)</f>
        <v>kg</v>
      </c>
      <c r="H116" s="19" cm="1">
        <f t="array" ref="H116">Common_InputFunctions.Utility_DisplayArrayInTable(Scope3_SourceData.Scope3_Feed_Data(), Table_SourceData_Scope3_Feed[[#Headers],[Category]], -1, 2)</f>
        <v>0.26600000000000001</v>
      </c>
      <c r="I116" s="19" t="str" cm="1">
        <f t="array" ref="I116">Common_InputFunctions.Utility_DisplayArrayInTable(Scope3_SourceData.Scope3_Feed_Data(), Table_SourceData_Scope3_Feed[[#Headers],[Category]], -1, 2)</f>
        <v>at market</v>
      </c>
      <c r="J116" s="19" t="s">
        <v>1446</v>
      </c>
      <c r="L116" s="19" t="str">
        <f>Table_SourceData_Scope3_Feed[[#This Row],[Product]]</f>
        <v>Wheat grain</v>
      </c>
      <c r="M116" s="19" t="str">
        <f>Table_SourceData_Scope3_Feed[[#This Row],[Region of origin]]</f>
        <v>VIC</v>
      </c>
    </row>
    <row r="117" spans="1:17" ht="20.100000000000001" customHeight="1" x14ac:dyDescent="0.25">
      <c r="A117"/>
      <c r="D117" s="19" t="str" cm="1">
        <f t="array" ref="D117">Common_InputFunctions.Utility_DisplayArrayInTable(Scope3_SourceData.Scope3_Feed_Data(), Table_SourceData_Scope3_Feed[[#Headers],[Category]], -1, 2)</f>
        <v>Grain</v>
      </c>
      <c r="E117" s="19" t="str" cm="1">
        <f t="array" ref="E117">Common_InputFunctions.Utility_DisplayArrayInTable(Scope3_SourceData.Scope3_Feed_Data(), Table_SourceData_Scope3_Feed[[#Headers],[Category]], -1, 2)</f>
        <v>Wheat grain</v>
      </c>
      <c r="F117" s="19" t="str" cm="1">
        <f t="array" ref="F117">Common_InputFunctions.Utility_DisplayArrayInTable(Scope3_SourceData.Scope3_Feed_Data(), Table_SourceData_Scope3_Feed[[#Headers],[Category]], -1, 2)</f>
        <v>WA</v>
      </c>
      <c r="G117" s="19" t="str" cm="1">
        <f t="array" ref="G117">Common_InputFunctions.Utility_DisplayArrayInTable(Scope3_SourceData.Scope3_Feed_Data(), Table_SourceData_Scope3_Feed[[#Headers],[Category]], -1, 2)</f>
        <v>kg</v>
      </c>
      <c r="H117" s="19" cm="1">
        <f t="array" ref="H117">Common_InputFunctions.Utility_DisplayArrayInTable(Scope3_SourceData.Scope3_Feed_Data(), Table_SourceData_Scope3_Feed[[#Headers],[Category]], -1, 2)</f>
        <v>0.26100000000000001</v>
      </c>
      <c r="I117" s="19" t="str" cm="1">
        <f t="array" ref="I117">Common_InputFunctions.Utility_DisplayArrayInTable(Scope3_SourceData.Scope3_Feed_Data(), Table_SourceData_Scope3_Feed[[#Headers],[Category]], -1, 2)</f>
        <v>at market</v>
      </c>
      <c r="J117" s="19" t="s">
        <v>1446</v>
      </c>
      <c r="L117" s="19" t="str">
        <f>Table_SourceData_Scope3_Feed[[#This Row],[Product]]</f>
        <v>Wheat grain</v>
      </c>
      <c r="M117" s="19" t="str">
        <f>Table_SourceData_Scope3_Feed[[#This Row],[Region of origin]]</f>
        <v>WA</v>
      </c>
      <c r="O117" s="19" t="s">
        <v>131</v>
      </c>
      <c r="P117" s="19" t="s">
        <v>1444</v>
      </c>
      <c r="Q117" s="1" t="str">
        <f>"Table_ProductRegions_" &amp; SUBSTITUTE(SUBSTITUTE(SUBSTITUTE(SUBSTITUTE(O118, " ", ""), ",", ""), "(", ""), ")", "")</f>
        <v>Table_ProductRegions_Cerealhay</v>
      </c>
    </row>
    <row r="118" spans="1:17" ht="20.100000000000001" customHeight="1" x14ac:dyDescent="0.25">
      <c r="A118"/>
      <c r="D118" s="19" t="str" cm="1">
        <f t="array" ref="D118">Common_InputFunctions.Utility_DisplayArrayInTable(Scope3_SourceData.Scope3_Feed_Data(), Table_SourceData_Scope3_Feed[[#Headers],[Category]], -1, 2)</f>
        <v>Hay</v>
      </c>
      <c r="E118" s="19" t="str" cm="1">
        <f t="array" ref="E118">Common_InputFunctions.Utility_DisplayArrayInTable(Scope3_SourceData.Scope3_Feed_Data(), Table_SourceData_Scope3_Feed[[#Headers],[Category]], -1, 2)</f>
        <v>Cereal hay</v>
      </c>
      <c r="F118" s="19" t="str" cm="1">
        <f t="array" ref="F118">Common_InputFunctions.Utility_DisplayArrayInTable(Scope3_SourceData.Scope3_Feed_Data(), Table_SourceData_Scope3_Feed[[#Headers],[Category]], -1, 2)</f>
        <v>Australia</v>
      </c>
      <c r="G118" s="19" t="str" cm="1">
        <f t="array" ref="G118">Common_InputFunctions.Utility_DisplayArrayInTable(Scope3_SourceData.Scope3_Feed_Data(), Table_SourceData_Scope3_Feed[[#Headers],[Category]], -1, 2)</f>
        <v>kg</v>
      </c>
      <c r="H118" s="19" cm="1">
        <f t="array" ref="H118">Common_InputFunctions.Utility_DisplayArrayInTable(Scope3_SourceData.Scope3_Feed_Data(), Table_SourceData_Scope3_Feed[[#Headers],[Category]], -1, 2)</f>
        <v>0.11700000000000001</v>
      </c>
      <c r="I118" s="19" t="str" cm="1">
        <f t="array" ref="I118">Common_InputFunctions.Utility_DisplayArrayInTable(Scope3_SourceData.Scope3_Feed_Data(), Table_SourceData_Scope3_Feed[[#Headers],[Category]], -1, 2)</f>
        <v>at market</v>
      </c>
      <c r="J118" s="19" t="s">
        <v>1446</v>
      </c>
      <c r="O118" s="19" t="str">
        <f>Table_SourceData_Scope3_Feed[[#This Row],[Product]]</f>
        <v>Cereal hay</v>
      </c>
      <c r="P118" s="19" t="str">
        <f>Table_SourceData_Scope3_Feed[[#This Row],[Region of origin]]</f>
        <v>Australia</v>
      </c>
    </row>
    <row r="119" spans="1:17" ht="20.100000000000001" customHeight="1" x14ac:dyDescent="0.25">
      <c r="A119"/>
      <c r="D119" s="19" t="str" cm="1">
        <f t="array" ref="D119">Common_InputFunctions.Utility_DisplayArrayInTable(Scope3_SourceData.Scope3_Feed_Data(), Table_SourceData_Scope3_Feed[[#Headers],[Category]], -1, 2)</f>
        <v>Hay</v>
      </c>
      <c r="E119" s="19" t="str" cm="1">
        <f t="array" ref="E119">Common_InputFunctions.Utility_DisplayArrayInTable(Scope3_SourceData.Scope3_Feed_Data(), Table_SourceData_Scope3_Feed[[#Headers],[Category]], -1, 2)</f>
        <v>Cereal hay</v>
      </c>
      <c r="F119" s="19" t="str" cm="1">
        <f t="array" ref="F119">Common_InputFunctions.Utility_DisplayArrayInTable(Scope3_SourceData.Scope3_Feed_Data(), Table_SourceData_Scope3_Feed[[#Headers],[Category]], -1, 2)</f>
        <v>NSW</v>
      </c>
      <c r="G119" s="19" t="str" cm="1">
        <f t="array" ref="G119">Common_InputFunctions.Utility_DisplayArrayInTable(Scope3_SourceData.Scope3_Feed_Data(), Table_SourceData_Scope3_Feed[[#Headers],[Category]], -1, 2)</f>
        <v>kg</v>
      </c>
      <c r="H119" s="19" cm="1">
        <f t="array" ref="H119">Common_InputFunctions.Utility_DisplayArrayInTable(Scope3_SourceData.Scope3_Feed_Data(), Table_SourceData_Scope3_Feed[[#Headers],[Category]], -1, 2)</f>
        <v>0.11600000000000001</v>
      </c>
      <c r="I119" s="19" t="str" cm="1">
        <f t="array" ref="I119">Common_InputFunctions.Utility_DisplayArrayInTable(Scope3_SourceData.Scope3_Feed_Data(), Table_SourceData_Scope3_Feed[[#Headers],[Category]], -1, 2)</f>
        <v>at market</v>
      </c>
      <c r="J119" s="19" t="s">
        <v>1446</v>
      </c>
      <c r="O119" s="19" t="str">
        <f>Table_SourceData_Scope3_Feed[[#This Row],[Product]]</f>
        <v>Cereal hay</v>
      </c>
      <c r="P119" s="19" t="str">
        <f>Table_SourceData_Scope3_Feed[[#This Row],[Region of origin]]</f>
        <v>NSW</v>
      </c>
    </row>
    <row r="120" spans="1:17" ht="20.100000000000001" customHeight="1" x14ac:dyDescent="0.25">
      <c r="A120"/>
      <c r="D120" s="19" t="str" cm="1">
        <f t="array" ref="D120">Common_InputFunctions.Utility_DisplayArrayInTable(Scope3_SourceData.Scope3_Feed_Data(), Table_SourceData_Scope3_Feed[[#Headers],[Category]], -1, 2)</f>
        <v>Hay</v>
      </c>
      <c r="E120" s="19" t="str" cm="1">
        <f t="array" ref="E120">Common_InputFunctions.Utility_DisplayArrayInTable(Scope3_SourceData.Scope3_Feed_Data(), Table_SourceData_Scope3_Feed[[#Headers],[Category]], -1, 2)</f>
        <v>Cereal hay</v>
      </c>
      <c r="F120" s="19" t="str" cm="1">
        <f t="array" ref="F120">Common_InputFunctions.Utility_DisplayArrayInTable(Scope3_SourceData.Scope3_Feed_Data(), Table_SourceData_Scope3_Feed[[#Headers],[Category]], -1, 2)</f>
        <v>QLD</v>
      </c>
      <c r="G120" s="19" t="str" cm="1">
        <f t="array" ref="G120">Common_InputFunctions.Utility_DisplayArrayInTable(Scope3_SourceData.Scope3_Feed_Data(), Table_SourceData_Scope3_Feed[[#Headers],[Category]], -1, 2)</f>
        <v>kg</v>
      </c>
      <c r="H120" s="19" cm="1">
        <f t="array" ref="H120">Common_InputFunctions.Utility_DisplayArrayInTable(Scope3_SourceData.Scope3_Feed_Data(), Table_SourceData_Scope3_Feed[[#Headers],[Category]], -1, 2)</f>
        <v>0.11799999999999999</v>
      </c>
      <c r="I120" s="19" t="str" cm="1">
        <f t="array" ref="I120">Common_InputFunctions.Utility_DisplayArrayInTable(Scope3_SourceData.Scope3_Feed_Data(), Table_SourceData_Scope3_Feed[[#Headers],[Category]], -1, 2)</f>
        <v>at market</v>
      </c>
      <c r="J120" s="19" t="s">
        <v>1446</v>
      </c>
      <c r="O120" s="19" t="str">
        <f>Table_SourceData_Scope3_Feed[[#This Row],[Product]]</f>
        <v>Cereal hay</v>
      </c>
      <c r="P120" s="19" t="str">
        <f>Table_SourceData_Scope3_Feed[[#This Row],[Region of origin]]</f>
        <v>QLD</v>
      </c>
    </row>
    <row r="121" spans="1:17" ht="20.100000000000001" customHeight="1" x14ac:dyDescent="0.25">
      <c r="A121"/>
      <c r="D121" s="19" t="str" cm="1">
        <f t="array" ref="D121">Common_InputFunctions.Utility_DisplayArrayInTable(Scope3_SourceData.Scope3_Feed_Data(), Table_SourceData_Scope3_Feed[[#Headers],[Category]], -1, 2)</f>
        <v>Hay</v>
      </c>
      <c r="E121" s="19" t="str" cm="1">
        <f t="array" ref="E121">Common_InputFunctions.Utility_DisplayArrayInTable(Scope3_SourceData.Scope3_Feed_Data(), Table_SourceData_Scope3_Feed[[#Headers],[Category]], -1, 2)</f>
        <v>Cereal hay</v>
      </c>
      <c r="F121" s="19" t="str" cm="1">
        <f t="array" ref="F121">Common_InputFunctions.Utility_DisplayArrayInTable(Scope3_SourceData.Scope3_Feed_Data(), Table_SourceData_Scope3_Feed[[#Headers],[Category]], -1, 2)</f>
        <v>SA</v>
      </c>
      <c r="G121" s="19" t="str" cm="1">
        <f t="array" ref="G121">Common_InputFunctions.Utility_DisplayArrayInTable(Scope3_SourceData.Scope3_Feed_Data(), Table_SourceData_Scope3_Feed[[#Headers],[Category]], -1, 2)</f>
        <v>kg</v>
      </c>
      <c r="H121" s="19" cm="1">
        <f t="array" ref="H121">Common_InputFunctions.Utility_DisplayArrayInTable(Scope3_SourceData.Scope3_Feed_Data(), Table_SourceData_Scope3_Feed[[#Headers],[Category]], -1, 2)</f>
        <v>0.111</v>
      </c>
      <c r="I121" s="19" t="str" cm="1">
        <f t="array" ref="I121">Common_InputFunctions.Utility_DisplayArrayInTable(Scope3_SourceData.Scope3_Feed_Data(), Table_SourceData_Scope3_Feed[[#Headers],[Category]], -1, 2)</f>
        <v>at market</v>
      </c>
      <c r="J121" s="19" t="s">
        <v>1446</v>
      </c>
      <c r="O121" s="19" t="str">
        <f>Table_SourceData_Scope3_Feed[[#This Row],[Product]]</f>
        <v>Cereal hay</v>
      </c>
      <c r="P121" s="19" t="str">
        <f>Table_SourceData_Scope3_Feed[[#This Row],[Region of origin]]</f>
        <v>SA</v>
      </c>
    </row>
    <row r="122" spans="1:17" ht="20.100000000000001" customHeight="1" x14ac:dyDescent="0.25">
      <c r="A122"/>
      <c r="D122" s="19" t="str" cm="1">
        <f t="array" ref="D122">Common_InputFunctions.Utility_DisplayArrayInTable(Scope3_SourceData.Scope3_Feed_Data(), Table_SourceData_Scope3_Feed[[#Headers],[Category]], -1, 2)</f>
        <v>Hay</v>
      </c>
      <c r="E122" s="19" t="str" cm="1">
        <f t="array" ref="E122">Common_InputFunctions.Utility_DisplayArrayInTable(Scope3_SourceData.Scope3_Feed_Data(), Table_SourceData_Scope3_Feed[[#Headers],[Category]], -1, 2)</f>
        <v>Cereal hay</v>
      </c>
      <c r="F122" s="19" t="str" cm="1">
        <f t="array" ref="F122">Common_InputFunctions.Utility_DisplayArrayInTable(Scope3_SourceData.Scope3_Feed_Data(), Table_SourceData_Scope3_Feed[[#Headers],[Category]], -1, 2)</f>
        <v>TAS</v>
      </c>
      <c r="G122" s="19" t="str" cm="1">
        <f t="array" ref="G122">Common_InputFunctions.Utility_DisplayArrayInTable(Scope3_SourceData.Scope3_Feed_Data(), Table_SourceData_Scope3_Feed[[#Headers],[Category]], -1, 2)</f>
        <v>kg</v>
      </c>
      <c r="H122" s="19" cm="1">
        <f t="array" ref="H122">Common_InputFunctions.Utility_DisplayArrayInTable(Scope3_SourceData.Scope3_Feed_Data(), Table_SourceData_Scope3_Feed[[#Headers],[Category]], -1, 2)</f>
        <v>0.13900000000000001</v>
      </c>
      <c r="I122" s="19" t="str" cm="1">
        <f t="array" ref="I122">Common_InputFunctions.Utility_DisplayArrayInTable(Scope3_SourceData.Scope3_Feed_Data(), Table_SourceData_Scope3_Feed[[#Headers],[Category]], -1, 2)</f>
        <v>at market</v>
      </c>
      <c r="J122" s="19" t="s">
        <v>1446</v>
      </c>
      <c r="O122" s="19" t="str">
        <f>Table_SourceData_Scope3_Feed[[#This Row],[Product]]</f>
        <v>Cereal hay</v>
      </c>
      <c r="P122" s="19" t="str">
        <f>Table_SourceData_Scope3_Feed[[#This Row],[Region of origin]]</f>
        <v>TAS</v>
      </c>
    </row>
    <row r="123" spans="1:17" ht="20.100000000000001" customHeight="1" x14ac:dyDescent="0.25">
      <c r="A123"/>
      <c r="D123" s="19" t="str" cm="1">
        <f t="array" ref="D123">Common_InputFunctions.Utility_DisplayArrayInTable(Scope3_SourceData.Scope3_Feed_Data(), Table_SourceData_Scope3_Feed[[#Headers],[Category]], -1, 2)</f>
        <v>Hay</v>
      </c>
      <c r="E123" s="19" t="str" cm="1">
        <f t="array" ref="E123">Common_InputFunctions.Utility_DisplayArrayInTable(Scope3_SourceData.Scope3_Feed_Data(), Table_SourceData_Scope3_Feed[[#Headers],[Category]], -1, 2)</f>
        <v>Cereal hay</v>
      </c>
      <c r="F123" s="19" t="str" cm="1">
        <f t="array" ref="F123">Common_InputFunctions.Utility_DisplayArrayInTable(Scope3_SourceData.Scope3_Feed_Data(), Table_SourceData_Scope3_Feed[[#Headers],[Category]], -1, 2)</f>
        <v>VIC</v>
      </c>
      <c r="G123" s="19" t="str" cm="1">
        <f t="array" ref="G123">Common_InputFunctions.Utility_DisplayArrayInTable(Scope3_SourceData.Scope3_Feed_Data(), Table_SourceData_Scope3_Feed[[#Headers],[Category]], -1, 2)</f>
        <v>kg</v>
      </c>
      <c r="H123" s="19" cm="1">
        <f t="array" ref="H123">Common_InputFunctions.Utility_DisplayArrayInTable(Scope3_SourceData.Scope3_Feed_Data(), Table_SourceData_Scope3_Feed[[#Headers],[Category]], -1, 2)</f>
        <v>0.11600000000000001</v>
      </c>
      <c r="I123" s="19" t="str" cm="1">
        <f t="array" ref="I123">Common_InputFunctions.Utility_DisplayArrayInTable(Scope3_SourceData.Scope3_Feed_Data(), Table_SourceData_Scope3_Feed[[#Headers],[Category]], -1, 2)</f>
        <v>at market</v>
      </c>
      <c r="J123" s="19" t="s">
        <v>1446</v>
      </c>
      <c r="O123" s="19" t="str">
        <f>Table_SourceData_Scope3_Feed[[#This Row],[Product]]</f>
        <v>Cereal hay</v>
      </c>
      <c r="P123" s="19" t="str">
        <f>Table_SourceData_Scope3_Feed[[#This Row],[Region of origin]]</f>
        <v>VIC</v>
      </c>
    </row>
    <row r="124" spans="1:17" ht="20.100000000000001" customHeight="1" x14ac:dyDescent="0.25">
      <c r="A124"/>
      <c r="D124" s="19" t="str" cm="1">
        <f t="array" ref="D124">Common_InputFunctions.Utility_DisplayArrayInTable(Scope3_SourceData.Scope3_Feed_Data(), Table_SourceData_Scope3_Feed[[#Headers],[Category]], -1, 2)</f>
        <v>Hay</v>
      </c>
      <c r="E124" s="19" t="str" cm="1">
        <f t="array" ref="E124">Common_InputFunctions.Utility_DisplayArrayInTable(Scope3_SourceData.Scope3_Feed_Data(), Table_SourceData_Scope3_Feed[[#Headers],[Category]], -1, 2)</f>
        <v>Cereal hay</v>
      </c>
      <c r="F124" s="19" t="str" cm="1">
        <f t="array" ref="F124">Common_InputFunctions.Utility_DisplayArrayInTable(Scope3_SourceData.Scope3_Feed_Data(), Table_SourceData_Scope3_Feed[[#Headers],[Category]], -1, 2)</f>
        <v>WA</v>
      </c>
      <c r="G124" s="19" t="str" cm="1">
        <f t="array" ref="G124">Common_InputFunctions.Utility_DisplayArrayInTable(Scope3_SourceData.Scope3_Feed_Data(), Table_SourceData_Scope3_Feed[[#Headers],[Category]], -1, 2)</f>
        <v>kg</v>
      </c>
      <c r="H124" s="19" cm="1">
        <f t="array" ref="H124">Common_InputFunctions.Utility_DisplayArrayInTable(Scope3_SourceData.Scope3_Feed_Data(), Table_SourceData_Scope3_Feed[[#Headers],[Category]], -1, 2)</f>
        <v>0.122</v>
      </c>
      <c r="I124" s="19" t="str" cm="1">
        <f t="array" ref="I124">Common_InputFunctions.Utility_DisplayArrayInTable(Scope3_SourceData.Scope3_Feed_Data(), Table_SourceData_Scope3_Feed[[#Headers],[Category]], -1, 2)</f>
        <v>at market</v>
      </c>
      <c r="J124" s="19" t="s">
        <v>1446</v>
      </c>
      <c r="L124" s="19" t="s">
        <v>131</v>
      </c>
      <c r="M124" s="19" t="s">
        <v>1444</v>
      </c>
      <c r="N124" s="1" t="str">
        <f>"Table_ProductRegions_" &amp; SUBSTITUTE(SUBSTITUTE(SUBSTITUTE(SUBSTITUTE(L125, " ", ""), ",", ""), "(", ""), ")", "")</f>
        <v>Table_ProductRegions_Cerealsilage</v>
      </c>
      <c r="O124" s="19" t="str">
        <f>Table_SourceData_Scope3_Feed[[#This Row],[Product]]</f>
        <v>Cereal hay</v>
      </c>
      <c r="P124" s="19" t="str">
        <f>Table_SourceData_Scope3_Feed[[#This Row],[Region of origin]]</f>
        <v>WA</v>
      </c>
    </row>
    <row r="125" spans="1:17" ht="20.100000000000001" customHeight="1" x14ac:dyDescent="0.25">
      <c r="A125"/>
      <c r="D125" s="19" t="str" cm="1">
        <f t="array" ref="D125">Common_InputFunctions.Utility_DisplayArrayInTable(Scope3_SourceData.Scope3_Feed_Data(), Table_SourceData_Scope3_Feed[[#Headers],[Category]], -1, 2)</f>
        <v>Hay</v>
      </c>
      <c r="E125" s="19" t="str" cm="1">
        <f t="array" ref="E125">Common_InputFunctions.Utility_DisplayArrayInTable(Scope3_SourceData.Scope3_Feed_Data(), Table_SourceData_Scope3_Feed[[#Headers],[Category]], -1, 2)</f>
        <v>Cereal silage</v>
      </c>
      <c r="F125" s="19" t="str" cm="1">
        <f t="array" ref="F125">Common_InputFunctions.Utility_DisplayArrayInTable(Scope3_SourceData.Scope3_Feed_Data(), Table_SourceData_Scope3_Feed[[#Headers],[Category]], -1, 2)</f>
        <v>Australia</v>
      </c>
      <c r="G125" s="19" t="str" cm="1">
        <f t="array" ref="G125">Common_InputFunctions.Utility_DisplayArrayInTable(Scope3_SourceData.Scope3_Feed_Data(), Table_SourceData_Scope3_Feed[[#Headers],[Category]], -1, 2)</f>
        <v>kg</v>
      </c>
      <c r="H125" s="19" cm="1">
        <f t="array" ref="H125">Common_InputFunctions.Utility_DisplayArrayInTable(Scope3_SourceData.Scope3_Feed_Data(), Table_SourceData_Scope3_Feed[[#Headers],[Category]], -1, 2)</f>
        <v>7.4399999999999994E-2</v>
      </c>
      <c r="I125" s="19" t="str" cm="1">
        <f t="array" ref="I125">Common_InputFunctions.Utility_DisplayArrayInTable(Scope3_SourceData.Scope3_Feed_Data(), Table_SourceData_Scope3_Feed[[#Headers],[Category]], -1, 2)</f>
        <v>at market</v>
      </c>
      <c r="J125" s="19" t="s">
        <v>1446</v>
      </c>
      <c r="L125" s="19" t="str">
        <f>Table_SourceData_Scope3_Feed[[#This Row],[Product]]</f>
        <v>Cereal silage</v>
      </c>
      <c r="M125" s="19" t="str">
        <f>Table_SourceData_Scope3_Feed[[#This Row],[Region of origin]]</f>
        <v>Australia</v>
      </c>
    </row>
    <row r="126" spans="1:17" ht="20.100000000000001" customHeight="1" x14ac:dyDescent="0.25">
      <c r="A126"/>
      <c r="D126" s="19" t="str" cm="1">
        <f t="array" ref="D126">Common_InputFunctions.Utility_DisplayArrayInTable(Scope3_SourceData.Scope3_Feed_Data(), Table_SourceData_Scope3_Feed[[#Headers],[Category]], -1, 2)</f>
        <v>Hay</v>
      </c>
      <c r="E126" s="19" t="str" cm="1">
        <f t="array" ref="E126">Common_InputFunctions.Utility_DisplayArrayInTable(Scope3_SourceData.Scope3_Feed_Data(), Table_SourceData_Scope3_Feed[[#Headers],[Category]], -1, 2)</f>
        <v>Cereal silage</v>
      </c>
      <c r="F126" s="19" t="str" cm="1">
        <f t="array" ref="F126">Common_InputFunctions.Utility_DisplayArrayInTable(Scope3_SourceData.Scope3_Feed_Data(), Table_SourceData_Scope3_Feed[[#Headers],[Category]], -1, 2)</f>
        <v>NSW</v>
      </c>
      <c r="G126" s="19" t="str" cm="1">
        <f t="array" ref="G126">Common_InputFunctions.Utility_DisplayArrayInTable(Scope3_SourceData.Scope3_Feed_Data(), Table_SourceData_Scope3_Feed[[#Headers],[Category]], -1, 2)</f>
        <v>kg</v>
      </c>
      <c r="H126" s="19" cm="1">
        <f t="array" ref="H126">Common_InputFunctions.Utility_DisplayArrayInTable(Scope3_SourceData.Scope3_Feed_Data(), Table_SourceData_Scope3_Feed[[#Headers],[Category]], -1, 2)</f>
        <v>7.3899999999999993E-2</v>
      </c>
      <c r="I126" s="19" t="str" cm="1">
        <f t="array" ref="I126">Common_InputFunctions.Utility_DisplayArrayInTable(Scope3_SourceData.Scope3_Feed_Data(), Table_SourceData_Scope3_Feed[[#Headers],[Category]], -1, 2)</f>
        <v>at market</v>
      </c>
      <c r="J126" s="19" t="s">
        <v>1446</v>
      </c>
      <c r="L126" s="19" t="str">
        <f>Table_SourceData_Scope3_Feed[[#This Row],[Product]]</f>
        <v>Cereal silage</v>
      </c>
      <c r="M126" s="19" t="str">
        <f>Table_SourceData_Scope3_Feed[[#This Row],[Region of origin]]</f>
        <v>NSW</v>
      </c>
    </row>
    <row r="127" spans="1:17" ht="20.100000000000001" customHeight="1" x14ac:dyDescent="0.25">
      <c r="A127"/>
      <c r="D127" s="19" t="str" cm="1">
        <f t="array" ref="D127">Common_InputFunctions.Utility_DisplayArrayInTable(Scope3_SourceData.Scope3_Feed_Data(), Table_SourceData_Scope3_Feed[[#Headers],[Category]], -1, 2)</f>
        <v>Hay</v>
      </c>
      <c r="E127" s="19" t="str" cm="1">
        <f t="array" ref="E127">Common_InputFunctions.Utility_DisplayArrayInTable(Scope3_SourceData.Scope3_Feed_Data(), Table_SourceData_Scope3_Feed[[#Headers],[Category]], -1, 2)</f>
        <v>Cereal silage</v>
      </c>
      <c r="F127" s="19" t="str" cm="1">
        <f t="array" ref="F127">Common_InputFunctions.Utility_DisplayArrayInTable(Scope3_SourceData.Scope3_Feed_Data(), Table_SourceData_Scope3_Feed[[#Headers],[Category]], -1, 2)</f>
        <v>QLD</v>
      </c>
      <c r="G127" s="19" t="str" cm="1">
        <f t="array" ref="G127">Common_InputFunctions.Utility_DisplayArrayInTable(Scope3_SourceData.Scope3_Feed_Data(), Table_SourceData_Scope3_Feed[[#Headers],[Category]], -1, 2)</f>
        <v>kg</v>
      </c>
      <c r="H127" s="19" cm="1">
        <f t="array" ref="H127">Common_InputFunctions.Utility_DisplayArrayInTable(Scope3_SourceData.Scope3_Feed_Data(), Table_SourceData_Scope3_Feed[[#Headers],[Category]], -1, 2)</f>
        <v>7.9000000000000001E-2</v>
      </c>
      <c r="I127" s="19" t="str" cm="1">
        <f t="array" ref="I127">Common_InputFunctions.Utility_DisplayArrayInTable(Scope3_SourceData.Scope3_Feed_Data(), Table_SourceData_Scope3_Feed[[#Headers],[Category]], -1, 2)</f>
        <v>at market</v>
      </c>
      <c r="J127" s="19" t="s">
        <v>1446</v>
      </c>
      <c r="L127" s="19" t="str">
        <f>Table_SourceData_Scope3_Feed[[#This Row],[Product]]</f>
        <v>Cereal silage</v>
      </c>
      <c r="M127" s="19" t="str">
        <f>Table_SourceData_Scope3_Feed[[#This Row],[Region of origin]]</f>
        <v>QLD</v>
      </c>
    </row>
    <row r="128" spans="1:17" ht="20.100000000000001" customHeight="1" x14ac:dyDescent="0.25">
      <c r="A128"/>
      <c r="D128" s="19" t="str" cm="1">
        <f t="array" ref="D128">Common_InputFunctions.Utility_DisplayArrayInTable(Scope3_SourceData.Scope3_Feed_Data(), Table_SourceData_Scope3_Feed[[#Headers],[Category]], -1, 2)</f>
        <v>Hay</v>
      </c>
      <c r="E128" s="19" t="str" cm="1">
        <f t="array" ref="E128">Common_InputFunctions.Utility_DisplayArrayInTable(Scope3_SourceData.Scope3_Feed_Data(), Table_SourceData_Scope3_Feed[[#Headers],[Category]], -1, 2)</f>
        <v>Cereal silage</v>
      </c>
      <c r="F128" s="19" t="str" cm="1">
        <f t="array" ref="F128">Common_InputFunctions.Utility_DisplayArrayInTable(Scope3_SourceData.Scope3_Feed_Data(), Table_SourceData_Scope3_Feed[[#Headers],[Category]], -1, 2)</f>
        <v>SA</v>
      </c>
      <c r="G128" s="19" t="str" cm="1">
        <f t="array" ref="G128">Common_InputFunctions.Utility_DisplayArrayInTable(Scope3_SourceData.Scope3_Feed_Data(), Table_SourceData_Scope3_Feed[[#Headers],[Category]], -1, 2)</f>
        <v>kg</v>
      </c>
      <c r="H128" s="19" cm="1">
        <f t="array" ref="H128">Common_InputFunctions.Utility_DisplayArrayInTable(Scope3_SourceData.Scope3_Feed_Data(), Table_SourceData_Scope3_Feed[[#Headers],[Category]], -1, 2)</f>
        <v>7.0599999999999996E-2</v>
      </c>
      <c r="I128" s="19" t="str" cm="1">
        <f t="array" ref="I128">Common_InputFunctions.Utility_DisplayArrayInTable(Scope3_SourceData.Scope3_Feed_Data(), Table_SourceData_Scope3_Feed[[#Headers],[Category]], -1, 2)</f>
        <v>at market</v>
      </c>
      <c r="J128" s="19" t="s">
        <v>1446</v>
      </c>
      <c r="L128" s="19" t="str">
        <f>Table_SourceData_Scope3_Feed[[#This Row],[Product]]</f>
        <v>Cereal silage</v>
      </c>
      <c r="M128" s="19" t="str">
        <f>Table_SourceData_Scope3_Feed[[#This Row],[Region of origin]]</f>
        <v>SA</v>
      </c>
    </row>
    <row r="129" spans="1:17" ht="20.100000000000001" customHeight="1" x14ac:dyDescent="0.25">
      <c r="A129"/>
      <c r="D129" s="19" t="str" cm="1">
        <f t="array" ref="D129">Common_InputFunctions.Utility_DisplayArrayInTable(Scope3_SourceData.Scope3_Feed_Data(), Table_SourceData_Scope3_Feed[[#Headers],[Category]], -1, 2)</f>
        <v>Hay</v>
      </c>
      <c r="E129" s="19" t="str" cm="1">
        <f t="array" ref="E129">Common_InputFunctions.Utility_DisplayArrayInTable(Scope3_SourceData.Scope3_Feed_Data(), Table_SourceData_Scope3_Feed[[#Headers],[Category]], -1, 2)</f>
        <v>Cereal silage</v>
      </c>
      <c r="F129" s="19" t="str" cm="1">
        <f t="array" ref="F129">Common_InputFunctions.Utility_DisplayArrayInTable(Scope3_SourceData.Scope3_Feed_Data(), Table_SourceData_Scope3_Feed[[#Headers],[Category]], -1, 2)</f>
        <v>TAS</v>
      </c>
      <c r="G129" s="19" t="str" cm="1">
        <f t="array" ref="G129">Common_InputFunctions.Utility_DisplayArrayInTable(Scope3_SourceData.Scope3_Feed_Data(), Table_SourceData_Scope3_Feed[[#Headers],[Category]], -1, 2)</f>
        <v>kg</v>
      </c>
      <c r="H129" s="19" cm="1">
        <f t="array" ref="H129">Common_InputFunctions.Utility_DisplayArrayInTable(Scope3_SourceData.Scope3_Feed_Data(), Table_SourceData_Scope3_Feed[[#Headers],[Category]], -1, 2)</f>
        <v>8.0799999999999997E-2</v>
      </c>
      <c r="I129" s="19" t="str" cm="1">
        <f t="array" ref="I129">Common_InputFunctions.Utility_DisplayArrayInTable(Scope3_SourceData.Scope3_Feed_Data(), Table_SourceData_Scope3_Feed[[#Headers],[Category]], -1, 2)</f>
        <v>at market</v>
      </c>
      <c r="J129" s="19" t="s">
        <v>1446</v>
      </c>
      <c r="L129" s="19" t="str">
        <f>Table_SourceData_Scope3_Feed[[#This Row],[Product]]</f>
        <v>Cereal silage</v>
      </c>
      <c r="M129" s="19" t="str">
        <f>Table_SourceData_Scope3_Feed[[#This Row],[Region of origin]]</f>
        <v>TAS</v>
      </c>
    </row>
    <row r="130" spans="1:17" ht="20.100000000000001" customHeight="1" x14ac:dyDescent="0.25">
      <c r="A130"/>
      <c r="D130" s="19" t="str" cm="1">
        <f t="array" ref="D130">Common_InputFunctions.Utility_DisplayArrayInTable(Scope3_SourceData.Scope3_Feed_Data(), Table_SourceData_Scope3_Feed[[#Headers],[Category]], -1, 2)</f>
        <v>Hay</v>
      </c>
      <c r="E130" s="19" t="str" cm="1">
        <f t="array" ref="E130">Common_InputFunctions.Utility_DisplayArrayInTable(Scope3_SourceData.Scope3_Feed_Data(), Table_SourceData_Scope3_Feed[[#Headers],[Category]], -1, 2)</f>
        <v>Cereal silage</v>
      </c>
      <c r="F130" s="19" t="str" cm="1">
        <f t="array" ref="F130">Common_InputFunctions.Utility_DisplayArrayInTable(Scope3_SourceData.Scope3_Feed_Data(), Table_SourceData_Scope3_Feed[[#Headers],[Category]], -1, 2)</f>
        <v>VIC</v>
      </c>
      <c r="G130" s="19" t="str" cm="1">
        <f t="array" ref="G130">Common_InputFunctions.Utility_DisplayArrayInTable(Scope3_SourceData.Scope3_Feed_Data(), Table_SourceData_Scope3_Feed[[#Headers],[Category]], -1, 2)</f>
        <v>kg</v>
      </c>
      <c r="H130" s="19" cm="1">
        <f t="array" ref="H130">Common_InputFunctions.Utility_DisplayArrayInTable(Scope3_SourceData.Scope3_Feed_Data(), Table_SourceData_Scope3_Feed[[#Headers],[Category]], -1, 2)</f>
        <v>7.3599999999999999E-2</v>
      </c>
      <c r="I130" s="19" t="str" cm="1">
        <f t="array" ref="I130">Common_InputFunctions.Utility_DisplayArrayInTable(Scope3_SourceData.Scope3_Feed_Data(), Table_SourceData_Scope3_Feed[[#Headers],[Category]], -1, 2)</f>
        <v>at market</v>
      </c>
      <c r="J130" s="19" t="s">
        <v>1446</v>
      </c>
      <c r="L130" s="19" t="str">
        <f>Table_SourceData_Scope3_Feed[[#This Row],[Product]]</f>
        <v>Cereal silage</v>
      </c>
      <c r="M130" s="19" t="str">
        <f>Table_SourceData_Scope3_Feed[[#This Row],[Region of origin]]</f>
        <v>VIC</v>
      </c>
      <c r="O130" s="19" t="s">
        <v>131</v>
      </c>
      <c r="P130" s="19" t="s">
        <v>1444</v>
      </c>
      <c r="Q130" s="1" t="str">
        <f>"Table_ProductRegions_" &amp; SUBSTITUTE(SUBSTITUTE(SUBSTITUTE(SUBSTITUTE(O131, " ", ""), ",", ""), "(", ""), ")", "")</f>
        <v>Table_ProductRegions_Lucernehay</v>
      </c>
    </row>
    <row r="131" spans="1:17" ht="20.100000000000001" customHeight="1" x14ac:dyDescent="0.25">
      <c r="A131"/>
      <c r="D131" s="19" t="str" cm="1">
        <f t="array" ref="D131">Common_InputFunctions.Utility_DisplayArrayInTable(Scope3_SourceData.Scope3_Feed_Data(), Table_SourceData_Scope3_Feed[[#Headers],[Category]], -1, 2)</f>
        <v>Hay</v>
      </c>
      <c r="E131" s="19" t="str" cm="1">
        <f t="array" ref="E131">Common_InputFunctions.Utility_DisplayArrayInTable(Scope3_SourceData.Scope3_Feed_Data(), Table_SourceData_Scope3_Feed[[#Headers],[Category]], -1, 2)</f>
        <v>Lucerne hay</v>
      </c>
      <c r="F131" s="19" t="str" cm="1">
        <f t="array" ref="F131">Common_InputFunctions.Utility_DisplayArrayInTable(Scope3_SourceData.Scope3_Feed_Data(), Table_SourceData_Scope3_Feed[[#Headers],[Category]], -1, 2)</f>
        <v>Australia</v>
      </c>
      <c r="G131" s="19" t="str" cm="1">
        <f t="array" ref="G131">Common_InputFunctions.Utility_DisplayArrayInTable(Scope3_SourceData.Scope3_Feed_Data(), Table_SourceData_Scope3_Feed[[#Headers],[Category]], -1, 2)</f>
        <v>kg</v>
      </c>
      <c r="H131" s="19" cm="1">
        <f t="array" ref="H131">Common_InputFunctions.Utility_DisplayArrayInTable(Scope3_SourceData.Scope3_Feed_Data(), Table_SourceData_Scope3_Feed[[#Headers],[Category]], -1, 2)</f>
        <v>0.11700000000000001</v>
      </c>
      <c r="I131" s="19" t="str" cm="1">
        <f t="array" ref="I131">Common_InputFunctions.Utility_DisplayArrayInTable(Scope3_SourceData.Scope3_Feed_Data(), Table_SourceData_Scope3_Feed[[#Headers],[Category]], -1, 2)</f>
        <v>at market</v>
      </c>
      <c r="J131" s="19" t="s">
        <v>1446</v>
      </c>
      <c r="O131" s="19" t="str">
        <f>Table_SourceData_Scope3_Feed[[#This Row],[Product]]</f>
        <v>Lucerne hay</v>
      </c>
      <c r="P131" s="19" t="str">
        <f>Table_SourceData_Scope3_Feed[[#This Row],[Region of origin]]</f>
        <v>Australia</v>
      </c>
    </row>
    <row r="132" spans="1:17" ht="20.100000000000001" customHeight="1" x14ac:dyDescent="0.25">
      <c r="A132"/>
      <c r="D132" s="19" t="str" cm="1">
        <f t="array" ref="D132">Common_InputFunctions.Utility_DisplayArrayInTable(Scope3_SourceData.Scope3_Feed_Data(), Table_SourceData_Scope3_Feed[[#Headers],[Category]], -1, 2)</f>
        <v>Hay</v>
      </c>
      <c r="E132" s="19" t="str" cm="1">
        <f t="array" ref="E132">Common_InputFunctions.Utility_DisplayArrayInTable(Scope3_SourceData.Scope3_Feed_Data(), Table_SourceData_Scope3_Feed[[#Headers],[Category]], -1, 2)</f>
        <v>Lucerne hay</v>
      </c>
      <c r="F132" s="19" t="str" cm="1">
        <f t="array" ref="F132">Common_InputFunctions.Utility_DisplayArrayInTable(Scope3_SourceData.Scope3_Feed_Data(), Table_SourceData_Scope3_Feed[[#Headers],[Category]], -1, 2)</f>
        <v>NSW</v>
      </c>
      <c r="G132" s="19" t="str" cm="1">
        <f t="array" ref="G132">Common_InputFunctions.Utility_DisplayArrayInTable(Scope3_SourceData.Scope3_Feed_Data(), Table_SourceData_Scope3_Feed[[#Headers],[Category]], -1, 2)</f>
        <v>kg</v>
      </c>
      <c r="H132" s="19" cm="1">
        <f t="array" ref="H132">Common_InputFunctions.Utility_DisplayArrayInTable(Scope3_SourceData.Scope3_Feed_Data(), Table_SourceData_Scope3_Feed[[#Headers],[Category]], -1, 2)</f>
        <v>0.113</v>
      </c>
      <c r="I132" s="19" t="str" cm="1">
        <f t="array" ref="I132">Common_InputFunctions.Utility_DisplayArrayInTable(Scope3_SourceData.Scope3_Feed_Data(), Table_SourceData_Scope3_Feed[[#Headers],[Category]], -1, 2)</f>
        <v>at market</v>
      </c>
      <c r="J132" s="19" t="s">
        <v>1446</v>
      </c>
      <c r="O132" s="19" t="str">
        <f>Table_SourceData_Scope3_Feed[[#This Row],[Product]]</f>
        <v>Lucerne hay</v>
      </c>
      <c r="P132" s="19" t="str">
        <f>Table_SourceData_Scope3_Feed[[#This Row],[Region of origin]]</f>
        <v>NSW</v>
      </c>
    </row>
    <row r="133" spans="1:17" ht="20.100000000000001" customHeight="1" x14ac:dyDescent="0.25">
      <c r="A133"/>
      <c r="D133" s="19" t="str" cm="1">
        <f t="array" ref="D133">Common_InputFunctions.Utility_DisplayArrayInTable(Scope3_SourceData.Scope3_Feed_Data(), Table_SourceData_Scope3_Feed[[#Headers],[Category]], -1, 2)</f>
        <v>Hay</v>
      </c>
      <c r="E133" s="19" t="str" cm="1">
        <f t="array" ref="E133">Common_InputFunctions.Utility_DisplayArrayInTable(Scope3_SourceData.Scope3_Feed_Data(), Table_SourceData_Scope3_Feed[[#Headers],[Category]], -1, 2)</f>
        <v>Lucerne hay</v>
      </c>
      <c r="F133" s="19" t="str" cm="1">
        <f t="array" ref="F133">Common_InputFunctions.Utility_DisplayArrayInTable(Scope3_SourceData.Scope3_Feed_Data(), Table_SourceData_Scope3_Feed[[#Headers],[Category]], -1, 2)</f>
        <v>QLD</v>
      </c>
      <c r="G133" s="19" t="str" cm="1">
        <f t="array" ref="G133">Common_InputFunctions.Utility_DisplayArrayInTable(Scope3_SourceData.Scope3_Feed_Data(), Table_SourceData_Scope3_Feed[[#Headers],[Category]], -1, 2)</f>
        <v>kg</v>
      </c>
      <c r="H133" s="19" cm="1">
        <f t="array" ref="H133">Common_InputFunctions.Utility_DisplayArrayInTable(Scope3_SourceData.Scope3_Feed_Data(), Table_SourceData_Scope3_Feed[[#Headers],[Category]], -1, 2)</f>
        <v>0.14299999999999999</v>
      </c>
      <c r="I133" s="19" t="str" cm="1">
        <f t="array" ref="I133">Common_InputFunctions.Utility_DisplayArrayInTable(Scope3_SourceData.Scope3_Feed_Data(), Table_SourceData_Scope3_Feed[[#Headers],[Category]], -1, 2)</f>
        <v>at market</v>
      </c>
      <c r="J133" s="19" t="s">
        <v>1446</v>
      </c>
      <c r="O133" s="19" t="str">
        <f>Table_SourceData_Scope3_Feed[[#This Row],[Product]]</f>
        <v>Lucerne hay</v>
      </c>
      <c r="P133" s="19" t="str">
        <f>Table_SourceData_Scope3_Feed[[#This Row],[Region of origin]]</f>
        <v>QLD</v>
      </c>
    </row>
    <row r="134" spans="1:17" ht="20.100000000000001" customHeight="1" x14ac:dyDescent="0.25">
      <c r="A134"/>
      <c r="D134" s="19" t="str" cm="1">
        <f t="array" ref="D134">Common_InputFunctions.Utility_DisplayArrayInTable(Scope3_SourceData.Scope3_Feed_Data(), Table_SourceData_Scope3_Feed[[#Headers],[Category]], -1, 2)</f>
        <v>Hay</v>
      </c>
      <c r="E134" s="19" t="str" cm="1">
        <f t="array" ref="E134">Common_InputFunctions.Utility_DisplayArrayInTable(Scope3_SourceData.Scope3_Feed_Data(), Table_SourceData_Scope3_Feed[[#Headers],[Category]], -1, 2)</f>
        <v>Lucerne hay</v>
      </c>
      <c r="F134" s="19" t="str" cm="1">
        <f t="array" ref="F134">Common_InputFunctions.Utility_DisplayArrayInTable(Scope3_SourceData.Scope3_Feed_Data(), Table_SourceData_Scope3_Feed[[#Headers],[Category]], -1, 2)</f>
        <v>SA</v>
      </c>
      <c r="G134" s="19" t="str" cm="1">
        <f t="array" ref="G134">Common_InputFunctions.Utility_DisplayArrayInTable(Scope3_SourceData.Scope3_Feed_Data(), Table_SourceData_Scope3_Feed[[#Headers],[Category]], -1, 2)</f>
        <v>kg</v>
      </c>
      <c r="H134" s="19" cm="1">
        <f t="array" ref="H134">Common_InputFunctions.Utility_DisplayArrayInTable(Scope3_SourceData.Scope3_Feed_Data(), Table_SourceData_Scope3_Feed[[#Headers],[Category]], -1, 2)</f>
        <v>0.106</v>
      </c>
      <c r="I134" s="19" t="str" cm="1">
        <f t="array" ref="I134">Common_InputFunctions.Utility_DisplayArrayInTable(Scope3_SourceData.Scope3_Feed_Data(), Table_SourceData_Scope3_Feed[[#Headers],[Category]], -1, 2)</f>
        <v>at market</v>
      </c>
      <c r="J134" s="19" t="s">
        <v>1446</v>
      </c>
      <c r="O134" s="19" t="str">
        <f>Table_SourceData_Scope3_Feed[[#This Row],[Product]]</f>
        <v>Lucerne hay</v>
      </c>
      <c r="P134" s="19" t="str">
        <f>Table_SourceData_Scope3_Feed[[#This Row],[Region of origin]]</f>
        <v>SA</v>
      </c>
    </row>
    <row r="135" spans="1:17" ht="20.100000000000001" customHeight="1" x14ac:dyDescent="0.25">
      <c r="A135"/>
      <c r="D135" s="19" t="str" cm="1">
        <f t="array" ref="D135">Common_InputFunctions.Utility_DisplayArrayInTable(Scope3_SourceData.Scope3_Feed_Data(), Table_SourceData_Scope3_Feed[[#Headers],[Category]], -1, 2)</f>
        <v>Hay</v>
      </c>
      <c r="E135" s="19" t="str" cm="1">
        <f t="array" ref="E135">Common_InputFunctions.Utility_DisplayArrayInTable(Scope3_SourceData.Scope3_Feed_Data(), Table_SourceData_Scope3_Feed[[#Headers],[Category]], -1, 2)</f>
        <v>Lucerne hay</v>
      </c>
      <c r="F135" s="19" t="str" cm="1">
        <f t="array" ref="F135">Common_InputFunctions.Utility_DisplayArrayInTable(Scope3_SourceData.Scope3_Feed_Data(), Table_SourceData_Scope3_Feed[[#Headers],[Category]], -1, 2)</f>
        <v>TAS</v>
      </c>
      <c r="G135" s="19" t="str" cm="1">
        <f t="array" ref="G135">Common_InputFunctions.Utility_DisplayArrayInTable(Scope3_SourceData.Scope3_Feed_Data(), Table_SourceData_Scope3_Feed[[#Headers],[Category]], -1, 2)</f>
        <v>kg</v>
      </c>
      <c r="H135" s="19" cm="1">
        <f t="array" ref="H135">Common_InputFunctions.Utility_DisplayArrayInTable(Scope3_SourceData.Scope3_Feed_Data(), Table_SourceData_Scope3_Feed[[#Headers],[Category]], -1, 2)</f>
        <v>0.113</v>
      </c>
      <c r="I135" s="19" t="str" cm="1">
        <f t="array" ref="I135">Common_InputFunctions.Utility_DisplayArrayInTable(Scope3_SourceData.Scope3_Feed_Data(), Table_SourceData_Scope3_Feed[[#Headers],[Category]], -1, 2)</f>
        <v>at market</v>
      </c>
      <c r="J135" s="19" t="s">
        <v>1446</v>
      </c>
      <c r="O135" s="19" t="str">
        <f>Table_SourceData_Scope3_Feed[[#This Row],[Product]]</f>
        <v>Lucerne hay</v>
      </c>
      <c r="P135" s="19" t="str">
        <f>Table_SourceData_Scope3_Feed[[#This Row],[Region of origin]]</f>
        <v>TAS</v>
      </c>
    </row>
    <row r="136" spans="1:17" ht="20.100000000000001" customHeight="1" x14ac:dyDescent="0.25">
      <c r="A136"/>
      <c r="D136" s="19" t="str" cm="1">
        <f t="array" ref="D136">Common_InputFunctions.Utility_DisplayArrayInTable(Scope3_SourceData.Scope3_Feed_Data(), Table_SourceData_Scope3_Feed[[#Headers],[Category]], -1, 2)</f>
        <v>Hay</v>
      </c>
      <c r="E136" s="19" t="str" cm="1">
        <f t="array" ref="E136">Common_InputFunctions.Utility_DisplayArrayInTable(Scope3_SourceData.Scope3_Feed_Data(), Table_SourceData_Scope3_Feed[[#Headers],[Category]], -1, 2)</f>
        <v>Lucerne hay</v>
      </c>
      <c r="F136" s="19" t="str" cm="1">
        <f t="array" ref="F136">Common_InputFunctions.Utility_DisplayArrayInTable(Scope3_SourceData.Scope3_Feed_Data(), Table_SourceData_Scope3_Feed[[#Headers],[Category]], -1, 2)</f>
        <v>VIC</v>
      </c>
      <c r="G136" s="19" t="str" cm="1">
        <f t="array" ref="G136">Common_InputFunctions.Utility_DisplayArrayInTable(Scope3_SourceData.Scope3_Feed_Data(), Table_SourceData_Scope3_Feed[[#Headers],[Category]], -1, 2)</f>
        <v>kg</v>
      </c>
      <c r="H136" s="19" cm="1">
        <f t="array" ref="H136">Common_InputFunctions.Utility_DisplayArrayInTable(Scope3_SourceData.Scope3_Feed_Data(), Table_SourceData_Scope3_Feed[[#Headers],[Category]], -1, 2)</f>
        <v>0.106</v>
      </c>
      <c r="I136" s="19" t="str" cm="1">
        <f t="array" ref="I136">Common_InputFunctions.Utility_DisplayArrayInTable(Scope3_SourceData.Scope3_Feed_Data(), Table_SourceData_Scope3_Feed[[#Headers],[Category]], -1, 2)</f>
        <v>at market</v>
      </c>
      <c r="J136" s="19" t="s">
        <v>1446</v>
      </c>
      <c r="O136" s="19" t="str">
        <f>Table_SourceData_Scope3_Feed[[#This Row],[Product]]</f>
        <v>Lucerne hay</v>
      </c>
      <c r="P136" s="19" t="str">
        <f>Table_SourceData_Scope3_Feed[[#This Row],[Region of origin]]</f>
        <v>VIC</v>
      </c>
    </row>
    <row r="137" spans="1:17" ht="20.100000000000001" customHeight="1" x14ac:dyDescent="0.25">
      <c r="A137"/>
      <c r="D137" s="19" t="str" cm="1">
        <f t="array" ref="D137">Common_InputFunctions.Utility_DisplayArrayInTable(Scope3_SourceData.Scope3_Feed_Data(), Table_SourceData_Scope3_Feed[[#Headers],[Category]], -1, 2)</f>
        <v>Hay</v>
      </c>
      <c r="E137" s="19" t="str" cm="1">
        <f t="array" ref="E137">Common_InputFunctions.Utility_DisplayArrayInTable(Scope3_SourceData.Scope3_Feed_Data(), Table_SourceData_Scope3_Feed[[#Headers],[Category]], -1, 2)</f>
        <v>Maize silage</v>
      </c>
      <c r="F137" s="19" t="str" cm="1">
        <f t="array" ref="F137">Common_InputFunctions.Utility_DisplayArrayInTable(Scope3_SourceData.Scope3_Feed_Data(), Table_SourceData_Scope3_Feed[[#Headers],[Category]], -1, 2)</f>
        <v>VIC</v>
      </c>
      <c r="G137" s="19" t="str" cm="1">
        <f t="array" ref="G137">Common_InputFunctions.Utility_DisplayArrayInTable(Scope3_SourceData.Scope3_Feed_Data(), Table_SourceData_Scope3_Feed[[#Headers],[Category]], -1, 2)</f>
        <v>kg</v>
      </c>
      <c r="H137" s="19" cm="1">
        <f t="array" ref="H137">Common_InputFunctions.Utility_DisplayArrayInTable(Scope3_SourceData.Scope3_Feed_Data(), Table_SourceData_Scope3_Feed[[#Headers],[Category]], -1, 2)</f>
        <v>0.16300000000000001</v>
      </c>
      <c r="I137" s="19" t="str" cm="1">
        <f t="array" ref="I137">Common_InputFunctions.Utility_DisplayArrayInTable(Scope3_SourceData.Scope3_Feed_Data(), Table_SourceData_Scope3_Feed[[#Headers],[Category]], -1, 2)</f>
        <v>at market</v>
      </c>
      <c r="J137" s="19" t="s">
        <v>1446</v>
      </c>
      <c r="L137" s="19" t="s">
        <v>131</v>
      </c>
      <c r="M137" s="19" t="s">
        <v>1444</v>
      </c>
      <c r="N137" s="1" t="str">
        <f>"Table_ProductRegions_" &amp; SUBSTITUTE(SUBSTITUTE(SUBSTITUTE(SUBSTITUTE(L138, " ", ""), ",", ""), "(", ""), ")", "")</f>
        <v>Table_ProductRegions_Oatenhay</v>
      </c>
      <c r="O137" s="19" t="str">
        <f>Table_SourceData_Scope3_Feed[[#This Row],[Product]]</f>
        <v>Maize silage</v>
      </c>
      <c r="P137" s="19" t="str">
        <f>Table_SourceData_Scope3_Feed[[#This Row],[Region of origin]]</f>
        <v>VIC</v>
      </c>
    </row>
    <row r="138" spans="1:17" ht="20.100000000000001" customHeight="1" x14ac:dyDescent="0.25">
      <c r="A138"/>
      <c r="D138" s="19" t="str" cm="1">
        <f t="array" ref="D138">Common_InputFunctions.Utility_DisplayArrayInTable(Scope3_SourceData.Scope3_Feed_Data(), Table_SourceData_Scope3_Feed[[#Headers],[Category]], -1, 2)</f>
        <v>Hay</v>
      </c>
      <c r="E138" s="19" t="str" cm="1">
        <f t="array" ref="E138">Common_InputFunctions.Utility_DisplayArrayInTable(Scope3_SourceData.Scope3_Feed_Data(), Table_SourceData_Scope3_Feed[[#Headers],[Category]], -1, 2)</f>
        <v>Oaten hay</v>
      </c>
      <c r="F138" s="19" t="str" cm="1">
        <f t="array" ref="F138">Common_InputFunctions.Utility_DisplayArrayInTable(Scope3_SourceData.Scope3_Feed_Data(), Table_SourceData_Scope3_Feed[[#Headers],[Category]], -1, 2)</f>
        <v>Australia</v>
      </c>
      <c r="G138" s="19" t="str" cm="1">
        <f t="array" ref="G138">Common_InputFunctions.Utility_DisplayArrayInTable(Scope3_SourceData.Scope3_Feed_Data(), Table_SourceData_Scope3_Feed[[#Headers],[Category]], -1, 2)</f>
        <v>kg</v>
      </c>
      <c r="H138" s="19" cm="1">
        <f t="array" ref="H138">Common_InputFunctions.Utility_DisplayArrayInTable(Scope3_SourceData.Scope3_Feed_Data(), Table_SourceData_Scope3_Feed[[#Headers],[Category]], -1, 2)</f>
        <v>0.12</v>
      </c>
      <c r="I138" s="19" t="str" cm="1">
        <f t="array" ref="I138">Common_InputFunctions.Utility_DisplayArrayInTable(Scope3_SourceData.Scope3_Feed_Data(), Table_SourceData_Scope3_Feed[[#Headers],[Category]], -1, 2)</f>
        <v>at market</v>
      </c>
      <c r="J138" s="19" t="s">
        <v>1446</v>
      </c>
      <c r="L138" s="19" t="str">
        <f>Table_SourceData_Scope3_Feed[[#This Row],[Product]]</f>
        <v>Oaten hay</v>
      </c>
      <c r="M138" s="19" t="str">
        <f>Table_SourceData_Scope3_Feed[[#This Row],[Region of origin]]</f>
        <v>Australia</v>
      </c>
    </row>
    <row r="139" spans="1:17" ht="20.100000000000001" customHeight="1" x14ac:dyDescent="0.25">
      <c r="A139"/>
      <c r="D139" s="19" t="str" cm="1">
        <f t="array" ref="D139">Common_InputFunctions.Utility_DisplayArrayInTable(Scope3_SourceData.Scope3_Feed_Data(), Table_SourceData_Scope3_Feed[[#Headers],[Category]], -1, 2)</f>
        <v>Hay</v>
      </c>
      <c r="E139" s="19" t="str" cm="1">
        <f t="array" ref="E139">Common_InputFunctions.Utility_DisplayArrayInTable(Scope3_SourceData.Scope3_Feed_Data(), Table_SourceData_Scope3_Feed[[#Headers],[Category]], -1, 2)</f>
        <v>Oaten hay</v>
      </c>
      <c r="F139" s="19" t="str" cm="1">
        <f t="array" ref="F139">Common_InputFunctions.Utility_DisplayArrayInTable(Scope3_SourceData.Scope3_Feed_Data(), Table_SourceData_Scope3_Feed[[#Headers],[Category]], -1, 2)</f>
        <v>NSW</v>
      </c>
      <c r="G139" s="19" t="str" cm="1">
        <f t="array" ref="G139">Common_InputFunctions.Utility_DisplayArrayInTable(Scope3_SourceData.Scope3_Feed_Data(), Table_SourceData_Scope3_Feed[[#Headers],[Category]], -1, 2)</f>
        <v>kg</v>
      </c>
      <c r="H139" s="19" cm="1">
        <f t="array" ref="H139">Common_InputFunctions.Utility_DisplayArrayInTable(Scope3_SourceData.Scope3_Feed_Data(), Table_SourceData_Scope3_Feed[[#Headers],[Category]], -1, 2)</f>
        <v>0.11899999999999999</v>
      </c>
      <c r="I139" s="19" t="str" cm="1">
        <f t="array" ref="I139">Common_InputFunctions.Utility_DisplayArrayInTable(Scope3_SourceData.Scope3_Feed_Data(), Table_SourceData_Scope3_Feed[[#Headers],[Category]], -1, 2)</f>
        <v>at market</v>
      </c>
      <c r="J139" s="19" t="s">
        <v>1446</v>
      </c>
      <c r="L139" s="19" t="str">
        <f>Table_SourceData_Scope3_Feed[[#This Row],[Product]]</f>
        <v>Oaten hay</v>
      </c>
      <c r="M139" s="19" t="str">
        <f>Table_SourceData_Scope3_Feed[[#This Row],[Region of origin]]</f>
        <v>NSW</v>
      </c>
    </row>
    <row r="140" spans="1:17" ht="20.100000000000001" customHeight="1" x14ac:dyDescent="0.25">
      <c r="A140"/>
      <c r="D140" s="19" t="str" cm="1">
        <f t="array" ref="D140">Common_InputFunctions.Utility_DisplayArrayInTable(Scope3_SourceData.Scope3_Feed_Data(), Table_SourceData_Scope3_Feed[[#Headers],[Category]], -1, 2)</f>
        <v>Hay</v>
      </c>
      <c r="E140" s="19" t="str" cm="1">
        <f t="array" ref="E140">Common_InputFunctions.Utility_DisplayArrayInTable(Scope3_SourceData.Scope3_Feed_Data(), Table_SourceData_Scope3_Feed[[#Headers],[Category]], -1, 2)</f>
        <v>Oaten hay</v>
      </c>
      <c r="F140" s="19" t="str" cm="1">
        <f t="array" ref="F140">Common_InputFunctions.Utility_DisplayArrayInTable(Scope3_SourceData.Scope3_Feed_Data(), Table_SourceData_Scope3_Feed[[#Headers],[Category]], -1, 2)</f>
        <v>QLD</v>
      </c>
      <c r="G140" s="19" t="str" cm="1">
        <f t="array" ref="G140">Common_InputFunctions.Utility_DisplayArrayInTable(Scope3_SourceData.Scope3_Feed_Data(), Table_SourceData_Scope3_Feed[[#Headers],[Category]], -1, 2)</f>
        <v>kg</v>
      </c>
      <c r="H140" s="19" cm="1">
        <f t="array" ref="H140">Common_InputFunctions.Utility_DisplayArrayInTable(Scope3_SourceData.Scope3_Feed_Data(), Table_SourceData_Scope3_Feed[[#Headers],[Category]], -1, 2)</f>
        <v>0.11700000000000001</v>
      </c>
      <c r="I140" s="19" t="str" cm="1">
        <f t="array" ref="I140">Common_InputFunctions.Utility_DisplayArrayInTable(Scope3_SourceData.Scope3_Feed_Data(), Table_SourceData_Scope3_Feed[[#Headers],[Category]], -1, 2)</f>
        <v>at market</v>
      </c>
      <c r="J140" s="19" t="s">
        <v>1446</v>
      </c>
      <c r="L140" s="19" t="str">
        <f>Table_SourceData_Scope3_Feed[[#This Row],[Product]]</f>
        <v>Oaten hay</v>
      </c>
      <c r="M140" s="19" t="str">
        <f>Table_SourceData_Scope3_Feed[[#This Row],[Region of origin]]</f>
        <v>QLD</v>
      </c>
    </row>
    <row r="141" spans="1:17" ht="20.100000000000001" customHeight="1" x14ac:dyDescent="0.25">
      <c r="A141"/>
      <c r="D141" s="19" t="str" cm="1">
        <f t="array" ref="D141">Common_InputFunctions.Utility_DisplayArrayInTable(Scope3_SourceData.Scope3_Feed_Data(), Table_SourceData_Scope3_Feed[[#Headers],[Category]], -1, 2)</f>
        <v>Hay</v>
      </c>
      <c r="E141" s="19" t="str" cm="1">
        <f t="array" ref="E141">Common_InputFunctions.Utility_DisplayArrayInTable(Scope3_SourceData.Scope3_Feed_Data(), Table_SourceData_Scope3_Feed[[#Headers],[Category]], -1, 2)</f>
        <v>Oaten hay</v>
      </c>
      <c r="F141" s="19" t="str" cm="1">
        <f t="array" ref="F141">Common_InputFunctions.Utility_DisplayArrayInTable(Scope3_SourceData.Scope3_Feed_Data(), Table_SourceData_Scope3_Feed[[#Headers],[Category]], -1, 2)</f>
        <v>SA</v>
      </c>
      <c r="G141" s="19" t="str" cm="1">
        <f t="array" ref="G141">Common_InputFunctions.Utility_DisplayArrayInTable(Scope3_SourceData.Scope3_Feed_Data(), Table_SourceData_Scope3_Feed[[#Headers],[Category]], -1, 2)</f>
        <v>kg</v>
      </c>
      <c r="H141" s="19" cm="1">
        <f t="array" ref="H141">Common_InputFunctions.Utility_DisplayArrayInTable(Scope3_SourceData.Scope3_Feed_Data(), Table_SourceData_Scope3_Feed[[#Headers],[Category]], -1, 2)</f>
        <v>0.114</v>
      </c>
      <c r="I141" s="19" t="str" cm="1">
        <f t="array" ref="I141">Common_InputFunctions.Utility_DisplayArrayInTable(Scope3_SourceData.Scope3_Feed_Data(), Table_SourceData_Scope3_Feed[[#Headers],[Category]], -1, 2)</f>
        <v>at market</v>
      </c>
      <c r="J141" s="19" t="s">
        <v>1446</v>
      </c>
      <c r="L141" s="19" t="str">
        <f>Table_SourceData_Scope3_Feed[[#This Row],[Product]]</f>
        <v>Oaten hay</v>
      </c>
      <c r="M141" s="19" t="str">
        <f>Table_SourceData_Scope3_Feed[[#This Row],[Region of origin]]</f>
        <v>SA</v>
      </c>
    </row>
    <row r="142" spans="1:17" ht="20.100000000000001" customHeight="1" x14ac:dyDescent="0.25">
      <c r="A142"/>
      <c r="D142" s="19" t="str" cm="1">
        <f t="array" ref="D142">Common_InputFunctions.Utility_DisplayArrayInTable(Scope3_SourceData.Scope3_Feed_Data(), Table_SourceData_Scope3_Feed[[#Headers],[Category]], -1, 2)</f>
        <v>Hay</v>
      </c>
      <c r="E142" s="19" t="str" cm="1">
        <f t="array" ref="E142">Common_InputFunctions.Utility_DisplayArrayInTable(Scope3_SourceData.Scope3_Feed_Data(), Table_SourceData_Scope3_Feed[[#Headers],[Category]], -1, 2)</f>
        <v>Oaten hay</v>
      </c>
      <c r="F142" s="19" t="str" cm="1">
        <f t="array" ref="F142">Common_InputFunctions.Utility_DisplayArrayInTable(Scope3_SourceData.Scope3_Feed_Data(), Table_SourceData_Scope3_Feed[[#Headers],[Category]], -1, 2)</f>
        <v>VIC</v>
      </c>
      <c r="G142" s="19" t="str" cm="1">
        <f t="array" ref="G142">Common_InputFunctions.Utility_DisplayArrayInTable(Scope3_SourceData.Scope3_Feed_Data(), Table_SourceData_Scope3_Feed[[#Headers],[Category]], -1, 2)</f>
        <v>kg</v>
      </c>
      <c r="H142" s="19" cm="1">
        <f t="array" ref="H142">Common_InputFunctions.Utility_DisplayArrayInTable(Scope3_SourceData.Scope3_Feed_Data(), Table_SourceData_Scope3_Feed[[#Headers],[Category]], -1, 2)</f>
        <v>0.11799999999999999</v>
      </c>
      <c r="I142" s="19" t="str" cm="1">
        <f t="array" ref="I142">Common_InputFunctions.Utility_DisplayArrayInTable(Scope3_SourceData.Scope3_Feed_Data(), Table_SourceData_Scope3_Feed[[#Headers],[Category]], -1, 2)</f>
        <v>at market</v>
      </c>
      <c r="J142" s="19" t="s">
        <v>1446</v>
      </c>
      <c r="L142" s="19" t="str">
        <f>Table_SourceData_Scope3_Feed[[#This Row],[Product]]</f>
        <v>Oaten hay</v>
      </c>
      <c r="M142" s="19" t="str">
        <f>Table_SourceData_Scope3_Feed[[#This Row],[Region of origin]]</f>
        <v>VIC</v>
      </c>
    </row>
    <row r="143" spans="1:17" ht="20.100000000000001" customHeight="1" x14ac:dyDescent="0.25">
      <c r="A143"/>
      <c r="D143" s="19" t="str" cm="1">
        <f t="array" ref="D143">Common_InputFunctions.Utility_DisplayArrayInTable(Scope3_SourceData.Scope3_Feed_Data(), Table_SourceData_Scope3_Feed[[#Headers],[Category]], -1, 2)</f>
        <v>Hay</v>
      </c>
      <c r="E143" s="19" t="str" cm="1">
        <f t="array" ref="E143">Common_InputFunctions.Utility_DisplayArrayInTable(Scope3_SourceData.Scope3_Feed_Data(), Table_SourceData_Scope3_Feed[[#Headers],[Category]], -1, 2)</f>
        <v>Oaten hay</v>
      </c>
      <c r="F143" s="19" t="str" cm="1">
        <f t="array" ref="F143">Common_InputFunctions.Utility_DisplayArrayInTable(Scope3_SourceData.Scope3_Feed_Data(), Table_SourceData_Scope3_Feed[[#Headers],[Category]], -1, 2)</f>
        <v>WA</v>
      </c>
      <c r="G143" s="19" t="str" cm="1">
        <f t="array" ref="G143">Common_InputFunctions.Utility_DisplayArrayInTable(Scope3_SourceData.Scope3_Feed_Data(), Table_SourceData_Scope3_Feed[[#Headers],[Category]], -1, 2)</f>
        <v>kg</v>
      </c>
      <c r="H143" s="19" cm="1">
        <f t="array" ref="H143">Common_InputFunctions.Utility_DisplayArrayInTable(Scope3_SourceData.Scope3_Feed_Data(), Table_SourceData_Scope3_Feed[[#Headers],[Category]], -1, 2)</f>
        <v>0.124</v>
      </c>
      <c r="I143" s="19" t="str" cm="1">
        <f t="array" ref="I143">Common_InputFunctions.Utility_DisplayArrayInTable(Scope3_SourceData.Scope3_Feed_Data(), Table_SourceData_Scope3_Feed[[#Headers],[Category]], -1, 2)</f>
        <v>at market</v>
      </c>
      <c r="J143" s="19" t="s">
        <v>1446</v>
      </c>
      <c r="L143" s="19" t="str">
        <f>Table_SourceData_Scope3_Feed[[#This Row],[Product]]</f>
        <v>Oaten hay</v>
      </c>
      <c r="M143" s="19" t="str">
        <f>Table_SourceData_Scope3_Feed[[#This Row],[Region of origin]]</f>
        <v>WA</v>
      </c>
      <c r="O143" s="19" t="s">
        <v>131</v>
      </c>
      <c r="P143" s="19" t="s">
        <v>1444</v>
      </c>
      <c r="Q143" s="1" t="str">
        <f>"Table_ProductRegions_" &amp; SUBSTITUTE(SUBSTITUTE(SUBSTITUTE(SUBSTITUTE(O144, " ", ""), ",", ""), "(", ""), ")", "")</f>
        <v>Table_ProductRegions_Pasturehay</v>
      </c>
    </row>
    <row r="144" spans="1:17" ht="20.100000000000001" customHeight="1" x14ac:dyDescent="0.25">
      <c r="A144"/>
      <c r="D144" s="19" t="str" cm="1">
        <f t="array" ref="D144">Common_InputFunctions.Utility_DisplayArrayInTable(Scope3_SourceData.Scope3_Feed_Data(), Table_SourceData_Scope3_Feed[[#Headers],[Category]], -1, 2)</f>
        <v>Hay</v>
      </c>
      <c r="E144" s="19" t="str" cm="1">
        <f t="array" ref="E144">Common_InputFunctions.Utility_DisplayArrayInTable(Scope3_SourceData.Scope3_Feed_Data(), Table_SourceData_Scope3_Feed[[#Headers],[Category]], -1, 2)</f>
        <v>Pasture hay</v>
      </c>
      <c r="F144" s="19" t="str" cm="1">
        <f t="array" ref="F144">Common_InputFunctions.Utility_DisplayArrayInTable(Scope3_SourceData.Scope3_Feed_Data(), Table_SourceData_Scope3_Feed[[#Headers],[Category]], -1, 2)</f>
        <v>Australia</v>
      </c>
      <c r="G144" s="19" t="str" cm="1">
        <f t="array" ref="G144">Common_InputFunctions.Utility_DisplayArrayInTable(Scope3_SourceData.Scope3_Feed_Data(), Table_SourceData_Scope3_Feed[[#Headers],[Category]], -1, 2)</f>
        <v>kg</v>
      </c>
      <c r="H144" s="19" cm="1">
        <f t="array" ref="H144">Common_InputFunctions.Utility_DisplayArrayInTable(Scope3_SourceData.Scope3_Feed_Data(), Table_SourceData_Scope3_Feed[[#Headers],[Category]], -1, 2)</f>
        <v>0.33900000000000002</v>
      </c>
      <c r="I144" s="19" t="str" cm="1">
        <f t="array" ref="I144">Common_InputFunctions.Utility_DisplayArrayInTable(Scope3_SourceData.Scope3_Feed_Data(), Table_SourceData_Scope3_Feed[[#Headers],[Category]], -1, 2)</f>
        <v>at market</v>
      </c>
      <c r="J144" s="19" t="s">
        <v>1446</v>
      </c>
      <c r="O144" s="19" t="str">
        <f>Table_SourceData_Scope3_Feed[[#This Row],[Product]]</f>
        <v>Pasture hay</v>
      </c>
      <c r="P144" s="19" t="str">
        <f>Table_SourceData_Scope3_Feed[[#This Row],[Region of origin]]</f>
        <v>Australia</v>
      </c>
    </row>
    <row r="145" spans="1:17" ht="20.100000000000001" customHeight="1" x14ac:dyDescent="0.25">
      <c r="A145"/>
      <c r="D145" s="19" t="str" cm="1">
        <f t="array" ref="D145">Common_InputFunctions.Utility_DisplayArrayInTable(Scope3_SourceData.Scope3_Feed_Data(), Table_SourceData_Scope3_Feed[[#Headers],[Category]], -1, 2)</f>
        <v>Hay</v>
      </c>
      <c r="E145" s="19" t="str" cm="1">
        <f t="array" ref="E145">Common_InputFunctions.Utility_DisplayArrayInTable(Scope3_SourceData.Scope3_Feed_Data(), Table_SourceData_Scope3_Feed[[#Headers],[Category]], -1, 2)</f>
        <v>Pasture hay</v>
      </c>
      <c r="F145" s="19" t="str" cm="1">
        <f t="array" ref="F145">Common_InputFunctions.Utility_DisplayArrayInTable(Scope3_SourceData.Scope3_Feed_Data(), Table_SourceData_Scope3_Feed[[#Headers],[Category]], -1, 2)</f>
        <v>NSW</v>
      </c>
      <c r="G145" s="19" t="str" cm="1">
        <f t="array" ref="G145">Common_InputFunctions.Utility_DisplayArrayInTable(Scope3_SourceData.Scope3_Feed_Data(), Table_SourceData_Scope3_Feed[[#Headers],[Category]], -1, 2)</f>
        <v>kg</v>
      </c>
      <c r="H145" s="19" cm="1">
        <f t="array" ref="H145">Common_InputFunctions.Utility_DisplayArrayInTable(Scope3_SourceData.Scope3_Feed_Data(), Table_SourceData_Scope3_Feed[[#Headers],[Category]], -1, 2)</f>
        <v>0.311</v>
      </c>
      <c r="I145" s="19" t="str" cm="1">
        <f t="array" ref="I145">Common_InputFunctions.Utility_DisplayArrayInTable(Scope3_SourceData.Scope3_Feed_Data(), Table_SourceData_Scope3_Feed[[#Headers],[Category]], -1, 2)</f>
        <v>at market</v>
      </c>
      <c r="J145" s="19" t="s">
        <v>1446</v>
      </c>
      <c r="O145" s="19" t="str">
        <f>Table_SourceData_Scope3_Feed[[#This Row],[Product]]</f>
        <v>Pasture hay</v>
      </c>
      <c r="P145" s="19" t="str">
        <f>Table_SourceData_Scope3_Feed[[#This Row],[Region of origin]]</f>
        <v>NSW</v>
      </c>
    </row>
    <row r="146" spans="1:17" ht="20.100000000000001" customHeight="1" x14ac:dyDescent="0.25">
      <c r="A146"/>
      <c r="D146" s="19" t="str" cm="1">
        <f t="array" ref="D146">Common_InputFunctions.Utility_DisplayArrayInTable(Scope3_SourceData.Scope3_Feed_Data(), Table_SourceData_Scope3_Feed[[#Headers],[Category]], -1, 2)</f>
        <v>Hay</v>
      </c>
      <c r="E146" s="19" t="str" cm="1">
        <f t="array" ref="E146">Common_InputFunctions.Utility_DisplayArrayInTable(Scope3_SourceData.Scope3_Feed_Data(), Table_SourceData_Scope3_Feed[[#Headers],[Category]], -1, 2)</f>
        <v>Pasture hay</v>
      </c>
      <c r="F146" s="19" t="str" cm="1">
        <f t="array" ref="F146">Common_InputFunctions.Utility_DisplayArrayInTable(Scope3_SourceData.Scope3_Feed_Data(), Table_SourceData_Scope3_Feed[[#Headers],[Category]], -1, 2)</f>
        <v>QLD</v>
      </c>
      <c r="G146" s="19" t="str" cm="1">
        <f t="array" ref="G146">Common_InputFunctions.Utility_DisplayArrayInTable(Scope3_SourceData.Scope3_Feed_Data(), Table_SourceData_Scope3_Feed[[#Headers],[Category]], -1, 2)</f>
        <v>kg</v>
      </c>
      <c r="H146" s="19" cm="1">
        <f t="array" ref="H146">Common_InputFunctions.Utility_DisplayArrayInTable(Scope3_SourceData.Scope3_Feed_Data(), Table_SourceData_Scope3_Feed[[#Headers],[Category]], -1, 2)</f>
        <v>0.254</v>
      </c>
      <c r="I146" s="19" t="str" cm="1">
        <f t="array" ref="I146">Common_InputFunctions.Utility_DisplayArrayInTable(Scope3_SourceData.Scope3_Feed_Data(), Table_SourceData_Scope3_Feed[[#Headers],[Category]], -1, 2)</f>
        <v>at market</v>
      </c>
      <c r="J146" s="19" t="s">
        <v>1446</v>
      </c>
      <c r="O146" s="19" t="str">
        <f>Table_SourceData_Scope3_Feed[[#This Row],[Product]]</f>
        <v>Pasture hay</v>
      </c>
      <c r="P146" s="19" t="str">
        <f>Table_SourceData_Scope3_Feed[[#This Row],[Region of origin]]</f>
        <v>QLD</v>
      </c>
    </row>
    <row r="147" spans="1:17" ht="20.100000000000001" customHeight="1" x14ac:dyDescent="0.25">
      <c r="A147"/>
      <c r="D147" s="19" t="str" cm="1">
        <f t="array" ref="D147">Common_InputFunctions.Utility_DisplayArrayInTable(Scope3_SourceData.Scope3_Feed_Data(), Table_SourceData_Scope3_Feed[[#Headers],[Category]], -1, 2)</f>
        <v>Hay</v>
      </c>
      <c r="E147" s="19" t="str" cm="1">
        <f t="array" ref="E147">Common_InputFunctions.Utility_DisplayArrayInTable(Scope3_SourceData.Scope3_Feed_Data(), Table_SourceData_Scope3_Feed[[#Headers],[Category]], -1, 2)</f>
        <v>Pasture hay</v>
      </c>
      <c r="F147" s="19" t="str" cm="1">
        <f t="array" ref="F147">Common_InputFunctions.Utility_DisplayArrayInTable(Scope3_SourceData.Scope3_Feed_Data(), Table_SourceData_Scope3_Feed[[#Headers],[Category]], -1, 2)</f>
        <v>SA</v>
      </c>
      <c r="G147" s="19" t="str" cm="1">
        <f t="array" ref="G147">Common_InputFunctions.Utility_DisplayArrayInTable(Scope3_SourceData.Scope3_Feed_Data(), Table_SourceData_Scope3_Feed[[#Headers],[Category]], -1, 2)</f>
        <v>kg</v>
      </c>
      <c r="H147" s="19" cm="1">
        <f t="array" ref="H147">Common_InputFunctions.Utility_DisplayArrayInTable(Scope3_SourceData.Scope3_Feed_Data(), Table_SourceData_Scope3_Feed[[#Headers],[Category]], -1, 2)</f>
        <v>0.313</v>
      </c>
      <c r="I147" s="19" t="str" cm="1">
        <f t="array" ref="I147">Common_InputFunctions.Utility_DisplayArrayInTable(Scope3_SourceData.Scope3_Feed_Data(), Table_SourceData_Scope3_Feed[[#Headers],[Category]], -1, 2)</f>
        <v>at market</v>
      </c>
      <c r="J147" s="19" t="s">
        <v>1446</v>
      </c>
      <c r="O147" s="19" t="str">
        <f>Table_SourceData_Scope3_Feed[[#This Row],[Product]]</f>
        <v>Pasture hay</v>
      </c>
      <c r="P147" s="19" t="str">
        <f>Table_SourceData_Scope3_Feed[[#This Row],[Region of origin]]</f>
        <v>SA</v>
      </c>
    </row>
    <row r="148" spans="1:17" ht="20.100000000000001" customHeight="1" x14ac:dyDescent="0.25">
      <c r="A148"/>
      <c r="D148" s="19" t="str" cm="1">
        <f t="array" ref="D148">Common_InputFunctions.Utility_DisplayArrayInTable(Scope3_SourceData.Scope3_Feed_Data(), Table_SourceData_Scope3_Feed[[#Headers],[Category]], -1, 2)</f>
        <v>Hay</v>
      </c>
      <c r="E148" s="19" t="str" cm="1">
        <f t="array" ref="E148">Common_InputFunctions.Utility_DisplayArrayInTable(Scope3_SourceData.Scope3_Feed_Data(), Table_SourceData_Scope3_Feed[[#Headers],[Category]], -1, 2)</f>
        <v>Pasture hay</v>
      </c>
      <c r="F148" s="19" t="str" cm="1">
        <f t="array" ref="F148">Common_InputFunctions.Utility_DisplayArrayInTable(Scope3_SourceData.Scope3_Feed_Data(), Table_SourceData_Scope3_Feed[[#Headers],[Category]], -1, 2)</f>
        <v>TAS</v>
      </c>
      <c r="G148" s="19" t="str" cm="1">
        <f t="array" ref="G148">Common_InputFunctions.Utility_DisplayArrayInTable(Scope3_SourceData.Scope3_Feed_Data(), Table_SourceData_Scope3_Feed[[#Headers],[Category]], -1, 2)</f>
        <v>kg</v>
      </c>
      <c r="H148" s="19" cm="1">
        <f t="array" ref="H148">Common_InputFunctions.Utility_DisplayArrayInTable(Scope3_SourceData.Scope3_Feed_Data(), Table_SourceData_Scope3_Feed[[#Headers],[Category]], -1, 2)</f>
        <v>0.39800000000000002</v>
      </c>
      <c r="I148" s="19" t="str" cm="1">
        <f t="array" ref="I148">Common_InputFunctions.Utility_DisplayArrayInTable(Scope3_SourceData.Scope3_Feed_Data(), Table_SourceData_Scope3_Feed[[#Headers],[Category]], -1, 2)</f>
        <v>at market</v>
      </c>
      <c r="J148" s="19" t="s">
        <v>1446</v>
      </c>
      <c r="O148" s="19" t="str">
        <f>Table_SourceData_Scope3_Feed[[#This Row],[Product]]</f>
        <v>Pasture hay</v>
      </c>
      <c r="P148" s="19" t="str">
        <f>Table_SourceData_Scope3_Feed[[#This Row],[Region of origin]]</f>
        <v>TAS</v>
      </c>
    </row>
    <row r="149" spans="1:17" ht="20.100000000000001" customHeight="1" x14ac:dyDescent="0.25">
      <c r="A149"/>
      <c r="D149" s="19" t="str" cm="1">
        <f t="array" ref="D149">Common_InputFunctions.Utility_DisplayArrayInTable(Scope3_SourceData.Scope3_Feed_Data(), Table_SourceData_Scope3_Feed[[#Headers],[Category]], -1, 2)</f>
        <v>Hay</v>
      </c>
      <c r="E149" s="19" t="str" cm="1">
        <f t="array" ref="E149">Common_InputFunctions.Utility_DisplayArrayInTable(Scope3_SourceData.Scope3_Feed_Data(), Table_SourceData_Scope3_Feed[[#Headers],[Category]], -1, 2)</f>
        <v>Pasture hay</v>
      </c>
      <c r="F149" s="19" t="str" cm="1">
        <f t="array" ref="F149">Common_InputFunctions.Utility_DisplayArrayInTable(Scope3_SourceData.Scope3_Feed_Data(), Table_SourceData_Scope3_Feed[[#Headers],[Category]], -1, 2)</f>
        <v>VIC</v>
      </c>
      <c r="G149" s="19" t="str" cm="1">
        <f t="array" ref="G149">Common_InputFunctions.Utility_DisplayArrayInTable(Scope3_SourceData.Scope3_Feed_Data(), Table_SourceData_Scope3_Feed[[#Headers],[Category]], -1, 2)</f>
        <v>kg</v>
      </c>
      <c r="H149" s="19" cm="1">
        <f t="array" ref="H149">Common_InputFunctions.Utility_DisplayArrayInTable(Scope3_SourceData.Scope3_Feed_Data(), Table_SourceData_Scope3_Feed[[#Headers],[Category]], -1, 2)</f>
        <v>0.34499999999999997</v>
      </c>
      <c r="I149" s="19" t="str" cm="1">
        <f t="array" ref="I149">Common_InputFunctions.Utility_DisplayArrayInTable(Scope3_SourceData.Scope3_Feed_Data(), Table_SourceData_Scope3_Feed[[#Headers],[Category]], -1, 2)</f>
        <v>at market</v>
      </c>
      <c r="J149" s="19" t="s">
        <v>1446</v>
      </c>
      <c r="O149" s="19" t="str">
        <f>Table_SourceData_Scope3_Feed[[#This Row],[Product]]</f>
        <v>Pasture hay</v>
      </c>
      <c r="P149" s="19" t="str">
        <f>Table_SourceData_Scope3_Feed[[#This Row],[Region of origin]]</f>
        <v>VIC</v>
      </c>
    </row>
    <row r="150" spans="1:17" ht="20.100000000000001" customHeight="1" x14ac:dyDescent="0.25">
      <c r="A150"/>
      <c r="D150" s="19" t="str" cm="1">
        <f t="array" ref="D150">Common_InputFunctions.Utility_DisplayArrayInTable(Scope3_SourceData.Scope3_Feed_Data(), Table_SourceData_Scope3_Feed[[#Headers],[Category]], -1, 2)</f>
        <v>Hay</v>
      </c>
      <c r="E150" s="19" t="str" cm="1">
        <f t="array" ref="E150">Common_InputFunctions.Utility_DisplayArrayInTable(Scope3_SourceData.Scope3_Feed_Data(), Table_SourceData_Scope3_Feed[[#Headers],[Category]], -1, 2)</f>
        <v>Pasture hay</v>
      </c>
      <c r="F150" s="19" t="str" cm="1">
        <f t="array" ref="F150">Common_InputFunctions.Utility_DisplayArrayInTable(Scope3_SourceData.Scope3_Feed_Data(), Table_SourceData_Scope3_Feed[[#Headers],[Category]], -1, 2)</f>
        <v>WA</v>
      </c>
      <c r="G150" s="19" t="str" cm="1">
        <f t="array" ref="G150">Common_InputFunctions.Utility_DisplayArrayInTable(Scope3_SourceData.Scope3_Feed_Data(), Table_SourceData_Scope3_Feed[[#Headers],[Category]], -1, 2)</f>
        <v>kg</v>
      </c>
      <c r="H150" s="19" cm="1">
        <f t="array" ref="H150">Common_InputFunctions.Utility_DisplayArrayInTable(Scope3_SourceData.Scope3_Feed_Data(), Table_SourceData_Scope3_Feed[[#Headers],[Category]], -1, 2)</f>
        <v>0.36799999999999999</v>
      </c>
      <c r="I150" s="19" t="str" cm="1">
        <f t="array" ref="I150">Common_InputFunctions.Utility_DisplayArrayInTable(Scope3_SourceData.Scope3_Feed_Data(), Table_SourceData_Scope3_Feed[[#Headers],[Category]], -1, 2)</f>
        <v>at market</v>
      </c>
      <c r="J150" s="19" t="s">
        <v>1446</v>
      </c>
      <c r="L150" s="277" t="s">
        <v>131</v>
      </c>
      <c r="M150" s="277" t="s">
        <v>1444</v>
      </c>
      <c r="N150" s="1" t="str">
        <f>"Table_ProductRegions_" &amp; SUBSTITUTE(SUBSTITUTE(SUBSTITUTE(SUBSTITUTE(L151, " ", ""), ",", ""), "(", ""), ")", "")</f>
        <v>Table_ProductRegions_Canolameal</v>
      </c>
      <c r="O150" s="19" t="str">
        <f>Table_SourceData_Scope3_Feed[[#This Row],[Product]]</f>
        <v>Pasture hay</v>
      </c>
      <c r="P150" s="19" t="str">
        <f>Table_SourceData_Scope3_Feed[[#This Row],[Region of origin]]</f>
        <v>WA</v>
      </c>
    </row>
    <row r="151" spans="1:17" ht="20.100000000000001" customHeight="1" x14ac:dyDescent="0.25">
      <c r="A151"/>
      <c r="D151" s="19" t="str" cm="1">
        <f t="array" ref="D151">Common_InputFunctions.Utility_DisplayArrayInTable(Scope3_SourceData.Scope3_Feed_Data(), Table_SourceData_Scope3_Feed[[#Headers],[Category]], -1, 2)</f>
        <v>Meal</v>
      </c>
      <c r="E151" s="19" t="str" cm="1">
        <f t="array" ref="E151">Common_InputFunctions.Utility_DisplayArrayInTable(Scope3_SourceData.Scope3_Feed_Data(), Table_SourceData_Scope3_Feed[[#Headers],[Category]], -1, 2)</f>
        <v>Canola meal</v>
      </c>
      <c r="F151" s="19" t="str" cm="1">
        <f t="array" ref="F151">Common_InputFunctions.Utility_DisplayArrayInTable(Scope3_SourceData.Scope3_Feed_Data(), Table_SourceData_Scope3_Feed[[#Headers],[Category]], -1, 2)</f>
        <v>Australia</v>
      </c>
      <c r="G151" s="19" t="str" cm="1">
        <f t="array" ref="G151">Common_InputFunctions.Utility_DisplayArrayInTable(Scope3_SourceData.Scope3_Feed_Data(), Table_SourceData_Scope3_Feed[[#Headers],[Category]], -1, 2)</f>
        <v>kg</v>
      </c>
      <c r="H151" s="19" cm="1">
        <f t="array" ref="H151">Common_InputFunctions.Utility_DisplayArrayInTable(Scope3_SourceData.Scope3_Feed_Data(), Table_SourceData_Scope3_Feed[[#Headers],[Category]], -1, 2)</f>
        <v>0.24399999999999999</v>
      </c>
      <c r="I151" s="19" t="str" cm="1">
        <f t="array" ref="I151">Common_InputFunctions.Utility_DisplayArrayInTable(Scope3_SourceData.Scope3_Feed_Data(), Table_SourceData_Scope3_Feed[[#Headers],[Category]], -1, 2)</f>
        <v>at market</v>
      </c>
      <c r="J151" s="19" t="s">
        <v>1446</v>
      </c>
      <c r="L151" s="1" t="str">
        <f>Table_SourceData_Scope3_Feed[[#This Row],[Product]]</f>
        <v>Canola meal</v>
      </c>
      <c r="M151" s="1" t="str">
        <f>Table_SourceData_Scope3_Feed[[#This Row],[Region of origin]]</f>
        <v>Australia</v>
      </c>
      <c r="O151" s="19" t="s">
        <v>131</v>
      </c>
      <c r="P151" s="19" t="s">
        <v>1444</v>
      </c>
      <c r="Q151" s="1" t="str">
        <f>"Table_ProductRegions_" &amp; SUBSTITUTE(SUBSTITUTE(SUBSTITUTE(SUBSTITUTE(O152, " ", ""), ",", ""), "(", ""), ")", "")</f>
        <v>Table_ProductRegions_Meatmeal</v>
      </c>
    </row>
    <row r="152" spans="1:17" ht="20.100000000000001" customHeight="1" x14ac:dyDescent="0.25">
      <c r="A152"/>
      <c r="D152" s="19" t="str" cm="1">
        <f t="array" ref="D152">Common_InputFunctions.Utility_DisplayArrayInTable(Scope3_SourceData.Scope3_Feed_Data(), Table_SourceData_Scope3_Feed[[#Headers],[Category]], -1, 2)</f>
        <v>Meal</v>
      </c>
      <c r="E152" s="19" t="str" cm="1">
        <f t="array" ref="E152">Common_InputFunctions.Utility_DisplayArrayInTable(Scope3_SourceData.Scope3_Feed_Data(), Table_SourceData_Scope3_Feed[[#Headers],[Category]], -1, 2)</f>
        <v>Meat meal</v>
      </c>
      <c r="F152" s="19" t="str" cm="1">
        <f t="array" ref="F152">Common_InputFunctions.Utility_DisplayArrayInTable(Scope3_SourceData.Scope3_Feed_Data(), Table_SourceData_Scope3_Feed[[#Headers],[Category]], -1, 2)</f>
        <v>Australia</v>
      </c>
      <c r="G152" s="19" t="str" cm="1">
        <f t="array" ref="G152">Common_InputFunctions.Utility_DisplayArrayInTable(Scope3_SourceData.Scope3_Feed_Data(), Table_SourceData_Scope3_Feed[[#Headers],[Category]], -1, 2)</f>
        <v>kg</v>
      </c>
      <c r="H152" s="19" cm="1">
        <f t="array" ref="H152">Common_InputFunctions.Utility_DisplayArrayInTable(Scope3_SourceData.Scope3_Feed_Data(), Table_SourceData_Scope3_Feed[[#Headers],[Category]], -1, 2)</f>
        <v>0.40799999999999997</v>
      </c>
      <c r="I152" s="19" t="str" cm="1">
        <f t="array" ref="I152">Common_InputFunctions.Utility_DisplayArrayInTable(Scope3_SourceData.Scope3_Feed_Data(), Table_SourceData_Scope3_Feed[[#Headers],[Category]], -1, 2)</f>
        <v>at market</v>
      </c>
      <c r="J152" s="19" t="s">
        <v>1446</v>
      </c>
      <c r="L152" s="19" t="s">
        <v>131</v>
      </c>
      <c r="M152" s="19" t="s">
        <v>1444</v>
      </c>
      <c r="N152" s="1" t="str">
        <f>"Table_ProductRegions_" &amp; SUBSTITUTE(SUBSTITUTE(SUBSTITUTE(SUBSTITUTE(L153, " ", ""), ",", ""), "(", ""), ")", "")</f>
        <v>Table_ProductRegions_Soybeanmeal</v>
      </c>
      <c r="O152" s="19" t="str">
        <f>Table_SourceData_Scope3_Feed[[#This Row],[Product]]</f>
        <v>Meat meal</v>
      </c>
      <c r="P152" s="19" t="str">
        <f>Table_SourceData_Scope3_Feed[[#This Row],[Region of origin]]</f>
        <v>Australia</v>
      </c>
    </row>
    <row r="153" spans="1:17" ht="20.100000000000001" customHeight="1" x14ac:dyDescent="0.25">
      <c r="A153"/>
      <c r="D153" s="19" t="str" cm="1">
        <f t="array" ref="D153">Common_InputFunctions.Utility_DisplayArrayInTable(Scope3_SourceData.Scope3_Feed_Data(), Table_SourceData_Scope3_Feed[[#Headers],[Category]], -1, 2)</f>
        <v>Meal</v>
      </c>
      <c r="E153" s="19" t="str" cm="1">
        <f t="array" ref="E153">Common_InputFunctions.Utility_DisplayArrayInTable(Scope3_SourceData.Scope3_Feed_Data(), Table_SourceData_Scope3_Feed[[#Headers],[Category]], -1, 2)</f>
        <v>Soybean meal</v>
      </c>
      <c r="F153" s="19" t="str" cm="1">
        <f t="array" ref="F153">Common_InputFunctions.Utility_DisplayArrayInTable(Scope3_SourceData.Scope3_Feed_Data(), Table_SourceData_Scope3_Feed[[#Headers],[Category]], -1, 2)</f>
        <v>Brazil</v>
      </c>
      <c r="G153" s="19" t="str" cm="1">
        <f t="array" ref="G153">Common_InputFunctions.Utility_DisplayArrayInTable(Scope3_SourceData.Scope3_Feed_Data(), Table_SourceData_Scope3_Feed[[#Headers],[Category]], -1, 2)</f>
        <v>kg</v>
      </c>
      <c r="H153" s="19" cm="1">
        <f t="array" ref="H153">Common_InputFunctions.Utility_DisplayArrayInTable(Scope3_SourceData.Scope3_Feed_Data(), Table_SourceData_Scope3_Feed[[#Headers],[Category]], -1, 2)</f>
        <v>0.42599999999999999</v>
      </c>
      <c r="I153" s="19" t="str" cm="1">
        <f t="array" ref="I153">Common_InputFunctions.Utility_DisplayArrayInTable(Scope3_SourceData.Scope3_Feed_Data(), Table_SourceData_Scope3_Feed[[#Headers],[Category]], -1, 2)</f>
        <v>at market</v>
      </c>
      <c r="J153" s="19" t="s">
        <v>1446</v>
      </c>
      <c r="L153" s="19" t="str">
        <f>Table_SourceData_Scope3_Feed[[#This Row],[Product]]</f>
        <v>Soybean meal</v>
      </c>
      <c r="M153" s="19" t="str">
        <f>Table_SourceData_Scope3_Feed[[#This Row],[Region of origin]]</f>
        <v>Brazil</v>
      </c>
      <c r="O153" s="19" t="s">
        <v>131</v>
      </c>
      <c r="P153" s="19" t="s">
        <v>1444</v>
      </c>
      <c r="Q153" s="1" t="str">
        <f>"Table_ProductRegions_" &amp; SUBSTITUTE(SUBSTITUTE(SUBSTITUTE(SUBSTITUTE(O154, " ", ""), ",", ""), "(", ""), ")", "")</f>
        <v>Table_ProductRegions_Wheatbran</v>
      </c>
    </row>
    <row r="154" spans="1:17" ht="20.100000000000001" customHeight="1" x14ac:dyDescent="0.25">
      <c r="A154"/>
      <c r="D154" s="19" t="str" cm="1">
        <f t="array" ref="D154">Common_InputFunctions.Utility_DisplayArrayInTable(Scope3_SourceData.Scope3_Feed_Data(), Table_SourceData_Scope3_Feed[[#Headers],[Category]], -1, 2)</f>
        <v>Meal</v>
      </c>
      <c r="E154" s="19" t="str" cm="1">
        <f t="array" ref="E154">Common_InputFunctions.Utility_DisplayArrayInTable(Scope3_SourceData.Scope3_Feed_Data(), Table_SourceData_Scope3_Feed[[#Headers],[Category]], -1, 2)</f>
        <v>Wheat bran</v>
      </c>
      <c r="F154" s="19" t="str" cm="1">
        <f t="array" ref="F154">Common_InputFunctions.Utility_DisplayArrayInTable(Scope3_SourceData.Scope3_Feed_Data(), Table_SourceData_Scope3_Feed[[#Headers],[Category]], -1, 2)</f>
        <v>Australia</v>
      </c>
      <c r="G154" s="19" t="str" cm="1">
        <f t="array" ref="G154">Common_InputFunctions.Utility_DisplayArrayInTable(Scope3_SourceData.Scope3_Feed_Data(), Table_SourceData_Scope3_Feed[[#Headers],[Category]], -1, 2)</f>
        <v>kg</v>
      </c>
      <c r="H154" s="19" cm="1">
        <f t="array" ref="H154">Common_InputFunctions.Utility_DisplayArrayInTable(Scope3_SourceData.Scope3_Feed_Data(), Table_SourceData_Scope3_Feed[[#Headers],[Category]], -1, 2)</f>
        <v>0.19600000000000001</v>
      </c>
      <c r="I154" s="19" t="str" cm="1">
        <f t="array" ref="I154">Common_InputFunctions.Utility_DisplayArrayInTable(Scope3_SourceData.Scope3_Feed_Data(), Table_SourceData_Scope3_Feed[[#Headers],[Category]], -1, 2)</f>
        <v>at market</v>
      </c>
      <c r="J154" s="19" t="s">
        <v>1446</v>
      </c>
      <c r="L154" s="19" t="s">
        <v>131</v>
      </c>
      <c r="M154" s="19" t="s">
        <v>1444</v>
      </c>
      <c r="N154" s="1" t="str">
        <f>"Table_ProductRegions_" &amp; SUBSTITUTE(SUBSTITUTE(SUBSTITUTE(SUBSTITUTE(L155, " ", ""), ",", ""), "(", ""), ")", "")</f>
        <v>Table_ProductRegions_Bentonite</v>
      </c>
      <c r="O154" s="19" t="str">
        <f>Table_SourceData_Scope3_Feed[[#This Row],[Product]]</f>
        <v>Wheat bran</v>
      </c>
      <c r="P154" s="19" t="str">
        <f>Table_SourceData_Scope3_Feed[[#This Row],[Region of origin]]</f>
        <v>Australia</v>
      </c>
    </row>
    <row r="155" spans="1:17" ht="20.100000000000001" customHeight="1" x14ac:dyDescent="0.25">
      <c r="A155"/>
      <c r="D155" s="1" t="str" cm="1">
        <f t="array" ref="D155">Common_InputFunctions.Utility_DisplayArrayInTable(Scope3_SourceData.Scope3_Feed_Data(), Table_SourceData_Scope3_Feed[[#Headers],[Category]], -5, 2)</f>
        <v>Other</v>
      </c>
      <c r="E155" s="1" t="str" cm="1">
        <f t="array" ref="E155">Common_InputFunctions.Utility_DisplayArrayInTable(Scope3_SourceData.Scope3_Feed_Data(), Table_SourceData_Scope3_Feed[[#Headers],[Category]], -5, 2)</f>
        <v>Bentonite</v>
      </c>
      <c r="F155" s="1" t="str" cm="1">
        <f t="array" ref="F155">Common_InputFunctions.Utility_DisplayArrayInTable(Scope3_SourceData.Scope3_Feed_Data(), Table_SourceData_Scope3_Feed[[#Headers],[Category]], -5, 2)</f>
        <v>Australia</v>
      </c>
      <c r="G155" s="1" t="str" cm="1">
        <f t="array" ref="G155">Common_InputFunctions.Utility_DisplayArrayInTable(Scope3_SourceData.Scope3_Feed_Data(), Table_SourceData_Scope3_Feed[[#Headers],[Category]], -5, 2)</f>
        <v>kg</v>
      </c>
      <c r="H155" s="1" cm="1">
        <f t="array" ref="H155">Common_InputFunctions.Utility_DisplayArrayInTable(Scope3_SourceData.Scope3_Feed_Data(), Table_SourceData_Scope3_Feed[[#Headers],[Category]], -5, 2)</f>
        <v>6.5199999999999994E-2</v>
      </c>
      <c r="I155" s="1" t="str" cm="1">
        <f t="array" ref="I155">Common_InputFunctions.Utility_DisplayArrayInTable(Scope3_SourceData.Scope3_Feed_Data(), Table_SourceData_Scope3_Feed[[#Headers],[Category]], -5, 2)</f>
        <v>at market</v>
      </c>
      <c r="J155" s="19" t="s">
        <v>1446</v>
      </c>
      <c r="L155" s="19" t="str">
        <f>Table_SourceData_Scope3_Feed[[#This Row],[Product]]</f>
        <v>Bentonite</v>
      </c>
      <c r="M155" s="19" t="str">
        <f>Table_SourceData_Scope3_Feed[[#This Row],[Region of origin]]</f>
        <v>Australia</v>
      </c>
      <c r="O155" s="19" t="s">
        <v>131</v>
      </c>
      <c r="P155" s="19" t="s">
        <v>1444</v>
      </c>
      <c r="Q155" s="1" t="str">
        <f>"Table_ProductRegions_" &amp; SUBSTITUTE(SUBSTITUTE(SUBSTITUTE(SUBSTITUTE(O156, " ", ""), ",", ""), "(", ""), ")", "")</f>
        <v>Table_ProductRegions_Canolaoil</v>
      </c>
    </row>
    <row r="156" spans="1:17" ht="20.100000000000001" customHeight="1" x14ac:dyDescent="0.25">
      <c r="A156"/>
      <c r="D156" s="1" t="str" cm="1">
        <f t="array" ref="D156">Common_InputFunctions.Utility_DisplayArrayInTable(Scope3_SourceData.Scope3_Feed_Data(), Table_SourceData_Scope3_Feed[[#Headers],[Category]], -5, 2)</f>
        <v>Other</v>
      </c>
      <c r="E156" s="1" t="str" cm="1">
        <f t="array" ref="E156">Common_InputFunctions.Utility_DisplayArrayInTable(Scope3_SourceData.Scope3_Feed_Data(), Table_SourceData_Scope3_Feed[[#Headers],[Category]], -5, 2)</f>
        <v>Canola oil</v>
      </c>
      <c r="F156" s="1" t="str" cm="1">
        <f t="array" ref="F156">Common_InputFunctions.Utility_DisplayArrayInTable(Scope3_SourceData.Scope3_Feed_Data(), Table_SourceData_Scope3_Feed[[#Headers],[Category]], -5, 2)</f>
        <v>Australia</v>
      </c>
      <c r="G156" s="1" t="str" cm="1">
        <f t="array" ref="G156">Common_InputFunctions.Utility_DisplayArrayInTable(Scope3_SourceData.Scope3_Feed_Data(), Table_SourceData_Scope3_Feed[[#Headers],[Category]], -5, 2)</f>
        <v>kg</v>
      </c>
      <c r="H156" s="1" cm="1">
        <f t="array" ref="H156">Common_InputFunctions.Utility_DisplayArrayInTable(Scope3_SourceData.Scope3_Feed_Data(), Table_SourceData_Scope3_Feed[[#Headers],[Category]], -5, 2)</f>
        <v>0.87</v>
      </c>
      <c r="I156" s="1" t="str" cm="1">
        <f t="array" ref="I156">Common_InputFunctions.Utility_DisplayArrayInTable(Scope3_SourceData.Scope3_Feed_Data(), Table_SourceData_Scope3_Feed[[#Headers],[Category]], -5, 2)</f>
        <v>at market</v>
      </c>
      <c r="J156" s="19" t="s">
        <v>1446</v>
      </c>
      <c r="L156" s="19" t="s">
        <v>131</v>
      </c>
      <c r="M156" s="19" t="s">
        <v>1444</v>
      </c>
      <c r="N156" s="1" t="str">
        <f>"Table_ProductRegions_" &amp; SUBSTITUTE(SUBSTITUTE(SUBSTITUTE(SUBSTITUTE(L157, " ", ""), ",", ""), "(", ""), ")", "")</f>
        <v>Table_ProductRegions_Cottonseed</v>
      </c>
      <c r="O156" s="19" t="str">
        <f>Table_SourceData_Scope3_Feed[[#This Row],[Product]]</f>
        <v>Canola oil</v>
      </c>
      <c r="P156" s="19" t="str">
        <f>Table_SourceData_Scope3_Feed[[#This Row],[Region of origin]]</f>
        <v>Australia</v>
      </c>
    </row>
    <row r="157" spans="1:17" ht="20.100000000000001" customHeight="1" x14ac:dyDescent="0.25">
      <c r="A157"/>
      <c r="D157" s="1" t="str" cm="1">
        <f t="array" ref="D157">Common_InputFunctions.Utility_DisplayArrayInTable(Scope3_SourceData.Scope3_Feed_Data(), Table_SourceData_Scope3_Feed[[#Headers],[Category]], -5, 2)</f>
        <v>Other</v>
      </c>
      <c r="E157" s="1" t="str" cm="1">
        <f t="array" ref="E157">Common_InputFunctions.Utility_DisplayArrayInTable(Scope3_SourceData.Scope3_Feed_Data(), Table_SourceData_Scope3_Feed[[#Headers],[Category]], -5, 2)</f>
        <v>Cotton seed</v>
      </c>
      <c r="F157" s="1" t="str" cm="1">
        <f t="array" ref="F157">Common_InputFunctions.Utility_DisplayArrayInTable(Scope3_SourceData.Scope3_Feed_Data(), Table_SourceData_Scope3_Feed[[#Headers],[Category]], -5, 2)</f>
        <v>Australia</v>
      </c>
      <c r="G157" s="1" t="str" cm="1">
        <f t="array" ref="G157">Common_InputFunctions.Utility_DisplayArrayInTable(Scope3_SourceData.Scope3_Feed_Data(), Table_SourceData_Scope3_Feed[[#Headers],[Category]], -5, 2)</f>
        <v>kg</v>
      </c>
      <c r="H157" s="1" cm="1">
        <f t="array" ref="H157">Common_InputFunctions.Utility_DisplayArrayInTable(Scope3_SourceData.Scope3_Feed_Data(), Table_SourceData_Scope3_Feed[[#Headers],[Category]], -5, 2)</f>
        <v>0.19700000000000001</v>
      </c>
      <c r="I157" s="1" t="str" cm="1">
        <f t="array" ref="I157">Common_InputFunctions.Utility_DisplayArrayInTable(Scope3_SourceData.Scope3_Feed_Data(), Table_SourceData_Scope3_Feed[[#Headers],[Category]], -5, 2)</f>
        <v>at market</v>
      </c>
      <c r="J157" s="19" t="s">
        <v>1446</v>
      </c>
      <c r="L157" s="19" t="str">
        <f>Table_SourceData_Scope3_Feed[[#This Row],[Product]]</f>
        <v>Cotton seed</v>
      </c>
      <c r="M157" s="19" t="str">
        <f>Table_SourceData_Scope3_Feed[[#This Row],[Region of origin]]</f>
        <v>Australia</v>
      </c>
      <c r="O157" s="19" t="s">
        <v>131</v>
      </c>
      <c r="P157" s="19" t="s">
        <v>1444</v>
      </c>
      <c r="Q157" s="1" t="str">
        <f>"Table_ProductRegions_" &amp; SUBSTITUTE(SUBSTITUTE(SUBSTITUTE(SUBSTITUTE(O158, " ", ""), ",", ""), "(", ""), ")", "")</f>
        <v>Table_ProductRegions_Molasses</v>
      </c>
    </row>
    <row r="158" spans="1:17" ht="20.100000000000001" customHeight="1" x14ac:dyDescent="0.25">
      <c r="A158"/>
      <c r="D158" s="19" t="str" cm="1">
        <f t="array" ref="D158">Common_InputFunctions.Utility_DisplayArrayInTable(Scope3_SourceData.Scope3_Feed_Data(), Table_SourceData_Scope3_Feed[[#Headers],[Category]], -8, 2)</f>
        <v>Other</v>
      </c>
      <c r="E158" s="19" t="str" cm="1">
        <f t="array" ref="E158">Common_InputFunctions.Utility_DisplayArrayInTable(Scope3_SourceData.Scope3_Feed_Data(), Table_SourceData_Scope3_Feed[[#Headers],[Category]], -8, 2)</f>
        <v>Molasses</v>
      </c>
      <c r="F158" s="19" t="str" cm="1">
        <f t="array" ref="F158">Common_InputFunctions.Utility_DisplayArrayInTable(Scope3_SourceData.Scope3_Feed_Data(), Table_SourceData_Scope3_Feed[[#Headers],[Category]], -8, 2)</f>
        <v>QLD</v>
      </c>
      <c r="G158" s="19" t="str" cm="1">
        <f t="array" ref="G158">Common_InputFunctions.Utility_DisplayArrayInTable(Scope3_SourceData.Scope3_Feed_Data(), Table_SourceData_Scope3_Feed[[#Headers],[Category]], -8, 2)</f>
        <v>kg</v>
      </c>
      <c r="H158" s="19" cm="1">
        <f t="array" ref="H158">Common_InputFunctions.Utility_DisplayArrayInTable(Scope3_SourceData.Scope3_Feed_Data(), Table_SourceData_Scope3_Feed[[#Headers],[Category]], -8, 2)</f>
        <v>0.184</v>
      </c>
      <c r="I158" s="19" t="str" cm="1">
        <f t="array" ref="I158">Common_InputFunctions.Utility_DisplayArrayInTable(Scope3_SourceData.Scope3_Feed_Data(), Table_SourceData_Scope3_Feed[[#Headers],[Category]], -8, 2)</f>
        <v>at market</v>
      </c>
      <c r="J158" s="19"/>
      <c r="O158" s="19" t="str">
        <f>Table_SourceData_Scope3_Feed[[#This Row],[Product]]</f>
        <v>Molasses</v>
      </c>
      <c r="P158" s="19" t="str">
        <f>Table_SourceData_Scope3_Feed[[#This Row],[Region of origin]]</f>
        <v>QLD</v>
      </c>
    </row>
    <row r="159" spans="1:17" ht="20.100000000000001" customHeight="1" x14ac:dyDescent="0.25">
      <c r="A159"/>
    </row>
    <row r="160" spans="1:17" ht="20.100000000000001" customHeight="1" x14ac:dyDescent="0.25">
      <c r="A160"/>
    </row>
    <row r="161" spans="4:14" ht="20.100000000000001" customHeight="1" x14ac:dyDescent="0.25">
      <c r="D161" s="19" t="s">
        <v>1439</v>
      </c>
      <c r="E161" s="19" t="s">
        <v>131</v>
      </c>
      <c r="F161" s="19" t="s">
        <v>1440</v>
      </c>
      <c r="G161" s="19" t="s">
        <v>1441</v>
      </c>
      <c r="H161" s="19" t="s">
        <v>1442</v>
      </c>
      <c r="I161" s="19" t="s">
        <v>1443</v>
      </c>
      <c r="J161" s="19" t="s">
        <v>834</v>
      </c>
    </row>
    <row r="162" spans="4:14" ht="20.100000000000001" customHeight="1" x14ac:dyDescent="0.25">
      <c r="D162" s="19" t="str" cm="1">
        <f t="array" ref="D162">Common_InputFunctions.Utility_DisplayArrayInTable(Scope3_SourceData.Scope3_Feed_Data(), Table_SourceData_Scope3_MixedRations[[#Headers],[Category]], -66, 2)</f>
        <v>Mixed rations</v>
      </c>
      <c r="E162" s="19" t="str" cm="1">
        <f t="array" ref="E162">Common_InputFunctions.Utility_DisplayArrayInTable(Scope3_SourceData.Scope3_Feed_Data(), Table_SourceData_Scope3_MixedRations[[#Headers],[Category]], -66, 2)</f>
        <v>Feed for chickens</v>
      </c>
      <c r="F162" s="19" t="str" cm="1">
        <f t="array" ref="F162">Common_InputFunctions.Utility_DisplayArrayInTable(Scope3_SourceData.Scope3_Feed_Data(), Table_SourceData_Scope3_MixedRations[[#Headers],[Category]], -66, 2)</f>
        <v>Australia</v>
      </c>
      <c r="G162" s="19" t="str" cm="1">
        <f t="array" ref="G162">Common_InputFunctions.Utility_DisplayArrayInTable(Scope3_SourceData.Scope3_Feed_Data(), Table_SourceData_Scope3_MixedRations[[#Headers],[Category]], -66, 2)</f>
        <v>kg</v>
      </c>
      <c r="H162" s="19" cm="1">
        <f t="array" ref="H162">Common_InputFunctions.Utility_DisplayArrayInTable(Scope3_SourceData.Scope3_Feed_Data(), Table_SourceData_Scope3_MixedRations[[#Headers],[Category]], -66, 2)</f>
        <v>0.59399999999999997</v>
      </c>
      <c r="I162" s="19" t="str" cm="1">
        <f t="array" ref="I162">Common_InputFunctions.Utility_DisplayArrayInTable(Scope3_SourceData.Scope3_Feed_Data(), Table_SourceData_Scope3_MixedRations[[#Headers],[Category]], -66, 2)</f>
        <v>at market</v>
      </c>
      <c r="J162" s="19" t="s">
        <v>1446</v>
      </c>
    </row>
    <row r="163" spans="4:14" ht="20.100000000000001" customHeight="1" x14ac:dyDescent="0.25">
      <c r="D163" s="19" t="str" cm="1">
        <f t="array" ref="D163">Common_InputFunctions.Utility_DisplayArrayInTable(Scope3_SourceData.Scope3_Feed_Data(), Table_SourceData_Scope3_MixedRations[[#Headers],[Category]], -66, 2)</f>
        <v>Mixed rations</v>
      </c>
      <c r="E163" s="19" t="str" cm="1">
        <f t="array" ref="E163">Common_InputFunctions.Utility_DisplayArrayInTable(Scope3_SourceData.Scope3_Feed_Data(), Table_SourceData_Scope3_MixedRations[[#Headers],[Category]], -66, 2)</f>
        <v>Feed for dairy calves</v>
      </c>
      <c r="F163" s="19" t="str" cm="1">
        <f t="array" ref="F163">Common_InputFunctions.Utility_DisplayArrayInTable(Scope3_SourceData.Scope3_Feed_Data(), Table_SourceData_Scope3_MixedRations[[#Headers],[Category]], -66, 2)</f>
        <v>Australia</v>
      </c>
      <c r="G163" s="19" t="str" cm="1">
        <f t="array" ref="G163">Common_InputFunctions.Utility_DisplayArrayInTable(Scope3_SourceData.Scope3_Feed_Data(), Table_SourceData_Scope3_MixedRations[[#Headers],[Category]], -66, 2)</f>
        <v>kg</v>
      </c>
      <c r="H163" s="19" cm="1">
        <f t="array" ref="H163">Common_InputFunctions.Utility_DisplayArrayInTable(Scope3_SourceData.Scope3_Feed_Data(), Table_SourceData_Scope3_MixedRations[[#Headers],[Category]], -66, 2)</f>
        <v>0.41899999999999998</v>
      </c>
      <c r="I163" s="19" t="str" cm="1">
        <f t="array" ref="I163">Common_InputFunctions.Utility_DisplayArrayInTable(Scope3_SourceData.Scope3_Feed_Data(), Table_SourceData_Scope3_MixedRations[[#Headers],[Category]], -66, 2)</f>
        <v>at market</v>
      </c>
      <c r="J163" s="19" t="s">
        <v>1446</v>
      </c>
    </row>
    <row r="164" spans="4:14" ht="20.100000000000001" customHeight="1" x14ac:dyDescent="0.25">
      <c r="D164" s="19" t="str" cm="1">
        <f t="array" ref="D164">Common_InputFunctions.Utility_DisplayArrayInTable(Scope3_SourceData.Scope3_Feed_Data(), Table_SourceData_Scope3_MixedRations[[#Headers],[Category]], -66, 2)</f>
        <v>Mixed rations</v>
      </c>
      <c r="E164" s="19" t="str" cm="1">
        <f t="array" ref="E164">Common_InputFunctions.Utility_DisplayArrayInTable(Scope3_SourceData.Scope3_Feed_Data(), Table_SourceData_Scope3_MixedRations[[#Headers],[Category]], -66, 2)</f>
        <v>Feed for dairy cows</v>
      </c>
      <c r="F164" s="19" t="str" cm="1">
        <f t="array" ref="F164">Common_InputFunctions.Utility_DisplayArrayInTable(Scope3_SourceData.Scope3_Feed_Data(), Table_SourceData_Scope3_MixedRations[[#Headers],[Category]], -66, 2)</f>
        <v>Australia</v>
      </c>
      <c r="G164" s="19" t="str" cm="1">
        <f t="array" ref="G164">Common_InputFunctions.Utility_DisplayArrayInTable(Scope3_SourceData.Scope3_Feed_Data(), Table_SourceData_Scope3_MixedRations[[#Headers],[Category]], -66, 2)</f>
        <v>kg</v>
      </c>
      <c r="H164" s="19" cm="1">
        <f t="array" ref="H164">Common_InputFunctions.Utility_DisplayArrayInTable(Scope3_SourceData.Scope3_Feed_Data(), Table_SourceData_Scope3_MixedRations[[#Headers],[Category]], -66, 2)</f>
        <v>0.33300000000000002</v>
      </c>
      <c r="I164" s="19" t="str" cm="1">
        <f t="array" ref="I164">Common_InputFunctions.Utility_DisplayArrayInTable(Scope3_SourceData.Scope3_Feed_Data(), Table_SourceData_Scope3_MixedRations[[#Headers],[Category]], -66, 2)</f>
        <v>at market</v>
      </c>
      <c r="J164" s="19" t="s">
        <v>1446</v>
      </c>
    </row>
    <row r="165" spans="4:14" ht="20.100000000000001" customHeight="1" x14ac:dyDescent="0.25">
      <c r="D165" s="19" t="str" cm="1">
        <f t="array" ref="D165">Common_InputFunctions.Utility_DisplayArrayInTable(Scope3_SourceData.Scope3_Feed_Data(), Table_SourceData_Scope3_MixedRations[[#Headers],[Category]], -66, 2)</f>
        <v>Mixed rations</v>
      </c>
      <c r="E165" s="19" t="str" cm="1">
        <f t="array" ref="E165">Common_InputFunctions.Utility_DisplayArrayInTable(Scope3_SourceData.Scope3_Feed_Data(), Table_SourceData_Scope3_MixedRations[[#Headers],[Category]], -66, 2)</f>
        <v>Feed for pigs</v>
      </c>
      <c r="F165" s="19" t="str" cm="1">
        <f t="array" ref="F165">Common_InputFunctions.Utility_DisplayArrayInTable(Scope3_SourceData.Scope3_Feed_Data(), Table_SourceData_Scope3_MixedRations[[#Headers],[Category]], -66, 2)</f>
        <v>Australia</v>
      </c>
      <c r="G165" s="19" t="str" cm="1">
        <f t="array" ref="G165">Common_InputFunctions.Utility_DisplayArrayInTable(Scope3_SourceData.Scope3_Feed_Data(), Table_SourceData_Scope3_MixedRations[[#Headers],[Category]], -66, 2)</f>
        <v>kg</v>
      </c>
      <c r="H165" s="19" cm="1">
        <f t="array" ref="H165">Common_InputFunctions.Utility_DisplayArrayInTable(Scope3_SourceData.Scope3_Feed_Data(), Table_SourceData_Scope3_MixedRations[[#Headers],[Category]], -66, 2)</f>
        <v>0.40300000000000002</v>
      </c>
      <c r="I165" s="19" t="str" cm="1">
        <f t="array" ref="I165">Common_InputFunctions.Utility_DisplayArrayInTable(Scope3_SourceData.Scope3_Feed_Data(), Table_SourceData_Scope3_MixedRations[[#Headers],[Category]], -66, 2)</f>
        <v>at market</v>
      </c>
      <c r="J165" s="19" t="s">
        <v>1446</v>
      </c>
    </row>
    <row r="166" spans="4:14" ht="20.100000000000001" customHeight="1" x14ac:dyDescent="0.25"/>
    <row r="167" spans="4:14" ht="20.100000000000001" customHeight="1" x14ac:dyDescent="0.25">
      <c r="D167" s="19" t="s">
        <v>1439</v>
      </c>
      <c r="E167" s="19" t="s">
        <v>131</v>
      </c>
      <c r="F167" s="19" t="s">
        <v>1440</v>
      </c>
      <c r="G167" s="19" t="s">
        <v>1441</v>
      </c>
      <c r="H167" s="19" t="s">
        <v>1442</v>
      </c>
      <c r="I167" s="19" t="s">
        <v>1443</v>
      </c>
      <c r="J167" s="19" t="s">
        <v>834</v>
      </c>
    </row>
    <row r="168" spans="4:14" ht="20.100000000000001" customHeight="1" x14ac:dyDescent="0.25">
      <c r="D168" s="19" t="str" cm="1">
        <f t="array" ref="D168">Common_InputFunctions.Utility_DisplayArrayInTable(Scope3_SourceData.Scope3_Feed_Data(), Table_SourceData_Scope3_LickBlocks[[#Headers],[Category]], -73, 2)</f>
        <v>Other</v>
      </c>
      <c r="E168" s="19" t="str" cm="1">
        <f t="array" ref="E168">Common_InputFunctions.Utility_DisplayArrayInTable(Scope3_SourceData.Scope3_Feed_Data(), Table_SourceData_Scope3_LickBlocks[[#Headers],[Category]], -73, 2)</f>
        <v>Lick block, dry season mix</v>
      </c>
      <c r="F168" s="19" t="str" cm="1">
        <f t="array" ref="F168">Common_InputFunctions.Utility_DisplayArrayInTable(Scope3_SourceData.Scope3_Feed_Data(), Table_SourceData_Scope3_LickBlocks[[#Headers],[Category]], -73, 2)</f>
        <v>Australia</v>
      </c>
      <c r="G168" s="19" t="str" cm="1">
        <f t="array" ref="G168">Common_InputFunctions.Utility_DisplayArrayInTable(Scope3_SourceData.Scope3_Feed_Data(), Table_SourceData_Scope3_LickBlocks[[#Headers],[Category]], -73, 2)</f>
        <v>kg</v>
      </c>
      <c r="H168" s="19" cm="1">
        <f t="array" ref="H168">Common_InputFunctions.Utility_DisplayArrayInTable(Scope3_SourceData.Scope3_Feed_Data(), Table_SourceData_Scope3_LickBlocks[[#Headers],[Category]], -73, 2)</f>
        <v>0.88100000000000001</v>
      </c>
      <c r="I168" s="19" t="str" cm="1">
        <f t="array" ref="I168">Common_InputFunctions.Utility_DisplayArrayInTable(Scope3_SourceData.Scope3_Feed_Data(), Table_SourceData_Scope3_LickBlocks[[#Headers],[Category]], -73, 2)</f>
        <v>at market</v>
      </c>
      <c r="J168" s="19" t="s">
        <v>1446</v>
      </c>
    </row>
    <row r="169" spans="4:14" ht="20.100000000000001" customHeight="1" x14ac:dyDescent="0.25">
      <c r="D169" s="19" t="str" cm="1">
        <f t="array" ref="D169">Common_InputFunctions.Utility_DisplayArrayInTable(Scope3_SourceData.Scope3_Feed_Data(), Table_SourceData_Scope3_LickBlocks[[#Headers],[Category]], -73, 2)</f>
        <v>Other</v>
      </c>
      <c r="E169" s="19" t="str" cm="1">
        <f t="array" ref="E169">Common_InputFunctions.Utility_DisplayArrayInTable(Scope3_SourceData.Scope3_Feed_Data(), Table_SourceData_Scope3_LickBlocks[[#Headers],[Category]], -73, 2)</f>
        <v>Lick block, mineral</v>
      </c>
      <c r="F169" s="19" t="str" cm="1">
        <f t="array" ref="F169">Common_InputFunctions.Utility_DisplayArrayInTable(Scope3_SourceData.Scope3_Feed_Data(), Table_SourceData_Scope3_LickBlocks[[#Headers],[Category]], -73, 2)</f>
        <v>Australia</v>
      </c>
      <c r="G169" s="19" t="str" cm="1">
        <f t="array" ref="G169">Common_InputFunctions.Utility_DisplayArrayInTable(Scope3_SourceData.Scope3_Feed_Data(), Table_SourceData_Scope3_LickBlocks[[#Headers],[Category]], -73, 2)</f>
        <v>kg</v>
      </c>
      <c r="H169" s="19" cm="1">
        <f t="array" ref="H169">Common_InputFunctions.Utility_DisplayArrayInTable(Scope3_SourceData.Scope3_Feed_Data(), Table_SourceData_Scope3_LickBlocks[[#Headers],[Category]], -73, 2)</f>
        <v>0.67700000000000005</v>
      </c>
      <c r="I169" s="19" t="str" cm="1">
        <f t="array" ref="I169">Common_InputFunctions.Utility_DisplayArrayInTable(Scope3_SourceData.Scope3_Feed_Data(), Table_SourceData_Scope3_LickBlocks[[#Headers],[Category]], -73, 2)</f>
        <v>at market</v>
      </c>
      <c r="J169" s="19" t="s">
        <v>1446</v>
      </c>
    </row>
    <row r="170" spans="4:14" ht="20.100000000000001" customHeight="1" x14ac:dyDescent="0.25">
      <c r="D170" s="19" t="str" cm="1">
        <f t="array" ref="D170">Common_InputFunctions.Utility_DisplayArrayInTable(Scope3_SourceData.Scope3_Feed_Data(), Table_SourceData_Scope3_LickBlocks[[#Headers],[Category]], -73, 2)</f>
        <v>Other</v>
      </c>
      <c r="E170" s="19" t="str" cm="1">
        <f t="array" ref="E170">Common_InputFunctions.Utility_DisplayArrayInTable(Scope3_SourceData.Scope3_Feed_Data(), Table_SourceData_Scope3_LickBlocks[[#Headers],[Category]], -73, 2)</f>
        <v>Lick block, weaner</v>
      </c>
      <c r="F170" s="19" t="str" cm="1">
        <f t="array" ref="F170">Common_InputFunctions.Utility_DisplayArrayInTable(Scope3_SourceData.Scope3_Feed_Data(), Table_SourceData_Scope3_LickBlocks[[#Headers],[Category]], -73, 2)</f>
        <v>Australia</v>
      </c>
      <c r="G170" s="19" t="str" cm="1">
        <f t="array" ref="G170">Common_InputFunctions.Utility_DisplayArrayInTable(Scope3_SourceData.Scope3_Feed_Data(), Table_SourceData_Scope3_LickBlocks[[#Headers],[Category]], -73, 2)</f>
        <v>kg</v>
      </c>
      <c r="H170" s="19" cm="1">
        <f t="array" ref="H170">Common_InputFunctions.Utility_DisplayArrayInTable(Scope3_SourceData.Scope3_Feed_Data(), Table_SourceData_Scope3_LickBlocks[[#Headers],[Category]], -73, 2)</f>
        <v>0.23100000000000001</v>
      </c>
      <c r="I170" s="19" t="str" cm="1">
        <f t="array" ref="I170">Common_InputFunctions.Utility_DisplayArrayInTable(Scope3_SourceData.Scope3_Feed_Data(), Table_SourceData_Scope3_LickBlocks[[#Headers],[Category]], -73, 2)</f>
        <v>at market</v>
      </c>
      <c r="J170" s="19" t="s">
        <v>1446</v>
      </c>
    </row>
    <row r="171" spans="4:14" ht="20.100000000000001" customHeight="1" x14ac:dyDescent="0.25"/>
    <row r="172" spans="4:14" ht="20.100000000000001" customHeight="1" x14ac:dyDescent="0.25">
      <c r="D172" s="2" t="s">
        <v>1458</v>
      </c>
    </row>
    <row r="173" spans="4:14" ht="20.100000000000001" customHeight="1" x14ac:dyDescent="0.25">
      <c r="D173" s="19" t="s">
        <v>1439</v>
      </c>
      <c r="E173" s="19" t="s">
        <v>131</v>
      </c>
      <c r="F173" s="19" t="s">
        <v>1440</v>
      </c>
      <c r="G173" s="19" t="s">
        <v>804</v>
      </c>
      <c r="H173" s="19" t="s">
        <v>695</v>
      </c>
      <c r="I173" s="19" t="s">
        <v>696</v>
      </c>
      <c r="J173" s="19" t="s">
        <v>1459</v>
      </c>
      <c r="K173" s="19" t="s">
        <v>1441</v>
      </c>
      <c r="L173" s="19" t="s">
        <v>1442</v>
      </c>
      <c r="M173" s="19" t="s">
        <v>1443</v>
      </c>
      <c r="N173" s="19" t="s">
        <v>834</v>
      </c>
    </row>
    <row r="174" spans="4:14" ht="20.100000000000001" customHeight="1" x14ac:dyDescent="0.25">
      <c r="D174" s="19" t="str" cm="1">
        <f t="array" ref="D174">Common_InputFunctions.Utility_DisplayArrayInTable(Scope3_SourceData.Scope3_InorganicFertilisers_Data(), Table_SourceData_Scope3_InorganicFertiliser[[#Headers],[Category]], 0, 2)</f>
        <v>Inorganic fertilisers</v>
      </c>
      <c r="E174" s="19" t="str" cm="1">
        <f t="array" ref="E174">Common_InputFunctions.Utility_DisplayArrayInTable(Scope3_SourceData.Scope3_InorganicFertilisers_Data(), Table_SourceData_Scope3_InorganicFertiliser[[#Headers],[Category]], 0, 2)</f>
        <v>Ammonia, AU market mix</v>
      </c>
      <c r="F174" s="19" t="str" cm="1">
        <f t="array" ref="F174">Common_InputFunctions.Utility_DisplayArrayInTable(Scope3_SourceData.Scope3_InorganicFertilisers_Data(), Table_SourceData_Scope3_InorganicFertiliser[[#Headers],[Category]], 0, 2)</f>
        <v>Global</v>
      </c>
      <c r="G174" s="19" t="str">
        <f>'Constants - Fertiliser'!$D$37</f>
        <v>Ammonia</v>
      </c>
      <c r="H174" s="19"/>
      <c r="I174" s="19" t="str">
        <f>'Constants - Fertiliser'!$V$20</f>
        <v>Global</v>
      </c>
      <c r="J174" s="19"/>
      <c r="K174" s="19" t="str" cm="1">
        <f t="array" ref="K174">Common_InputFunctions.Utility_DisplayArrayInTable(Scope3_SourceData.Scope3_InorganicFertilisers_Data(), Table_SourceData_Scope3_InorganicFertiliser[[#Headers],[Category]], 0, -2)</f>
        <v>kg</v>
      </c>
      <c r="L174" s="19" cm="1">
        <f t="array" ref="L174">Common_InputFunctions.Utility_DisplayArrayInTable(Scope3_SourceData.Scope3_InorganicFertilisers_Data(), Table_SourceData_Scope3_InorganicFertiliser[[#Headers],[Category]], 0, -2)</f>
        <v>2.3199999999999998</v>
      </c>
      <c r="M174" s="19" t="str" cm="1">
        <f t="array" ref="M174">Common_InputFunctions.Utility_DisplayArrayInTable(Scope3_SourceData.Scope3_InorganicFertilisers_Data(), Table_SourceData_Scope3_InorganicFertiliser[[#Headers],[Category]], 0, -2)</f>
        <v>at market</v>
      </c>
      <c r="N174" s="19" t="s">
        <v>1446</v>
      </c>
    </row>
    <row r="175" spans="4:14" ht="20.100000000000001" customHeight="1" x14ac:dyDescent="0.25">
      <c r="D175" s="19" t="str" cm="1">
        <f t="array" ref="D175">Common_InputFunctions.Utility_DisplayArrayInTable(Scope3_SourceData.Scope3_InorganicFertilisers_Data(), Table_SourceData_Scope3_InorganicFertiliser[[#Headers],[Category]], 0, 2)</f>
        <v>Inorganic fertilisers</v>
      </c>
      <c r="E175" s="19" t="str" cm="1">
        <f t="array" ref="E175">Common_InputFunctions.Utility_DisplayArrayInTable(Scope3_SourceData.Scope3_InorganicFertilisers_Data(), Table_SourceData_Scope3_InorganicFertiliser[[#Headers],[Category]], 0, 2)</f>
        <v>Ammonia, Canada</v>
      </c>
      <c r="F175" s="19" t="str" cm="1">
        <f t="array" ref="F175">Common_InputFunctions.Utility_DisplayArrayInTable(Scope3_SourceData.Scope3_InorganicFertilisers_Data(), Table_SourceData_Scope3_InorganicFertiliser[[#Headers],[Category]], 0, 2)</f>
        <v>Canada</v>
      </c>
      <c r="G175" s="19" t="str">
        <f>'Constants - Fertiliser'!$D$37</f>
        <v>Ammonia</v>
      </c>
      <c r="H175" s="19"/>
      <c r="I175" s="19" t="str">
        <f>'Constants - Fertiliser'!$V$21</f>
        <v>Canada</v>
      </c>
      <c r="J175" s="19"/>
      <c r="K175" s="19" t="str" cm="1">
        <f t="array" ref="K175">Common_InputFunctions.Utility_DisplayArrayInTable(Scope3_SourceData.Scope3_InorganicFertilisers_Data(), Table_SourceData_Scope3_InorganicFertiliser[[#Headers],[Category]], 0, -2)</f>
        <v>kg</v>
      </c>
      <c r="L175" s="19" cm="1">
        <f t="array" ref="L175">Common_InputFunctions.Utility_DisplayArrayInTable(Scope3_SourceData.Scope3_InorganicFertilisers_Data(), Table_SourceData_Scope3_InorganicFertiliser[[#Headers],[Category]], 0, -2)</f>
        <v>2.12</v>
      </c>
      <c r="M175" s="19" t="str" cm="1">
        <f t="array" ref="M175">Common_InputFunctions.Utility_DisplayArrayInTable(Scope3_SourceData.Scope3_InorganicFertilisers_Data(), Table_SourceData_Scope3_InorganicFertiliser[[#Headers],[Category]], 0, -2)</f>
        <v>at market</v>
      </c>
      <c r="N175" s="19" t="s">
        <v>1446</v>
      </c>
    </row>
    <row r="176" spans="4:14" ht="20.100000000000001" customHeight="1" x14ac:dyDescent="0.25">
      <c r="D176" s="19" t="str" cm="1">
        <f t="array" ref="D176">Common_InputFunctions.Utility_DisplayArrayInTable(Scope3_SourceData.Scope3_InorganicFertilisers_Data(), Table_SourceData_Scope3_InorganicFertiliser[[#Headers],[Category]], 0, 2)</f>
        <v>Inorganic fertilisers</v>
      </c>
      <c r="E176" s="19" t="str" cm="1">
        <f t="array" ref="E176">Common_InputFunctions.Utility_DisplayArrayInTable(Scope3_SourceData.Scope3_InorganicFertilisers_Data(), Table_SourceData_Scope3_InorganicFertiliser[[#Headers],[Category]], 0, 2)</f>
        <v>Ammonia, China</v>
      </c>
      <c r="F176" s="19" t="str" cm="1">
        <f t="array" ref="F176">Common_InputFunctions.Utility_DisplayArrayInTable(Scope3_SourceData.Scope3_InorganicFertilisers_Data(), Table_SourceData_Scope3_InorganicFertiliser[[#Headers],[Category]], 0, 2)</f>
        <v>China</v>
      </c>
      <c r="G176" s="19" t="str">
        <f>'Constants - Fertiliser'!$D$37</f>
        <v>Ammonia</v>
      </c>
      <c r="H176" s="19"/>
      <c r="I176" s="19" t="str">
        <f>'Constants - Fertiliser'!$V$22</f>
        <v>China</v>
      </c>
      <c r="J176" s="19"/>
      <c r="K176" s="19" t="str" cm="1">
        <f t="array" ref="K176">Common_InputFunctions.Utility_DisplayArrayInTable(Scope3_SourceData.Scope3_InorganicFertilisers_Data(), Table_SourceData_Scope3_InorganicFertiliser[[#Headers],[Category]], 0, -2)</f>
        <v>kg</v>
      </c>
      <c r="L176" s="19" cm="1">
        <f t="array" ref="L176">Common_InputFunctions.Utility_DisplayArrayInTable(Scope3_SourceData.Scope3_InorganicFertilisers_Data(), Table_SourceData_Scope3_InorganicFertiliser[[#Headers],[Category]], 0, -2)</f>
        <v>4.17</v>
      </c>
      <c r="M176" s="19" t="str" cm="1">
        <f t="array" ref="M176">Common_InputFunctions.Utility_DisplayArrayInTable(Scope3_SourceData.Scope3_InorganicFertilisers_Data(), Table_SourceData_Scope3_InorganicFertiliser[[#Headers],[Category]], 0, -2)</f>
        <v>at market</v>
      </c>
      <c r="N176" s="19" t="s">
        <v>1446</v>
      </c>
    </row>
    <row r="177" spans="4:14" ht="20.100000000000001" customHeight="1" x14ac:dyDescent="0.25">
      <c r="D177" s="19" t="str" cm="1">
        <f t="array" ref="D177">Common_InputFunctions.Utility_DisplayArrayInTable(Scope3_SourceData.Scope3_InorganicFertilisers_Data(), Table_SourceData_Scope3_InorganicFertiliser[[#Headers],[Category]], 0, 2)</f>
        <v>Inorganic fertilisers</v>
      </c>
      <c r="E177" s="19" t="str" cm="1">
        <f t="array" ref="E177">Common_InputFunctions.Utility_DisplayArrayInTable(Scope3_SourceData.Scope3_InorganicFertilisers_Data(), Table_SourceData_Scope3_InorganicFertiliser[[#Headers],[Category]], 0, 2)</f>
        <v>Ammonia, Yemen</v>
      </c>
      <c r="F177" s="19" t="str" cm="1">
        <f t="array" ref="F177">Common_InputFunctions.Utility_DisplayArrayInTable(Scope3_SourceData.Scope3_InorganicFertilisers_Data(), Table_SourceData_Scope3_InorganicFertiliser[[#Headers],[Category]], 0, 2)</f>
        <v>Yemen</v>
      </c>
      <c r="G177" s="19" t="str">
        <f>'Constants - Fertiliser'!$D$37</f>
        <v>Ammonia</v>
      </c>
      <c r="H177" s="19"/>
      <c r="I177" s="19" t="str">
        <f>'Constants - Fertiliser'!$V$23</f>
        <v>Yemen</v>
      </c>
      <c r="J177" s="19"/>
      <c r="K177" s="19" t="str" cm="1">
        <f t="array" ref="K177">Common_InputFunctions.Utility_DisplayArrayInTable(Scope3_SourceData.Scope3_InorganicFertilisers_Data(), Table_SourceData_Scope3_InorganicFertiliser[[#Headers],[Category]], 0, -2)</f>
        <v>kg</v>
      </c>
      <c r="L177" s="19" cm="1">
        <f t="array" ref="L177">Common_InputFunctions.Utility_DisplayArrayInTable(Scope3_SourceData.Scope3_InorganicFertilisers_Data(), Table_SourceData_Scope3_InorganicFertiliser[[#Headers],[Category]], 0, -2)</f>
        <v>2.2599999999999998</v>
      </c>
      <c r="M177" s="19" t="str" cm="1">
        <f t="array" ref="M177">Common_InputFunctions.Utility_DisplayArrayInTable(Scope3_SourceData.Scope3_InorganicFertilisers_Data(), Table_SourceData_Scope3_InorganicFertiliser[[#Headers],[Category]], 0, -2)</f>
        <v>at market</v>
      </c>
      <c r="N177" s="19" t="s">
        <v>1446</v>
      </c>
    </row>
    <row r="178" spans="4:14" ht="20.100000000000001" customHeight="1" x14ac:dyDescent="0.25">
      <c r="D178" s="19" t="str" cm="1">
        <f t="array" ref="D178">Common_InputFunctions.Utility_DisplayArrayInTable(Scope3_SourceData.Scope3_InorganicFertilisers_Data(), Table_SourceData_Scope3_InorganicFertiliser[[#Headers],[Category]], 0, 2)</f>
        <v>Inorganic fertilisers</v>
      </c>
      <c r="E178" s="19" t="str" cm="1">
        <f t="array" ref="E178">Common_InputFunctions.Utility_DisplayArrayInTable(Scope3_SourceData.Scope3_InorganicFertilisers_Data(), Table_SourceData_Scope3_InorganicFertiliser[[#Headers],[Category]], 0, 2)</f>
        <v>Ammonium nitrate, AU market mix</v>
      </c>
      <c r="F178" s="19" t="str" cm="1">
        <f t="array" ref="F178">Common_InputFunctions.Utility_DisplayArrayInTable(Scope3_SourceData.Scope3_InorganicFertilisers_Data(), Table_SourceData_Scope3_InorganicFertiliser[[#Headers],[Category]], 0, 2)</f>
        <v>Global</v>
      </c>
      <c r="G178" s="19" t="str">
        <f>'Constants - Fertiliser'!$D$25</f>
        <v>Ammonium nitrate (AN)</v>
      </c>
      <c r="H178" s="19"/>
      <c r="I178" s="19"/>
      <c r="J178" s="19"/>
      <c r="K178" s="19" t="str" cm="1">
        <f t="array" ref="K178">Common_InputFunctions.Utility_DisplayArrayInTable(Scope3_SourceData.Scope3_InorganicFertilisers_Data(), Table_SourceData_Scope3_InorganicFertiliser[[#Headers],[Category]], 0, -2)</f>
        <v>kg</v>
      </c>
      <c r="L178" s="19" cm="1">
        <f t="array" ref="L178">Common_InputFunctions.Utility_DisplayArrayInTable(Scope3_SourceData.Scope3_InorganicFertilisers_Data(), Table_SourceData_Scope3_InorganicFertiliser[[#Headers],[Category]], 0, -2)</f>
        <v>2.21</v>
      </c>
      <c r="M178" s="19" t="str" cm="1">
        <f t="array" ref="M178">Common_InputFunctions.Utility_DisplayArrayInTable(Scope3_SourceData.Scope3_InorganicFertilisers_Data(), Table_SourceData_Scope3_InorganicFertiliser[[#Headers],[Category]], 0, -2)</f>
        <v>at market</v>
      </c>
      <c r="N178" s="19" t="s">
        <v>1446</v>
      </c>
    </row>
    <row r="179" spans="4:14" ht="20.100000000000001" customHeight="1" x14ac:dyDescent="0.25">
      <c r="D179" s="19" t="str" cm="1">
        <f t="array" ref="D179">Common_InputFunctions.Utility_DisplayArrayInTable(Scope3_SourceData.Scope3_InorganicFertilisers_Data(), Table_SourceData_Scope3_InorganicFertiliser[[#Headers],[Category]], 0, 2)</f>
        <v>Inorganic fertilisers</v>
      </c>
      <c r="E179" s="19" t="str" cm="1">
        <f t="array" ref="E179">Common_InputFunctions.Utility_DisplayArrayInTable(Scope3_SourceData.Scope3_InorganicFertilisers_Data(), Table_SourceData_Scope3_InorganicFertiliser[[#Headers],[Category]], 0, 2)</f>
        <v>Calcium ammonium nitrate, AU market mix</v>
      </c>
      <c r="F179" s="19" t="str" cm="1">
        <f t="array" ref="F179">Common_InputFunctions.Utility_DisplayArrayInTable(Scope3_SourceData.Scope3_InorganicFertilisers_Data(), Table_SourceData_Scope3_InorganicFertiliser[[#Headers],[Category]], 0, 2)</f>
        <v>Global</v>
      </c>
      <c r="G179" s="19" t="str">
        <f>'Constants - Fertiliser'!$D$26</f>
        <v>Calcium ammonium nitrate (CAN)</v>
      </c>
      <c r="H179" s="19"/>
      <c r="I179" s="19"/>
      <c r="J179" s="19"/>
      <c r="K179" s="19" t="str" cm="1">
        <f t="array" ref="K179">Common_InputFunctions.Utility_DisplayArrayInTable(Scope3_SourceData.Scope3_InorganicFertilisers_Data(), Table_SourceData_Scope3_InorganicFertiliser[[#Headers],[Category]], 0, -2)</f>
        <v>kg</v>
      </c>
      <c r="L179" s="19" cm="1">
        <f t="array" ref="L179">Common_InputFunctions.Utility_DisplayArrayInTable(Scope3_SourceData.Scope3_InorganicFertilisers_Data(), Table_SourceData_Scope3_InorganicFertiliser[[#Headers],[Category]], 0, -2)</f>
        <v>1.1499999999999999</v>
      </c>
      <c r="M179" s="19" t="str" cm="1">
        <f t="array" ref="M179">Common_InputFunctions.Utility_DisplayArrayInTable(Scope3_SourceData.Scope3_InorganicFertilisers_Data(), Table_SourceData_Scope3_InorganicFertiliser[[#Headers],[Category]], 0, -2)</f>
        <v>at market</v>
      </c>
      <c r="N179" s="19" t="s">
        <v>1446</v>
      </c>
    </row>
    <row r="180" spans="4:14" ht="20.100000000000001" customHeight="1" x14ac:dyDescent="0.25">
      <c r="D180" s="19" t="str" cm="1">
        <f t="array" ref="D180">Common_InputFunctions.Utility_DisplayArrayInTable(Scope3_SourceData.Scope3_InorganicFertilisers_Data(), Table_SourceData_Scope3_InorganicFertiliser[[#Headers],[Category]], 0, 2)</f>
        <v>Inorganic fertilisers</v>
      </c>
      <c r="E180" s="19" t="str" cm="1">
        <f t="array" ref="E180">Common_InputFunctions.Utility_DisplayArrayInTable(Scope3_SourceData.Scope3_InorganicFertilisers_Data(), Table_SourceData_Scope3_InorganicFertiliser[[#Headers],[Category]], 0, 2)</f>
        <v>Calcium nitrate</v>
      </c>
      <c r="F180" s="19" t="str" cm="1">
        <f t="array" ref="F180">Common_InputFunctions.Utility_DisplayArrayInTable(Scope3_SourceData.Scope3_InorganicFertilisers_Data(), Table_SourceData_Scope3_InorganicFertiliser[[#Headers],[Category]], 0, 2)</f>
        <v>Global</v>
      </c>
      <c r="G180" s="19" t="str">
        <f>'Constants - Fertiliser'!$D$38</f>
        <v>Calcium nitrate</v>
      </c>
      <c r="H180" s="19"/>
      <c r="I180" s="19"/>
      <c r="J180" s="19"/>
      <c r="K180" s="19" t="str" cm="1">
        <f t="array" ref="K180">Common_InputFunctions.Utility_DisplayArrayInTable(Scope3_SourceData.Scope3_InorganicFertilisers_Data(), Table_SourceData_Scope3_InorganicFertiliser[[#Headers],[Category]], 0, -2)</f>
        <v>kg</v>
      </c>
      <c r="L180" s="19" cm="1">
        <f t="array" ref="L180">Common_InputFunctions.Utility_DisplayArrayInTable(Scope3_SourceData.Scope3_InorganicFertilisers_Data(), Table_SourceData_Scope3_InorganicFertiliser[[#Headers],[Category]], 0, -2)</f>
        <v>0.75</v>
      </c>
      <c r="M180" s="19" t="str" cm="1">
        <f t="array" ref="M180">Common_InputFunctions.Utility_DisplayArrayInTable(Scope3_SourceData.Scope3_InorganicFertilisers_Data(), Table_SourceData_Scope3_InorganicFertiliser[[#Headers],[Category]], 0, -2)</f>
        <v>at market</v>
      </c>
      <c r="N180" s="19" t="s">
        <v>1446</v>
      </c>
    </row>
    <row r="181" spans="4:14" ht="20.100000000000001" customHeight="1" x14ac:dyDescent="0.25">
      <c r="D181" s="19" t="str" cm="1">
        <f t="array" ref="D181">Common_InputFunctions.Utility_DisplayArrayInTable(Scope3_SourceData.Scope3_InorganicFertilisers_Data(), Table_SourceData_Scope3_InorganicFertiliser[[#Headers],[Category]], 0, 2)</f>
        <v>Inorganic fertilisers</v>
      </c>
      <c r="E181" s="19" t="str" cm="1">
        <f t="array" ref="E181">Common_InputFunctions.Utility_DisplayArrayInTable(Scope3_SourceData.Scope3_InorganicFertilisers_Data(), Table_SourceData_Scope3_InorganicFertiliser[[#Headers],[Category]], 0, 2)</f>
        <v>Diammonium phosphate, AU market mix</v>
      </c>
      <c r="F181" s="19" t="str" cm="1">
        <f t="array" ref="F181">Common_InputFunctions.Utility_DisplayArrayInTable(Scope3_SourceData.Scope3_InorganicFertilisers_Data(), Table_SourceData_Scope3_InorganicFertiliser[[#Headers],[Category]], 0, 2)</f>
        <v>Global</v>
      </c>
      <c r="G181" s="19" t="str">
        <f>'Constants - Fertiliser'!$D$21</f>
        <v>Diammonium phosphate (DAP)</v>
      </c>
      <c r="H181" s="19"/>
      <c r="I181" s="19"/>
      <c r="J181" s="19"/>
      <c r="K181" s="19" t="str" cm="1">
        <f t="array" ref="K181">Common_InputFunctions.Utility_DisplayArrayInTable(Scope3_SourceData.Scope3_InorganicFertilisers_Data(), Table_SourceData_Scope3_InorganicFertiliser[[#Headers],[Category]], 0, -2)</f>
        <v>kg</v>
      </c>
      <c r="L181" s="19" cm="1">
        <f t="array" ref="L181">Common_InputFunctions.Utility_DisplayArrayInTable(Scope3_SourceData.Scope3_InorganicFertilisers_Data(), Table_SourceData_Scope3_InorganicFertiliser[[#Headers],[Category]], 0, -2)</f>
        <v>1.34</v>
      </c>
      <c r="M181" s="19" t="str" cm="1">
        <f t="array" ref="M181">Common_InputFunctions.Utility_DisplayArrayInTable(Scope3_SourceData.Scope3_InorganicFertilisers_Data(), Table_SourceData_Scope3_InorganicFertiliser[[#Headers],[Category]], 0, -2)</f>
        <v>at market</v>
      </c>
      <c r="N181" s="19" t="s">
        <v>1446</v>
      </c>
    </row>
    <row r="182" spans="4:14" ht="20.100000000000001" customHeight="1" x14ac:dyDescent="0.25">
      <c r="D182" s="19" t="str" cm="1">
        <f t="array" ref="D182">Common_InputFunctions.Utility_DisplayArrayInTable(Scope3_SourceData.Scope3_InorganicFertilisers_Data(), Table_SourceData_Scope3_InorganicFertiliser[[#Headers],[Category]], 0, 2)</f>
        <v>Inorganic fertilisers</v>
      </c>
      <c r="E182" s="19" t="str" cm="1">
        <f t="array" ref="E182">Common_InputFunctions.Utility_DisplayArrayInTable(Scope3_SourceData.Scope3_InorganicFertilisers_Data(), Table_SourceData_Scope3_InorganicFertiliser[[#Headers],[Category]], 0, 2)</f>
        <v>Double superphosphate, AU market mix</v>
      </c>
      <c r="F182" s="19" t="str" cm="1">
        <f t="array" ref="F182">Common_InputFunctions.Utility_DisplayArrayInTable(Scope3_SourceData.Scope3_InorganicFertilisers_Data(), Table_SourceData_Scope3_InorganicFertiliser[[#Headers],[Category]], 0, 2)</f>
        <v>Global</v>
      </c>
      <c r="G182" s="19" t="str">
        <f>'Constants - Fertiliser'!$D$35</f>
        <v>Double superphosphate</v>
      </c>
      <c r="H182" s="19"/>
      <c r="I182" s="19"/>
      <c r="J182" s="19"/>
      <c r="K182" s="19" t="str" cm="1">
        <f t="array" ref="K182">Common_InputFunctions.Utility_DisplayArrayInTable(Scope3_SourceData.Scope3_InorganicFertilisers_Data(), Table_SourceData_Scope3_InorganicFertiliser[[#Headers],[Category]], 0, -2)</f>
        <v>kg</v>
      </c>
      <c r="L182" s="19" cm="1">
        <f t="array" ref="L182">Common_InputFunctions.Utility_DisplayArrayInTable(Scope3_SourceData.Scope3_InorganicFertilisers_Data(), Table_SourceData_Scope3_InorganicFertiliser[[#Headers],[Category]], 0, -2)</f>
        <v>0.39200000000000002</v>
      </c>
      <c r="M182" s="19" t="str" cm="1">
        <f t="array" ref="M182">Common_InputFunctions.Utility_DisplayArrayInTable(Scope3_SourceData.Scope3_InorganicFertilisers_Data(), Table_SourceData_Scope3_InorganicFertiliser[[#Headers],[Category]], 0, -2)</f>
        <v>at market</v>
      </c>
      <c r="N182" s="19" t="s">
        <v>1446</v>
      </c>
    </row>
    <row r="183" spans="4:14" ht="20.100000000000001" customHeight="1" x14ac:dyDescent="0.25">
      <c r="D183" s="19" t="str" cm="1">
        <f t="array" ref="D183">Common_InputFunctions.Utility_DisplayArrayInTable(Scope3_SourceData.Scope3_InorganicFertilisers_Data(), Table_SourceData_Scope3_InorganicFertiliser[[#Headers],[Category]], 0, 2)</f>
        <v>Inorganic fertilisers</v>
      </c>
      <c r="E183" s="19" t="str" cm="1">
        <f t="array" ref="E183">Common_InputFunctions.Utility_DisplayArrayInTable(Scope3_SourceData.Scope3_InorganicFertilisers_Data(), Table_SourceData_Scope3_InorganicFertiliser[[#Headers],[Category]], 0, 2)</f>
        <v>Monoammonium phosphate, AU market mix</v>
      </c>
      <c r="F183" s="19" t="str" cm="1">
        <f t="array" ref="F183">Common_InputFunctions.Utility_DisplayArrayInTable(Scope3_SourceData.Scope3_InorganicFertilisers_Data(), Table_SourceData_Scope3_InorganicFertiliser[[#Headers],[Category]], 0, 2)</f>
        <v>Global</v>
      </c>
      <c r="G183" s="19" t="str">
        <f>'Constants - Fertiliser'!$D$20</f>
        <v>Monoammonium phosphate (MAP)</v>
      </c>
      <c r="H183" s="19"/>
      <c r="I183" s="19"/>
      <c r="J183" s="19"/>
      <c r="K183" s="19" t="str" cm="1">
        <f t="array" ref="K183">Common_InputFunctions.Utility_DisplayArrayInTable(Scope3_SourceData.Scope3_InorganicFertilisers_Data(), Table_SourceData_Scope3_InorganicFertiliser[[#Headers],[Category]], 0, -2)</f>
        <v>kg</v>
      </c>
      <c r="L183" s="19" cm="1">
        <f t="array" ref="L183">Common_InputFunctions.Utility_DisplayArrayInTable(Scope3_SourceData.Scope3_InorganicFertilisers_Data(), Table_SourceData_Scope3_InorganicFertiliser[[#Headers],[Category]], 0, -2)</f>
        <v>0.82699999999999996</v>
      </c>
      <c r="M183" s="19" t="str" cm="1">
        <f t="array" ref="M183">Common_InputFunctions.Utility_DisplayArrayInTable(Scope3_SourceData.Scope3_InorganicFertilisers_Data(), Table_SourceData_Scope3_InorganicFertiliser[[#Headers],[Category]], 0, -2)</f>
        <v>at market</v>
      </c>
      <c r="N183" s="19" t="s">
        <v>1446</v>
      </c>
    </row>
    <row r="184" spans="4:14" ht="20.100000000000001" customHeight="1" x14ac:dyDescent="0.25">
      <c r="D184" s="19" t="str" cm="1">
        <f t="array" ref="D184">Common_InputFunctions.Utility_DisplayArrayInTable(Scope3_SourceData.Scope3_InorganicFertilisers_Data(), Table_SourceData_Scope3_InorganicFertiliser[[#Headers],[Category]], 0, 2)</f>
        <v>Inorganic fertilisers</v>
      </c>
      <c r="E184" s="19" t="str" cm="1">
        <f t="array" ref="E184">Common_InputFunctions.Utility_DisplayArrayInTable(Scope3_SourceData.Scope3_InorganicFertilisers_Data(), Table_SourceData_Scope3_InorganicFertiliser[[#Headers],[Category]], 0, 2)</f>
        <v>Muriate of potash, AU market mix</v>
      </c>
      <c r="F184" s="19" t="str" cm="1">
        <f t="array" ref="F184">Common_InputFunctions.Utility_DisplayArrayInTable(Scope3_SourceData.Scope3_InorganicFertilisers_Data(), Table_SourceData_Scope3_InorganicFertiliser[[#Headers],[Category]], 0, 2)</f>
        <v>Global</v>
      </c>
      <c r="G184" s="19" t="str">
        <f>'Constants - Fertiliser'!$D$34</f>
        <v>Muriate of potash (MOP)</v>
      </c>
      <c r="H184" s="19"/>
      <c r="I184" s="19"/>
      <c r="J184" s="19"/>
      <c r="K184" s="19" t="str" cm="1">
        <f t="array" ref="K184">Common_InputFunctions.Utility_DisplayArrayInTable(Scope3_SourceData.Scope3_InorganicFertilisers_Data(), Table_SourceData_Scope3_InorganicFertiliser[[#Headers],[Category]], 0, -2)</f>
        <v>kg</v>
      </c>
      <c r="L184" s="19" cm="1">
        <f t="array" ref="L184">Common_InputFunctions.Utility_DisplayArrayInTable(Scope3_SourceData.Scope3_InorganicFertilisers_Data(), Table_SourceData_Scope3_InorganicFertiliser[[#Headers],[Category]], 0, -2)</f>
        <v>0.54900000000000004</v>
      </c>
      <c r="M184" s="19" t="str" cm="1">
        <f t="array" ref="M184">Common_InputFunctions.Utility_DisplayArrayInTable(Scope3_SourceData.Scope3_InorganicFertilisers_Data(), Table_SourceData_Scope3_InorganicFertiliser[[#Headers],[Category]], 0, -2)</f>
        <v>at market</v>
      </c>
      <c r="N184" s="19" t="s">
        <v>1446</v>
      </c>
    </row>
    <row r="185" spans="4:14" ht="20.100000000000001" customHeight="1" x14ac:dyDescent="0.25">
      <c r="D185" s="19" t="str" cm="1">
        <f t="array" ref="D185">Common_InputFunctions.Utility_DisplayArrayInTable(Scope3_SourceData.Scope3_InorganicFertilisers_Data(), Table_SourceData_Scope3_InorganicFertiliser[[#Headers],[Category]], 0, 2)</f>
        <v>Inorganic fertilisers</v>
      </c>
      <c r="E185" s="19" t="str" cm="1">
        <f t="array" ref="E185">Common_InputFunctions.Utility_DisplayArrayInTable(Scope3_SourceData.Scope3_InorganicFertilisers_Data(), Table_SourceData_Scope3_InorganicFertiliser[[#Headers],[Category]], 0, 2)</f>
        <v>Nitrogen from ammonia, AU market mix</v>
      </c>
      <c r="F185" s="19" t="str" cm="1">
        <f t="array" ref="F185">Common_InputFunctions.Utility_DisplayArrayInTable(Scope3_SourceData.Scope3_InorganicFertilisers_Data(), Table_SourceData_Scope3_InorganicFertiliser[[#Headers],[Category]], 0, 2)</f>
        <v>Global</v>
      </c>
      <c r="G185" s="19" t="str">
        <f>'Constants - Fertiliser'!$D$27</f>
        <v>Nitrogen - Ammoniacal</v>
      </c>
      <c r="H185" s="19"/>
      <c r="I185" s="19"/>
      <c r="J185" s="19"/>
      <c r="K185" s="19" t="str" cm="1">
        <f t="array" ref="K185">Common_InputFunctions.Utility_DisplayArrayInTable(Scope3_SourceData.Scope3_InorganicFertilisers_Data(), Table_SourceData_Scope3_InorganicFertiliser[[#Headers],[Category]], 0, -2)</f>
        <v>kg N</v>
      </c>
      <c r="L185" s="19" cm="1">
        <f t="array" ref="L185">Common_InputFunctions.Utility_DisplayArrayInTable(Scope3_SourceData.Scope3_InorganicFertilisers_Data(), Table_SourceData_Scope3_InorganicFertiliser[[#Headers],[Category]], 0, -2)</f>
        <v>2.83</v>
      </c>
      <c r="M185" s="19" t="str" cm="1">
        <f t="array" ref="M185">Common_InputFunctions.Utility_DisplayArrayInTable(Scope3_SourceData.Scope3_InorganicFertilisers_Data(), Table_SourceData_Scope3_InorganicFertiliser[[#Headers],[Category]], 0, -2)</f>
        <v>at market</v>
      </c>
      <c r="N185" s="19" t="s">
        <v>1446</v>
      </c>
    </row>
    <row r="186" spans="4:14" ht="20.100000000000001" customHeight="1" x14ac:dyDescent="0.25">
      <c r="D186" s="19" t="str" cm="1">
        <f t="array" ref="D186">Common_InputFunctions.Utility_DisplayArrayInTable(Scope3_SourceData.Scope3_InorganicFertilisers_Data(), Table_SourceData_Scope3_InorganicFertiliser[[#Headers],[Category]], 0, 2)</f>
        <v>Inorganic fertilisers</v>
      </c>
      <c r="E186" s="19" t="str" cm="1">
        <f t="array" ref="E186">Common_InputFunctions.Utility_DisplayArrayInTable(Scope3_SourceData.Scope3_InorganicFertilisers_Data(), Table_SourceData_Scope3_InorganicFertiliser[[#Headers],[Category]], 0, 2)</f>
        <v>Nitrogen from fertilizer, AU market mix</v>
      </c>
      <c r="F186" s="19" t="str" cm="1">
        <f t="array" ref="F186">Common_InputFunctions.Utility_DisplayArrayInTable(Scope3_SourceData.Scope3_InorganicFertilisers_Data(), Table_SourceData_Scope3_InorganicFertiliser[[#Headers],[Category]], 0, 2)</f>
        <v>Global</v>
      </c>
      <c r="G186" s="19" t="str">
        <f>'Constants - Fertiliser'!$D$29</f>
        <v>Nitrogen - Generic</v>
      </c>
      <c r="H186" s="19"/>
      <c r="I186" s="19"/>
      <c r="J186" s="19"/>
      <c r="K186" s="19" t="str" cm="1">
        <f t="array" ref="K186">Common_InputFunctions.Utility_DisplayArrayInTable(Scope3_SourceData.Scope3_InorganicFertilisers_Data(), Table_SourceData_Scope3_InorganicFertiliser[[#Headers],[Category]], 0, -2)</f>
        <v>kg N</v>
      </c>
      <c r="L186" s="19" cm="1">
        <f t="array" ref="L186">Common_InputFunctions.Utility_DisplayArrayInTable(Scope3_SourceData.Scope3_InorganicFertilisers_Data(), Table_SourceData_Scope3_InorganicFertiliser[[#Headers],[Category]], 0, -2)</f>
        <v>4.2</v>
      </c>
      <c r="M186" s="19" t="str" cm="1">
        <f t="array" ref="M186">Common_InputFunctions.Utility_DisplayArrayInTable(Scope3_SourceData.Scope3_InorganicFertilisers_Data(), Table_SourceData_Scope3_InorganicFertiliser[[#Headers],[Category]], 0, -2)</f>
        <v>at market</v>
      </c>
      <c r="N186" s="19" t="s">
        <v>1446</v>
      </c>
    </row>
    <row r="187" spans="4:14" ht="20.100000000000001" customHeight="1" x14ac:dyDescent="0.25">
      <c r="D187" s="19" t="str" cm="1">
        <f t="array" ref="D187">Common_InputFunctions.Utility_DisplayArrayInTable(Scope3_SourceData.Scope3_InorganicFertilisers_Data(), Table_SourceData_Scope3_InorganicFertiliser[[#Headers],[Category]], 0, 2)</f>
        <v>Inorganic fertilisers</v>
      </c>
      <c r="E187" s="19" t="str" cm="1">
        <f t="array" ref="E187">Common_InputFunctions.Utility_DisplayArrayInTable(Scope3_SourceData.Scope3_InorganicFertilisers_Data(), Table_SourceData_Scope3_InorganicFertiliser[[#Headers],[Category]], 0, 2)</f>
        <v>Nitrogen from nitrate fertilizer, AU market mix</v>
      </c>
      <c r="F187" s="19" t="str" cm="1">
        <f t="array" ref="F187">Common_InputFunctions.Utility_DisplayArrayInTable(Scope3_SourceData.Scope3_InorganicFertilisers_Data(), Table_SourceData_Scope3_InorganicFertiliser[[#Headers],[Category]], 0, 2)</f>
        <v>Global</v>
      </c>
      <c r="G187" s="19" t="str">
        <f>'Constants - Fertiliser'!$D$28</f>
        <v>Nitrogen - Nitrate</v>
      </c>
      <c r="H187" s="19"/>
      <c r="I187" s="19"/>
      <c r="J187" s="19"/>
      <c r="K187" s="19" t="str" cm="1">
        <f t="array" ref="K187">Common_InputFunctions.Utility_DisplayArrayInTable(Scope3_SourceData.Scope3_InorganicFertilisers_Data(), Table_SourceData_Scope3_InorganicFertiliser[[#Headers],[Category]], 0, -2)</f>
        <v>kg N</v>
      </c>
      <c r="L187" s="19" cm="1">
        <f t="array" ref="L187">Common_InputFunctions.Utility_DisplayArrayInTable(Scope3_SourceData.Scope3_InorganicFertilisers_Data(), Table_SourceData_Scope3_InorganicFertiliser[[#Headers],[Category]], 0, -2)</f>
        <v>5.47</v>
      </c>
      <c r="M187" s="19" t="str" cm="1">
        <f t="array" ref="M187">Common_InputFunctions.Utility_DisplayArrayInTable(Scope3_SourceData.Scope3_InorganicFertilisers_Data(), Table_SourceData_Scope3_InorganicFertiliser[[#Headers],[Category]], 0, -2)</f>
        <v>at market</v>
      </c>
      <c r="N187" s="19" t="s">
        <v>1446</v>
      </c>
    </row>
    <row r="188" spans="4:14" ht="20.100000000000001" customHeight="1" x14ac:dyDescent="0.25">
      <c r="D188" s="19" t="str" cm="1">
        <f t="array" ref="D188">Common_InputFunctions.Utility_DisplayArrayInTable(Scope3_SourceData.Scope3_InorganicFertilisers_Data(), Table_SourceData_Scope3_InorganicFertiliser[[#Headers],[Category]], 0, 2)</f>
        <v>Inorganic fertilisers</v>
      </c>
      <c r="E188" s="19" t="str" cm="1">
        <f t="array" ref="E188">Common_InputFunctions.Utility_DisplayArrayInTable(Scope3_SourceData.Scope3_InorganicFertilisers_Data(), Table_SourceData_Scope3_InorganicFertiliser[[#Headers],[Category]], 0, 2)</f>
        <v>Phosphorus from fertilizer, AU market mix</v>
      </c>
      <c r="F188" s="19" t="str" cm="1">
        <f t="array" ref="F188">Common_InputFunctions.Utility_DisplayArrayInTable(Scope3_SourceData.Scope3_InorganicFertilisers_Data(), Table_SourceData_Scope3_InorganicFertiliser[[#Headers],[Category]], 0, 2)</f>
        <v>Global</v>
      </c>
      <c r="G188" s="19" t="str">
        <f>'Constants - Fertiliser'!$D$30</f>
        <v>Phosphorus - Generic</v>
      </c>
      <c r="H188" s="19"/>
      <c r="I188" s="19"/>
      <c r="J188" s="19"/>
      <c r="K188" s="19" t="str" cm="1">
        <f t="array" ref="K188">Common_InputFunctions.Utility_DisplayArrayInTable(Scope3_SourceData.Scope3_InorganicFertilisers_Data(), Table_SourceData_Scope3_InorganicFertiliser[[#Headers],[Category]], 0, -2)</f>
        <v>kg P</v>
      </c>
      <c r="L188" s="19" cm="1">
        <f t="array" ref="L188">Common_InputFunctions.Utility_DisplayArrayInTable(Scope3_SourceData.Scope3_InorganicFertilisers_Data(), Table_SourceData_Scope3_InorganicFertiliser[[#Headers],[Category]], 0, -2)</f>
        <v>3.96</v>
      </c>
      <c r="M188" s="19" t="str" cm="1">
        <f t="array" ref="M188">Common_InputFunctions.Utility_DisplayArrayInTable(Scope3_SourceData.Scope3_InorganicFertilisers_Data(), Table_SourceData_Scope3_InorganicFertiliser[[#Headers],[Category]], 0, -2)</f>
        <v>at market</v>
      </c>
      <c r="N188" s="19" t="s">
        <v>1446</v>
      </c>
    </row>
    <row r="189" spans="4:14" ht="20.100000000000001" customHeight="1" x14ac:dyDescent="0.25">
      <c r="D189" s="19" t="str" cm="1">
        <f t="array" ref="D189">Common_InputFunctions.Utility_DisplayArrayInTable(Scope3_SourceData.Scope3_InorganicFertilisers_Data(), Table_SourceData_Scope3_InorganicFertiliser[[#Headers],[Category]], 0, 2)</f>
        <v>Inorganic fertilisers</v>
      </c>
      <c r="E189" s="19" t="str" cm="1">
        <f t="array" ref="E189">Common_InputFunctions.Utility_DisplayArrayInTable(Scope3_SourceData.Scope3_InorganicFertilisers_Data(), Table_SourceData_Scope3_InorganicFertiliser[[#Headers],[Category]], 0, 2)</f>
        <v>Potassium from fertilizer, AU market mix</v>
      </c>
      <c r="F189" s="19" t="str" cm="1">
        <f t="array" ref="F189">Common_InputFunctions.Utility_DisplayArrayInTable(Scope3_SourceData.Scope3_InorganicFertilisers_Data(), Table_SourceData_Scope3_InorganicFertiliser[[#Headers],[Category]], 0, 2)</f>
        <v>Global</v>
      </c>
      <c r="G189" s="19" t="str">
        <f>'Constants - Fertiliser'!$D$31</f>
        <v>Potassium - Generic</v>
      </c>
      <c r="H189" s="19"/>
      <c r="I189" s="19"/>
      <c r="J189" s="19"/>
      <c r="K189" s="19" t="str" cm="1">
        <f t="array" ref="K189">Common_InputFunctions.Utility_DisplayArrayInTable(Scope3_SourceData.Scope3_InorganicFertilisers_Data(), Table_SourceData_Scope3_InorganicFertiliser[[#Headers],[Category]], 0, -2)</f>
        <v>kg K</v>
      </c>
      <c r="L189" s="19" cm="1">
        <f t="array" ref="L189">Common_InputFunctions.Utility_DisplayArrayInTable(Scope3_SourceData.Scope3_InorganicFertilisers_Data(), Table_SourceData_Scope3_InorganicFertiliser[[#Headers],[Category]], 0, -2)</f>
        <v>0.90900000000000003</v>
      </c>
      <c r="M189" s="19" t="str" cm="1">
        <f t="array" ref="M189">Common_InputFunctions.Utility_DisplayArrayInTable(Scope3_SourceData.Scope3_InorganicFertilisers_Data(), Table_SourceData_Scope3_InorganicFertiliser[[#Headers],[Category]], 0, -2)</f>
        <v>at market</v>
      </c>
      <c r="N189" s="19" t="s">
        <v>1446</v>
      </c>
    </row>
    <row r="190" spans="4:14" ht="20.100000000000001" customHeight="1" x14ac:dyDescent="0.25">
      <c r="D190" s="19" t="str" cm="1">
        <f t="array" ref="D190">Common_InputFunctions.Utility_DisplayArrayInTable(Scope3_SourceData.Scope3_InorganicFertilisers_Data(), Table_SourceData_Scope3_InorganicFertiliser[[#Headers],[Category]], 0, 2)</f>
        <v>Inorganic fertilisers</v>
      </c>
      <c r="E190" s="19" t="str" cm="1">
        <f t="array" ref="E190">Common_InputFunctions.Utility_DisplayArrayInTable(Scope3_SourceData.Scope3_InorganicFertilisers_Data(), Table_SourceData_Scope3_InorganicFertiliser[[#Headers],[Category]], 0, 2)</f>
        <v>Single superphosphate, AU market mix</v>
      </c>
      <c r="F190" s="19" t="str" cm="1">
        <f t="array" ref="F190">Common_InputFunctions.Utility_DisplayArrayInTable(Scope3_SourceData.Scope3_InorganicFertilisers_Data(), Table_SourceData_Scope3_InorganicFertiliser[[#Headers],[Category]], 0, 2)</f>
        <v>Global</v>
      </c>
      <c r="G190" s="19" t="str">
        <f>'Constants - Fertiliser'!$D$36</f>
        <v>Single superphosphate (SSP)</v>
      </c>
      <c r="H190" s="19"/>
      <c r="I190" s="19"/>
      <c r="J190" s="19"/>
      <c r="K190" s="19" t="str" cm="1">
        <f t="array" ref="K190">Common_InputFunctions.Utility_DisplayArrayInTable(Scope3_SourceData.Scope3_InorganicFertilisers_Data(), Table_SourceData_Scope3_InorganicFertiliser[[#Headers],[Category]], 0, -2)</f>
        <v>kg</v>
      </c>
      <c r="L190" s="19" cm="1">
        <f t="array" ref="L190">Common_InputFunctions.Utility_DisplayArrayInTable(Scope3_SourceData.Scope3_InorganicFertilisers_Data(), Table_SourceData_Scope3_InorganicFertiliser[[#Headers],[Category]], 0, -2)</f>
        <v>0.22700000000000001</v>
      </c>
      <c r="M190" s="19" t="str" cm="1">
        <f t="array" ref="M190">Common_InputFunctions.Utility_DisplayArrayInTable(Scope3_SourceData.Scope3_InorganicFertilisers_Data(), Table_SourceData_Scope3_InorganicFertiliser[[#Headers],[Category]], 0, -2)</f>
        <v>at market</v>
      </c>
      <c r="N190" s="19" t="s">
        <v>1446</v>
      </c>
    </row>
    <row r="191" spans="4:14" ht="20.100000000000001" customHeight="1" x14ac:dyDescent="0.25">
      <c r="D191" s="19" t="str" cm="1">
        <f t="array" ref="D191">Common_InputFunctions.Utility_DisplayArrayInTable(Scope3_SourceData.Scope3_InorganicFertilisers_Data(), Table_SourceData_Scope3_InorganicFertiliser[[#Headers],[Category]], 0, 2)</f>
        <v>Inorganic fertilisers</v>
      </c>
      <c r="E191" s="19" t="str" cm="1">
        <f t="array" ref="E191">Common_InputFunctions.Utility_DisplayArrayInTable(Scope3_SourceData.Scope3_InorganicFertilisers_Data(), Table_SourceData_Scope3_InorganicFertiliser[[#Headers],[Category]], 0, 2)</f>
        <v>Sulfur from fertilizer, AU market mix</v>
      </c>
      <c r="F191" s="19" t="str" cm="1">
        <f t="array" ref="F191">Common_InputFunctions.Utility_DisplayArrayInTable(Scope3_SourceData.Scope3_InorganicFertilisers_Data(), Table_SourceData_Scope3_InorganicFertiliser[[#Headers],[Category]], 0, 2)</f>
        <v>Global</v>
      </c>
      <c r="G191" s="19" t="str">
        <f>'Constants - Fertiliser'!$D$32</f>
        <v>Sulfur - Generic</v>
      </c>
      <c r="H191" s="19"/>
      <c r="I191" s="19"/>
      <c r="J191" s="19"/>
      <c r="K191" s="19" t="str" cm="1">
        <f t="array" ref="K191">Common_InputFunctions.Utility_DisplayArrayInTable(Scope3_SourceData.Scope3_InorganicFertilisers_Data(), Table_SourceData_Scope3_InorganicFertiliser[[#Headers],[Category]], 0, -2)</f>
        <v>kg S</v>
      </c>
      <c r="L191" s="19" cm="1">
        <f t="array" ref="L191">Common_InputFunctions.Utility_DisplayArrayInTable(Scope3_SourceData.Scope3_InorganicFertilisers_Data(), Table_SourceData_Scope3_InorganicFertiliser[[#Headers],[Category]], 0, -2)</f>
        <v>2.5</v>
      </c>
      <c r="M191" s="19" t="str" cm="1">
        <f t="array" ref="M191">Common_InputFunctions.Utility_DisplayArrayInTable(Scope3_SourceData.Scope3_InorganicFertilisers_Data(), Table_SourceData_Scope3_InorganicFertiliser[[#Headers],[Category]], 0, -2)</f>
        <v>at market</v>
      </c>
      <c r="N191" s="19" t="s">
        <v>1446</v>
      </c>
    </row>
    <row r="192" spans="4:14" ht="20.100000000000001" customHeight="1" x14ac:dyDescent="0.25">
      <c r="D192" s="19" t="str" cm="1">
        <f t="array" ref="D192">Common_InputFunctions.Utility_DisplayArrayInTable(Scope3_SourceData.Scope3_InorganicFertilisers_Data(), Table_SourceData_Scope3_InorganicFertiliser[[#Headers],[Category]], 0, 2)</f>
        <v>Inorganic fertilisers</v>
      </c>
      <c r="E192" s="19" t="str" cm="1">
        <f t="array" ref="E192">Common_InputFunctions.Utility_DisplayArrayInTable(Scope3_SourceData.Scope3_InorganicFertilisers_Data(), Table_SourceData_Scope3_InorganicFertiliser[[#Headers],[Category]], 0, 2)</f>
        <v>Ammonium sulphate, AU market mix</v>
      </c>
      <c r="F192" s="19" t="str" cm="1">
        <f t="array" ref="F192">Common_InputFunctions.Utility_DisplayArrayInTable(Scope3_SourceData.Scope3_InorganicFertilisers_Data(), Table_SourceData_Scope3_InorganicFertiliser[[#Headers],[Category]], 0, 2)</f>
        <v>Global</v>
      </c>
      <c r="G192" s="19" t="str">
        <f>'Constants - Fertiliser'!$D$23</f>
        <v>Sulphate of ammonia (SOA)</v>
      </c>
      <c r="H192" s="19"/>
      <c r="I192" s="19"/>
      <c r="J192" s="19"/>
      <c r="K192" s="19" t="str" cm="1">
        <f t="array" ref="K192">Common_InputFunctions.Utility_DisplayArrayInTable(Scope3_SourceData.Scope3_InorganicFertilisers_Data(), Table_SourceData_Scope3_InorganicFertiliser[[#Headers],[Category]], 0, -2)</f>
        <v>kg</v>
      </c>
      <c r="L192" s="19" cm="1">
        <f t="array" ref="L192">Common_InputFunctions.Utility_DisplayArrayInTable(Scope3_SourceData.Scope3_InorganicFertilisers_Data(), Table_SourceData_Scope3_InorganicFertiliser[[#Headers],[Category]], 0, -2)</f>
        <v>0.86499999999999999</v>
      </c>
      <c r="M192" s="19" t="str" cm="1">
        <f t="array" ref="M192">Common_InputFunctions.Utility_DisplayArrayInTable(Scope3_SourceData.Scope3_InorganicFertilisers_Data(), Table_SourceData_Scope3_InorganicFertiliser[[#Headers],[Category]], 0, -2)</f>
        <v>at market</v>
      </c>
      <c r="N192" s="19" t="s">
        <v>1446</v>
      </c>
    </row>
    <row r="193" spans="4:14" ht="20.100000000000001" customHeight="1" x14ac:dyDescent="0.25">
      <c r="D193" s="19" t="str" cm="1">
        <f t="array" ref="D193">Common_InputFunctions.Utility_DisplayArrayInTable(Scope3_SourceData.Scope3_InorganicFertilisers_Data(), Table_SourceData_Scope3_InorganicFertiliser[[#Headers],[Category]], 0, 2)</f>
        <v>Inorganic fertilisers</v>
      </c>
      <c r="E193" s="19" t="str" cm="1">
        <f t="array" ref="E193">Common_InputFunctions.Utility_DisplayArrayInTable(Scope3_SourceData.Scope3_InorganicFertilisers_Data(), Table_SourceData_Scope3_InorganicFertiliser[[#Headers],[Category]], 0, 2)</f>
        <v>Urea ammonium nitrate, AU market mix</v>
      </c>
      <c r="F193" s="19" t="str" cm="1">
        <f t="array" ref="F193">Common_InputFunctions.Utility_DisplayArrayInTable(Scope3_SourceData.Scope3_InorganicFertilisers_Data(), Table_SourceData_Scope3_InorganicFertiliser[[#Headers],[Category]], 0, 2)</f>
        <v>Global</v>
      </c>
      <c r="G193" s="19" t="str">
        <f>'Constants - Fertiliser'!$D$24</f>
        <v>Urea-ammonium nitrate (UAN)</v>
      </c>
      <c r="H193" s="19"/>
      <c r="I193" s="19"/>
      <c r="J193" s="19"/>
      <c r="K193" s="19" t="str" cm="1">
        <f t="array" ref="K193">Common_InputFunctions.Utility_DisplayArrayInTable(Scope3_SourceData.Scope3_InorganicFertilisers_Data(), Table_SourceData_Scope3_InorganicFertiliser[[#Headers],[Category]], 0, -2)</f>
        <v>kg</v>
      </c>
      <c r="L193" s="19" cm="1">
        <f t="array" ref="L193">Common_InputFunctions.Utility_DisplayArrayInTable(Scope3_SourceData.Scope3_InorganicFertilisers_Data(), Table_SourceData_Scope3_InorganicFertiliser[[#Headers],[Category]], 0, -2)</f>
        <v>1.75</v>
      </c>
      <c r="M193" s="19" t="str" cm="1">
        <f t="array" ref="M193">Common_InputFunctions.Utility_DisplayArrayInTable(Scope3_SourceData.Scope3_InorganicFertilisers_Data(), Table_SourceData_Scope3_InorganicFertiliser[[#Headers],[Category]], 0, -2)</f>
        <v>at market</v>
      </c>
      <c r="N193" s="19" t="s">
        <v>1446</v>
      </c>
    </row>
    <row r="194" spans="4:14" ht="20.100000000000001" customHeight="1" x14ac:dyDescent="0.25">
      <c r="D194" s="19" t="str" cm="1">
        <f t="array" ref="D194">Common_InputFunctions.Utility_DisplayArrayInTable(Scope3_SourceData.Scope3_InorganicFertilisers_Data(), Table_SourceData_Scope3_InorganicFertiliser[[#Headers],[Category]], 0, 2)</f>
        <v>Inorganic fertilisers</v>
      </c>
      <c r="E194" s="19" t="str" cm="1">
        <f t="array" ref="E194">Common_InputFunctions.Utility_DisplayArrayInTable(Scope3_SourceData.Scope3_InorganicFertilisers_Data(), Table_SourceData_Scope3_InorganicFertiliser[[#Headers],[Category]], 0, 2)</f>
        <v>Urea, AU market mix</v>
      </c>
      <c r="F194" s="19" t="str" cm="1">
        <f t="array" ref="F194">Common_InputFunctions.Utility_DisplayArrayInTable(Scope3_SourceData.Scope3_InorganicFertilisers_Data(), Table_SourceData_Scope3_InorganicFertiliser[[#Headers],[Category]], 0, 2)</f>
        <v>Global</v>
      </c>
      <c r="G194" s="19" t="str">
        <f>'Constants - Fertiliser'!$D$22</f>
        <v>Urea</v>
      </c>
      <c r="H194" s="19" t="str">
        <f>'Constants - Fertiliser'!$V$20</f>
        <v>Global</v>
      </c>
      <c r="I194" s="19"/>
      <c r="J194" s="19"/>
      <c r="K194" s="19" t="str" cm="1">
        <f t="array" ref="K194">Common_InputFunctions.Utility_DisplayArrayInTable(Scope3_SourceData.Scope3_InorganicFertilisers_Data(), Table_SourceData_Scope3_InorganicFertiliser[[#Headers],[Category]], 0, -2)</f>
        <v>kg</v>
      </c>
      <c r="L194" s="19" cm="1">
        <f t="array" ref="L194">Common_InputFunctions.Utility_DisplayArrayInTable(Scope3_SourceData.Scope3_InorganicFertilisers_Data(), Table_SourceData_Scope3_InorganicFertiliser[[#Headers],[Category]], 0, -2)</f>
        <v>0.96799999999999997</v>
      </c>
      <c r="M194" s="19" t="str" cm="1">
        <f t="array" ref="M194">Common_InputFunctions.Utility_DisplayArrayInTable(Scope3_SourceData.Scope3_InorganicFertilisers_Data(), Table_SourceData_Scope3_InorganicFertiliser[[#Headers],[Category]], 0, -2)</f>
        <v>at market</v>
      </c>
      <c r="N194" s="19" t="s">
        <v>1446</v>
      </c>
    </row>
    <row r="195" spans="4:14" ht="20.100000000000001" customHeight="1" x14ac:dyDescent="0.25">
      <c r="D195" s="19" t="str" cm="1">
        <f t="array" ref="D195">Common_InputFunctions.Utility_DisplayArrayInTable(Scope3_SourceData.Scope3_InorganicFertilisers_Data(), Table_SourceData_Scope3_InorganicFertiliser[[#Headers],[Category]], 0, 2)</f>
        <v>Inorganic fertilisers</v>
      </c>
      <c r="E195" s="19" t="str" cm="1">
        <f t="array" ref="E195">Common_InputFunctions.Utility_DisplayArrayInTable(Scope3_SourceData.Scope3_InorganicFertilisers_Data(), Table_SourceData_Scope3_InorganicFertiliser[[#Headers],[Category]], 0, 2)</f>
        <v>Urea, Canada</v>
      </c>
      <c r="F195" s="19" t="str" cm="1">
        <f t="array" ref="F195">Common_InputFunctions.Utility_DisplayArrayInTable(Scope3_SourceData.Scope3_InorganicFertilisers_Data(), Table_SourceData_Scope3_InorganicFertiliser[[#Headers],[Category]], 0, 2)</f>
        <v>Canada</v>
      </c>
      <c r="G195" s="19" t="str">
        <f>'Constants - Fertiliser'!$D$22</f>
        <v>Urea</v>
      </c>
      <c r="H195" s="19" t="str">
        <f>'Constants - Fertiliser'!$V$21</f>
        <v>Canada</v>
      </c>
      <c r="I195" s="19"/>
      <c r="J195" s="19"/>
      <c r="K195" s="19" t="str" cm="1">
        <f t="array" ref="K195">Common_InputFunctions.Utility_DisplayArrayInTable(Scope3_SourceData.Scope3_InorganicFertilisers_Data(), Table_SourceData_Scope3_InorganicFertiliser[[#Headers],[Category]], 0, -2)</f>
        <v>kg</v>
      </c>
      <c r="L195" s="19" cm="1">
        <f t="array" ref="L195">Common_InputFunctions.Utility_DisplayArrayInTable(Scope3_SourceData.Scope3_InorganicFertilisers_Data(), Table_SourceData_Scope3_InorganicFertiliser[[#Headers],[Category]], 0, -2)</f>
        <v>0.82299999999999995</v>
      </c>
      <c r="M195" s="19" t="str" cm="1">
        <f t="array" ref="M195">Common_InputFunctions.Utility_DisplayArrayInTable(Scope3_SourceData.Scope3_InorganicFertilisers_Data(), Table_SourceData_Scope3_InorganicFertiliser[[#Headers],[Category]], 0, -2)</f>
        <v>at market</v>
      </c>
      <c r="N195" s="19" t="s">
        <v>1446</v>
      </c>
    </row>
    <row r="196" spans="4:14" ht="20.100000000000001" customHeight="1" x14ac:dyDescent="0.25">
      <c r="D196" s="19" t="str" cm="1">
        <f t="array" ref="D196">Common_InputFunctions.Utility_DisplayArrayInTable(Scope3_SourceData.Scope3_InorganicFertilisers_Data(), Table_SourceData_Scope3_InorganicFertiliser[[#Headers],[Category]], 0, 2)</f>
        <v>Inorganic fertilisers</v>
      </c>
      <c r="E196" s="19" t="str" cm="1">
        <f t="array" ref="E196">Common_InputFunctions.Utility_DisplayArrayInTable(Scope3_SourceData.Scope3_InorganicFertilisers_Data(), Table_SourceData_Scope3_InorganicFertiliser[[#Headers],[Category]], 0, 2)</f>
        <v>Urea, China</v>
      </c>
      <c r="F196" s="19" t="str" cm="1">
        <f t="array" ref="F196">Common_InputFunctions.Utility_DisplayArrayInTable(Scope3_SourceData.Scope3_InorganicFertilisers_Data(), Table_SourceData_Scope3_InorganicFertiliser[[#Headers],[Category]], 0, 2)</f>
        <v>China</v>
      </c>
      <c r="G196" s="19" t="str">
        <f>'Constants - Fertiliser'!$D$22</f>
        <v>Urea</v>
      </c>
      <c r="H196" s="19" t="str">
        <f>'Constants - Fertiliser'!$V$22</f>
        <v>China</v>
      </c>
      <c r="I196" s="19"/>
      <c r="J196" s="19"/>
      <c r="K196" s="19" t="str" cm="1">
        <f t="array" ref="K196">Common_InputFunctions.Utility_DisplayArrayInTable(Scope3_SourceData.Scope3_InorganicFertilisers_Data(), Table_SourceData_Scope3_InorganicFertiliser[[#Headers],[Category]], 0, -2)</f>
        <v>kg</v>
      </c>
      <c r="L196" s="19" cm="1">
        <f t="array" ref="L196">Common_InputFunctions.Utility_DisplayArrayInTable(Scope3_SourceData.Scope3_InorganicFertilisers_Data(), Table_SourceData_Scope3_InorganicFertiliser[[#Headers],[Category]], 0, -2)</f>
        <v>2.09</v>
      </c>
      <c r="M196" s="19" t="str" cm="1">
        <f t="array" ref="M196">Common_InputFunctions.Utility_DisplayArrayInTable(Scope3_SourceData.Scope3_InorganicFertilisers_Data(), Table_SourceData_Scope3_InorganicFertiliser[[#Headers],[Category]], 0, -2)</f>
        <v>at market</v>
      </c>
      <c r="N196" s="19" t="s">
        <v>1446</v>
      </c>
    </row>
    <row r="197" spans="4:14" ht="20.100000000000001" customHeight="1" x14ac:dyDescent="0.25">
      <c r="D197" s="19" t="str" cm="1">
        <f t="array" ref="D197">Common_InputFunctions.Utility_DisplayArrayInTable(Scope3_SourceData.Scope3_InorganicFertilisers_Data(), Table_SourceData_Scope3_InorganicFertiliser[[#Headers],[Category]], 0, 2)</f>
        <v>Inorganic fertilisers</v>
      </c>
      <c r="E197" s="19" t="str" cm="1">
        <f t="array" ref="E197">Common_InputFunctions.Utility_DisplayArrayInTable(Scope3_SourceData.Scope3_InorganicFertilisers_Data(), Table_SourceData_Scope3_InorganicFertiliser[[#Headers],[Category]], 0, 2)</f>
        <v>Urea, Yemen</v>
      </c>
      <c r="F197" s="19" t="str" cm="1">
        <f t="array" ref="F197">Common_InputFunctions.Utility_DisplayArrayInTable(Scope3_SourceData.Scope3_InorganicFertilisers_Data(), Table_SourceData_Scope3_InorganicFertiliser[[#Headers],[Category]], 0, 2)</f>
        <v>Yemen</v>
      </c>
      <c r="G197" s="19" t="str">
        <f>'Constants - Fertiliser'!$D$22</f>
        <v>Urea</v>
      </c>
      <c r="H197" s="19" t="str">
        <f>'Constants - Fertiliser'!$V$23</f>
        <v>Yemen</v>
      </c>
      <c r="I197" s="19"/>
      <c r="J197" s="19"/>
      <c r="K197" s="19" t="str" cm="1">
        <f t="array" ref="K197">Common_InputFunctions.Utility_DisplayArrayInTable(Scope3_SourceData.Scope3_InorganicFertilisers_Data(), Table_SourceData_Scope3_InorganicFertiliser[[#Headers],[Category]], 0, -2)</f>
        <v>kg</v>
      </c>
      <c r="L197" s="19" cm="1">
        <f t="array" ref="L197">Common_InputFunctions.Utility_DisplayArrayInTable(Scope3_SourceData.Scope3_InorganicFertilisers_Data(), Table_SourceData_Scope3_InorganicFertiliser[[#Headers],[Category]], 0, -2)</f>
        <v>0.96299999999999997</v>
      </c>
      <c r="M197" s="19" t="str" cm="1">
        <f t="array" ref="M197">Common_InputFunctions.Utility_DisplayArrayInTable(Scope3_SourceData.Scope3_InorganicFertilisers_Data(), Table_SourceData_Scope3_InorganicFertiliser[[#Headers],[Category]], 0, -2)</f>
        <v>at market</v>
      </c>
      <c r="N197" s="19" t="s">
        <v>1446</v>
      </c>
    </row>
    <row r="198" spans="4:14" ht="20.100000000000001" customHeight="1" x14ac:dyDescent="0.25">
      <c r="D198" s="19" t="str" cm="1">
        <f t="array" ref="D198">Common_InputFunctions.Utility_DisplayArrayInTable(Scope3_SourceData.Scope3_InorganicFertilisers_Data(), Table_SourceData_Scope3_InorganicFertiliser[[#Headers],[Category]], 0, 2)</f>
        <v>Inorganic fertilisers</v>
      </c>
      <c r="E198" s="19" t="str" cm="1">
        <f t="array" ref="E198">Common_InputFunctions.Utility_DisplayArrayInTable(Scope3_SourceData.Scope3_InorganicFertilisers_Data(), Table_SourceData_Scope3_InorganicFertiliser[[#Headers],[Category]], 0, 2)</f>
        <v>Zinc from fertilizer</v>
      </c>
      <c r="F198" s="19" t="str" cm="1">
        <f t="array" ref="F198">Common_InputFunctions.Utility_DisplayArrayInTable(Scope3_SourceData.Scope3_InorganicFertilisers_Data(), Table_SourceData_Scope3_InorganicFertiliser[[#Headers],[Category]], 0, 2)</f>
        <v>Global</v>
      </c>
      <c r="G198" s="19" t="str">
        <f>'Constants - Fertiliser'!$D$33</f>
        <v>Zinc - Generic</v>
      </c>
      <c r="H198" s="19"/>
      <c r="I198" s="19"/>
      <c r="J198" s="19"/>
      <c r="K198" s="19" t="str" cm="1">
        <f t="array" ref="K198">Common_InputFunctions.Utility_DisplayArrayInTable(Scope3_SourceData.Scope3_InorganicFertilisers_Data(), Table_SourceData_Scope3_InorganicFertiliser[[#Headers],[Category]], 0, -2)</f>
        <v>kg Zn</v>
      </c>
      <c r="L198" s="19" cm="1">
        <f t="array" ref="L198">Common_InputFunctions.Utility_DisplayArrayInTable(Scope3_SourceData.Scope3_InorganicFertilisers_Data(), Table_SourceData_Scope3_InorganicFertiliser[[#Headers],[Category]], 0, -2)</f>
        <v>4.82</v>
      </c>
      <c r="M198" s="19" t="str" cm="1">
        <f t="array" ref="M198">Common_InputFunctions.Utility_DisplayArrayInTable(Scope3_SourceData.Scope3_InorganicFertilisers_Data(), Table_SourceData_Scope3_InorganicFertiliser[[#Headers],[Category]], 0, -2)</f>
        <v>at market</v>
      </c>
      <c r="N198" s="19" t="s">
        <v>1446</v>
      </c>
    </row>
    <row r="199" spans="4:14" ht="20.100000000000001" customHeight="1" x14ac:dyDescent="0.25"/>
    <row r="200" spans="4:14" ht="20.100000000000001" customHeight="1" x14ac:dyDescent="0.25">
      <c r="D200" s="2" t="s">
        <v>1460</v>
      </c>
    </row>
    <row r="201" spans="4:14" ht="20.100000000000001" customHeight="1" x14ac:dyDescent="0.25">
      <c r="D201" s="19" t="s">
        <v>1439</v>
      </c>
      <c r="E201" s="19" t="s">
        <v>131</v>
      </c>
      <c r="F201" s="19" t="s">
        <v>1440</v>
      </c>
      <c r="G201" s="19" t="s">
        <v>1441</v>
      </c>
      <c r="H201" s="19" t="s">
        <v>1442</v>
      </c>
      <c r="I201" s="19" t="s">
        <v>1443</v>
      </c>
      <c r="J201" s="19" t="s">
        <v>834</v>
      </c>
    </row>
    <row r="202" spans="4:14" ht="20.100000000000001" customHeight="1" x14ac:dyDescent="0.25">
      <c r="D202" s="19" t="str" cm="1">
        <f t="array" ref="D202">Common_InputFunctions.Utility_DisplayArrayInTable(Scope3_SourceData.Scope3_Other_Data(), Table_SourceData_Scope3_Other[[#Headers],[Category]], 0, 2)</f>
        <v>Other</v>
      </c>
      <c r="E202" s="19" t="str" cm="1">
        <f t="array" ref="E202">Common_InputFunctions.Utility_DisplayArrayInTable(Scope3_SourceData.Scope3_Other_Data(), Table_SourceData_Scope3_Other[[#Headers],[Category]], 0, 2)</f>
        <v>Animal ear tags (large)</v>
      </c>
      <c r="F202" s="19" t="str" cm="1">
        <f t="array" ref="F202">Common_InputFunctions.Utility_DisplayArrayInTable(Scope3_SourceData.Scope3_Other_Data(), Table_SourceData_Scope3_Other[[#Headers],[Category]], 0, 2)</f>
        <v>Australia</v>
      </c>
      <c r="G202" s="19" t="str" cm="1">
        <f t="array" ref="G202">Common_InputFunctions.Utility_DisplayArrayInTable(Scope3_SourceData.Scope3_Other_Data(), Table_SourceData_Scope3_Other[[#Headers],[Category]], 0, 2)</f>
        <v>p</v>
      </c>
      <c r="H202" s="19" cm="1">
        <f t="array" ref="H202">Common_InputFunctions.Utility_DisplayArrayInTable(Scope3_SourceData.Scope3_Other_Data(), Table_SourceData_Scope3_Other[[#Headers],[Category]], 0, 2)</f>
        <v>4.24E-2</v>
      </c>
      <c r="I202" s="19" t="str" cm="1">
        <f t="array" ref="I202">Common_InputFunctions.Utility_DisplayArrayInTable(Scope3_SourceData.Scope3_Other_Data(), Table_SourceData_Scope3_Other[[#Headers],[Category]], 0, 2)</f>
        <v>at market</v>
      </c>
      <c r="J202" s="19" t="s">
        <v>1446</v>
      </c>
    </row>
    <row r="203" spans="4:14" ht="20.100000000000001" customHeight="1" x14ac:dyDescent="0.25">
      <c r="D203" s="19" t="str" cm="1">
        <f t="array" ref="D203">Common_InputFunctions.Utility_DisplayArrayInTable(Scope3_SourceData.Scope3_Other_Data(), Table_SourceData_Scope3_Other[[#Headers],[Category]], 0, 2)</f>
        <v>Other</v>
      </c>
      <c r="E203" s="19" t="str" cm="1">
        <f t="array" ref="E203">Common_InputFunctions.Utility_DisplayArrayInTable(Scope3_SourceData.Scope3_Other_Data(), Table_SourceData_Scope3_Other[[#Headers],[Category]], 0, 2)</f>
        <v>Animal ear tags (small)</v>
      </c>
      <c r="F203" s="19" t="str" cm="1">
        <f t="array" ref="F203">Common_InputFunctions.Utility_DisplayArrayInTable(Scope3_SourceData.Scope3_Other_Data(), Table_SourceData_Scope3_Other[[#Headers],[Category]], 0, 2)</f>
        <v>Australia</v>
      </c>
      <c r="G203" s="19" t="str" cm="1">
        <f t="array" ref="G203">Common_InputFunctions.Utility_DisplayArrayInTable(Scope3_SourceData.Scope3_Other_Data(), Table_SourceData_Scope3_Other[[#Headers],[Category]], 0, 2)</f>
        <v>p</v>
      </c>
      <c r="H203" s="19" cm="1">
        <f t="array" ref="H203">Common_InputFunctions.Utility_DisplayArrayInTable(Scope3_SourceData.Scope3_Other_Data(), Table_SourceData_Scope3_Other[[#Headers],[Category]], 0, 2)</f>
        <v>2.93E-2</v>
      </c>
      <c r="I203" s="19" t="str" cm="1">
        <f t="array" ref="I203">Common_InputFunctions.Utility_DisplayArrayInTable(Scope3_SourceData.Scope3_Other_Data(), Table_SourceData_Scope3_Other[[#Headers],[Category]], 0, 2)</f>
        <v>at market</v>
      </c>
      <c r="J203" s="19" t="s">
        <v>1446</v>
      </c>
    </row>
    <row r="204" spans="4:14" ht="20.100000000000001" customHeight="1" x14ac:dyDescent="0.25">
      <c r="D204" s="19" t="str" cm="1">
        <f t="array" ref="D204">Common_InputFunctions.Utility_DisplayArrayInTable(Scope3_SourceData.Scope3_Other_Data(), Table_SourceData_Scope3_Other[[#Headers],[Category]], 0, 2)</f>
        <v>Other</v>
      </c>
      <c r="E204" s="19" t="str" cm="1">
        <f t="array" ref="E204">Common_InputFunctions.Utility_DisplayArrayInTable(Scope3_SourceData.Scope3_Other_Data(), Table_SourceData_Scope3_Other[[#Headers],[Category]], 0, 2)</f>
        <v>Barley grain (for seed)</v>
      </c>
      <c r="F204" s="19" t="str" cm="1">
        <f t="array" ref="F204">Common_InputFunctions.Utility_DisplayArrayInTable(Scope3_SourceData.Scope3_Other_Data(), Table_SourceData_Scope3_Other[[#Headers],[Category]], 0, 2)</f>
        <v>Australia</v>
      </c>
      <c r="G204" s="19" t="str" cm="1">
        <f t="array" ref="G204">Common_InputFunctions.Utility_DisplayArrayInTable(Scope3_SourceData.Scope3_Other_Data(), Table_SourceData_Scope3_Other[[#Headers],[Category]], 0, 2)</f>
        <v>kg</v>
      </c>
      <c r="H204" s="19" cm="1">
        <f t="array" ref="H204">Common_InputFunctions.Utility_DisplayArrayInTable(Scope3_SourceData.Scope3_Other_Data(), Table_SourceData_Scope3_Other[[#Headers],[Category]], 0, 2)</f>
        <v>0.23899999999999999</v>
      </c>
      <c r="I204" s="19" t="str" cm="1">
        <f t="array" ref="I204">Common_InputFunctions.Utility_DisplayArrayInTable(Scope3_SourceData.Scope3_Other_Data(), Table_SourceData_Scope3_Other[[#Headers],[Category]], 0, 2)</f>
        <v>at market</v>
      </c>
      <c r="J204" s="19" t="s">
        <v>1446</v>
      </c>
    </row>
    <row r="205" spans="4:14" ht="20.100000000000001" customHeight="1" x14ac:dyDescent="0.25">
      <c r="D205" s="19" t="str" cm="1">
        <f t="array" ref="D205">Common_InputFunctions.Utility_DisplayArrayInTable(Scope3_SourceData.Scope3_Other_Data(), Table_SourceData_Scope3_Other[[#Headers],[Category]], 0, 2)</f>
        <v>Other</v>
      </c>
      <c r="E205" s="19" t="str" cm="1">
        <f t="array" ref="E205">Common_InputFunctions.Utility_DisplayArrayInTable(Scope3_SourceData.Scope3_Other_Data(), Table_SourceData_Scope3_Other[[#Headers],[Category]], 0, 2)</f>
        <v>Maize grain (for seed)</v>
      </c>
      <c r="F205" s="19" t="str" cm="1">
        <f t="array" ref="F205">Common_InputFunctions.Utility_DisplayArrayInTable(Scope3_SourceData.Scope3_Other_Data(), Table_SourceData_Scope3_Other[[#Headers],[Category]], 0, 2)</f>
        <v>Australia</v>
      </c>
      <c r="G205" s="19" t="str" cm="1">
        <f t="array" ref="G205">Common_InputFunctions.Utility_DisplayArrayInTable(Scope3_SourceData.Scope3_Other_Data(), Table_SourceData_Scope3_Other[[#Headers],[Category]], 0, 2)</f>
        <v>kg</v>
      </c>
      <c r="H205" s="19" cm="1">
        <f t="array" ref="H205">Common_InputFunctions.Utility_DisplayArrayInTable(Scope3_SourceData.Scope3_Other_Data(), Table_SourceData_Scope3_Other[[#Headers],[Category]], 0, 2)</f>
        <v>0.18099999999999999</v>
      </c>
      <c r="I205" s="19" t="str" cm="1">
        <f t="array" ref="I205">Common_InputFunctions.Utility_DisplayArrayInTable(Scope3_SourceData.Scope3_Other_Data(), Table_SourceData_Scope3_Other[[#Headers],[Category]], 0, 2)</f>
        <v>at market</v>
      </c>
      <c r="J205" s="19" t="s">
        <v>1446</v>
      </c>
    </row>
    <row r="206" spans="4:14" ht="20.100000000000001" customHeight="1" x14ac:dyDescent="0.25">
      <c r="D206" s="19" t="str" cm="1">
        <f t="array" ref="D206">Common_InputFunctions.Utility_DisplayArrayInTable(Scope3_SourceData.Scope3_Other_Data(), Table_SourceData_Scope3_Other[[#Headers],[Category]], 0, 2)</f>
        <v>Other</v>
      </c>
      <c r="E206" s="19" t="str" cm="1">
        <f t="array" ref="E206">Common_InputFunctions.Utility_DisplayArrayInTable(Scope3_SourceData.Scope3_Other_Data(), Table_SourceData_Scope3_Other[[#Headers],[Category]], 0, 2)</f>
        <v>Nylon netting</v>
      </c>
      <c r="F206" s="19" t="str" cm="1">
        <f t="array" ref="F206">Common_InputFunctions.Utility_DisplayArrayInTable(Scope3_SourceData.Scope3_Other_Data(), Table_SourceData_Scope3_Other[[#Headers],[Category]], 0, 2)</f>
        <v>Global</v>
      </c>
      <c r="G206" s="19" t="str" cm="1">
        <f t="array" ref="G206">Common_InputFunctions.Utility_DisplayArrayInTable(Scope3_SourceData.Scope3_Other_Data(), Table_SourceData_Scope3_Other[[#Headers],[Category]], 0, 2)</f>
        <v>kg</v>
      </c>
      <c r="H206" s="19" cm="1">
        <f t="array" ref="H206">Common_InputFunctions.Utility_DisplayArrayInTable(Scope3_SourceData.Scope3_Other_Data(), Table_SourceData_Scope3_Other[[#Headers],[Category]], 0, 2)</f>
        <v>9.81</v>
      </c>
      <c r="I206" s="19" t="str" cm="1">
        <f t="array" ref="I206">Common_InputFunctions.Utility_DisplayArrayInTable(Scope3_SourceData.Scope3_Other_Data(), Table_SourceData_Scope3_Other[[#Headers],[Category]], 0, 2)</f>
        <v>at market</v>
      </c>
      <c r="J206" s="19" t="s">
        <v>1446</v>
      </c>
    </row>
    <row r="207" spans="4:14" ht="20.100000000000001" customHeight="1" x14ac:dyDescent="0.25">
      <c r="D207" s="19" t="str" cm="1">
        <f t="array" ref="D207">Common_InputFunctions.Utility_DisplayArrayInTable(Scope3_SourceData.Scope3_Other_Data(), Table_SourceData_Scope3_Other[[#Headers],[Category]], 0, 2)</f>
        <v>Other</v>
      </c>
      <c r="E207" s="19" t="str" cm="1">
        <f t="array" ref="E207">Common_InputFunctions.Utility_DisplayArrayInTable(Scope3_SourceData.Scope3_Other_Data(), Table_SourceData_Scope3_Other[[#Headers],[Category]], 0, 2)</f>
        <v>Oat grain (for seed)</v>
      </c>
      <c r="F207" s="19" t="str" cm="1">
        <f t="array" ref="F207">Common_InputFunctions.Utility_DisplayArrayInTable(Scope3_SourceData.Scope3_Other_Data(), Table_SourceData_Scope3_Other[[#Headers],[Category]], 0, 2)</f>
        <v>Australia</v>
      </c>
      <c r="G207" s="19" t="str" cm="1">
        <f t="array" ref="G207">Common_InputFunctions.Utility_DisplayArrayInTable(Scope3_SourceData.Scope3_Other_Data(), Table_SourceData_Scope3_Other[[#Headers],[Category]], 0, 2)</f>
        <v>kg</v>
      </c>
      <c r="H207" s="19" cm="1">
        <f t="array" ref="H207">Common_InputFunctions.Utility_DisplayArrayInTable(Scope3_SourceData.Scope3_Other_Data(), Table_SourceData_Scope3_Other[[#Headers],[Category]], 0, 2)</f>
        <v>0.27</v>
      </c>
      <c r="I207" s="19" t="str" cm="1">
        <f t="array" ref="I207">Common_InputFunctions.Utility_DisplayArrayInTable(Scope3_SourceData.Scope3_Other_Data(), Table_SourceData_Scope3_Other[[#Headers],[Category]], 0, 2)</f>
        <v>at market</v>
      </c>
      <c r="J207" s="19" t="s">
        <v>1446</v>
      </c>
    </row>
    <row r="208" spans="4:14" ht="20.100000000000001" customHeight="1" x14ac:dyDescent="0.25">
      <c r="D208" s="19" t="str" cm="1">
        <f t="array" ref="D208">Common_InputFunctions.Utility_DisplayArrayInTable(Scope3_SourceData.Scope3_Other_Data(), Table_SourceData_Scope3_Other[[#Headers],[Category]], 0, 2)</f>
        <v>Other</v>
      </c>
      <c r="E208" s="19" t="str" cm="1">
        <f t="array" ref="E208">Common_InputFunctions.Utility_DisplayArrayInTable(Scope3_SourceData.Scope3_Other_Data(), Table_SourceData_Scope3_Other[[#Headers],[Category]], 0, 2)</f>
        <v>Sorghum grain (for seed)</v>
      </c>
      <c r="F208" s="19" t="str" cm="1">
        <f t="array" ref="F208">Common_InputFunctions.Utility_DisplayArrayInTable(Scope3_SourceData.Scope3_Other_Data(), Table_SourceData_Scope3_Other[[#Headers],[Category]], 0, 2)</f>
        <v>Australia</v>
      </c>
      <c r="G208" s="19" t="str" cm="1">
        <f t="array" ref="G208">Common_InputFunctions.Utility_DisplayArrayInTable(Scope3_SourceData.Scope3_Other_Data(), Table_SourceData_Scope3_Other[[#Headers],[Category]], 0, 2)</f>
        <v>kg</v>
      </c>
      <c r="H208" s="19" cm="1">
        <f t="array" ref="H208">Common_InputFunctions.Utility_DisplayArrayInTable(Scope3_SourceData.Scope3_Other_Data(), Table_SourceData_Scope3_Other[[#Headers],[Category]], 0, 2)</f>
        <v>0.23200000000000001</v>
      </c>
      <c r="I208" s="19" t="str" cm="1">
        <f t="array" ref="I208">Common_InputFunctions.Utility_DisplayArrayInTable(Scope3_SourceData.Scope3_Other_Data(), Table_SourceData_Scope3_Other[[#Headers],[Category]], 0, 2)</f>
        <v>at market</v>
      </c>
      <c r="J208" s="19" t="s">
        <v>1446</v>
      </c>
    </row>
    <row r="209" spans="4:10" ht="20.100000000000001" customHeight="1" x14ac:dyDescent="0.25">
      <c r="D209" s="19" t="str" cm="1">
        <f t="array" ref="D209">Common_InputFunctions.Utility_DisplayArrayInTable(Scope3_SourceData.Scope3_Other_Data(), Table_SourceData_Scope3_Other[[#Headers],[Category]], 0, 2)</f>
        <v>Other</v>
      </c>
      <c r="E209" s="19" t="str" cm="1">
        <f t="array" ref="E209">Common_InputFunctions.Utility_DisplayArrayInTable(Scope3_SourceData.Scope3_Other_Data(), Table_SourceData_Scope3_Other[[#Headers],[Category]], 0, 2)</f>
        <v>Wheat grain (for seed)</v>
      </c>
      <c r="F209" s="19" t="str" cm="1">
        <f t="array" ref="F209">Common_InputFunctions.Utility_DisplayArrayInTable(Scope3_SourceData.Scope3_Other_Data(), Table_SourceData_Scope3_Other[[#Headers],[Category]], 0, 2)</f>
        <v>Australia</v>
      </c>
      <c r="G209" s="19" t="str" cm="1">
        <f t="array" ref="G209">Common_InputFunctions.Utility_DisplayArrayInTable(Scope3_SourceData.Scope3_Other_Data(), Table_SourceData_Scope3_Other[[#Headers],[Category]], 0, 2)</f>
        <v>kg</v>
      </c>
      <c r="H209" s="19" cm="1">
        <f t="array" ref="H209">Common_InputFunctions.Utility_DisplayArrayInTable(Scope3_SourceData.Scope3_Other_Data(), Table_SourceData_Scope3_Other[[#Headers],[Category]], 0, 2)</f>
        <v>0.26800000000000002</v>
      </c>
      <c r="I209" s="19" t="str" cm="1">
        <f t="array" ref="I209">Common_InputFunctions.Utility_DisplayArrayInTable(Scope3_SourceData.Scope3_Other_Data(), Table_SourceData_Scope3_Other[[#Headers],[Category]], 0, 2)</f>
        <v>at market</v>
      </c>
      <c r="J209" s="19" t="s">
        <v>1446</v>
      </c>
    </row>
    <row r="210" spans="4:10" ht="20.100000000000001" customHeight="1" x14ac:dyDescent="0.25"/>
    <row r="211" spans="4:10" ht="20.100000000000001" customHeight="1" x14ac:dyDescent="0.25">
      <c r="D211" s="2" t="s">
        <v>1461</v>
      </c>
    </row>
    <row r="212" spans="4:10" ht="20.100000000000001" customHeight="1" x14ac:dyDescent="0.25">
      <c r="D212" s="19" t="s">
        <v>1439</v>
      </c>
      <c r="E212" s="19" t="s">
        <v>131</v>
      </c>
      <c r="F212" s="19" t="s">
        <v>1440</v>
      </c>
      <c r="G212" s="19" t="s">
        <v>1441</v>
      </c>
      <c r="H212" s="19" t="s">
        <v>1442</v>
      </c>
      <c r="I212" s="19" t="s">
        <v>1443</v>
      </c>
      <c r="J212" s="19" t="s">
        <v>834</v>
      </c>
    </row>
    <row r="213" spans="4:10" ht="20.100000000000001" customHeight="1" x14ac:dyDescent="0.25">
      <c r="D213" s="19" t="str" cm="1">
        <f t="array" ref="D213">Common_InputFunctions.Utility_DisplayArrayInTable(Scope3_SourceData.Scope3_Packaging_Data(), Table_SourceData_Scope3_Packaging[[#Headers],[Category]], 0, 2)</f>
        <v>Packaging</v>
      </c>
      <c r="E213" s="19" t="str" cm="1">
        <f t="array" ref="E213">Common_InputFunctions.Utility_DisplayArrayInTable(Scope3_SourceData.Scope3_Packaging_Data(), Table_SourceData_Scope3_Packaging[[#Headers],[Category]], 0, 2)</f>
        <v>Corrugated board</v>
      </c>
      <c r="F213" s="19" t="str" cm="1">
        <f t="array" ref="F213">Common_InputFunctions.Utility_DisplayArrayInTable(Scope3_SourceData.Scope3_Packaging_Data(), Table_SourceData_Scope3_Packaging[[#Headers],[Category]], 0, 2)</f>
        <v>Global</v>
      </c>
      <c r="G213" s="19" t="str" cm="1">
        <f t="array" ref="G213">Common_InputFunctions.Utility_DisplayArrayInTable(Scope3_SourceData.Scope3_Packaging_Data(), Table_SourceData_Scope3_Packaging[[#Headers],[Category]], 0, 2)</f>
        <v>kg</v>
      </c>
      <c r="H213" s="19" cm="1">
        <f t="array" ref="H213">Common_InputFunctions.Utility_DisplayArrayInTable(Scope3_SourceData.Scope3_Packaging_Data(), Table_SourceData_Scope3_Packaging[[#Headers],[Category]], 0, 2)</f>
        <v>1.05</v>
      </c>
      <c r="I213" s="19" t="str" cm="1">
        <f t="array" ref="I213">Common_InputFunctions.Utility_DisplayArrayInTable(Scope3_SourceData.Scope3_Packaging_Data(), Table_SourceData_Scope3_Packaging[[#Headers],[Category]], 0, 2)</f>
        <v>at manufacturer</v>
      </c>
      <c r="J213" s="19" t="s">
        <v>1446</v>
      </c>
    </row>
    <row r="214" spans="4:10" ht="20.100000000000001" customHeight="1" x14ac:dyDescent="0.25">
      <c r="D214" s="19" t="str" cm="1">
        <f t="array" ref="D214">Common_InputFunctions.Utility_DisplayArrayInTable(Scope3_SourceData.Scope3_Packaging_Data(), Table_SourceData_Scope3_Packaging[[#Headers],[Category]], 0, 2)</f>
        <v>Packaging</v>
      </c>
      <c r="E214" s="19" t="str" cm="1">
        <f t="array" ref="E214">Common_InputFunctions.Utility_DisplayArrayInTable(Scope3_SourceData.Scope3_Packaging_Data(), Table_SourceData_Scope3_Packaging[[#Headers],[Category]], 0, 2)</f>
        <v>Plastic crate polypropylene</v>
      </c>
      <c r="F214" s="19" t="str" cm="1">
        <f t="array" ref="F214">Common_InputFunctions.Utility_DisplayArrayInTable(Scope3_SourceData.Scope3_Packaging_Data(), Table_SourceData_Scope3_Packaging[[#Headers],[Category]], 0, 2)</f>
        <v>Global</v>
      </c>
      <c r="G214" s="19" t="str" cm="1">
        <f t="array" ref="G214">Common_InputFunctions.Utility_DisplayArrayInTable(Scope3_SourceData.Scope3_Packaging_Data(), Table_SourceData_Scope3_Packaging[[#Headers],[Category]], 0, 2)</f>
        <v>p</v>
      </c>
      <c r="H214" s="19" cm="1">
        <f t="array" ref="H214">Common_InputFunctions.Utility_DisplayArrayInTable(Scope3_SourceData.Scope3_Packaging_Data(), Table_SourceData_Scope3_Packaging[[#Headers],[Category]], 0, 2)</f>
        <v>3.99</v>
      </c>
      <c r="I214" s="19" t="str" cm="1">
        <f t="array" ref="I214">Common_InputFunctions.Utility_DisplayArrayInTable(Scope3_SourceData.Scope3_Packaging_Data(), Table_SourceData_Scope3_Packaging[[#Headers],[Category]], 0, 2)</f>
        <v>at manufacturer</v>
      </c>
      <c r="J214" s="19" t="s">
        <v>1446</v>
      </c>
    </row>
    <row r="215" spans="4:10" ht="20.100000000000001" customHeight="1" x14ac:dyDescent="0.25">
      <c r="D215" s="19" t="str" cm="1">
        <f t="array" ref="D215">Common_InputFunctions.Utility_DisplayArrayInTable(Scope3_SourceData.Scope3_Packaging_Data(), Table_SourceData_Scope3_Packaging[[#Headers],[Category]], 0, 2)</f>
        <v>Packaging</v>
      </c>
      <c r="E215" s="19" t="str" cm="1">
        <f t="array" ref="E215">Common_InputFunctions.Utility_DisplayArrayInTable(Scope3_SourceData.Scope3_Packaging_Data(), Table_SourceData_Scope3_Packaging[[#Headers],[Category]], 0, 2)</f>
        <v>Plastic film LDPE</v>
      </c>
      <c r="F215" s="19" t="str" cm="1">
        <f t="array" ref="F215">Common_InputFunctions.Utility_DisplayArrayInTable(Scope3_SourceData.Scope3_Packaging_Data(), Table_SourceData_Scope3_Packaging[[#Headers],[Category]], 0, 2)</f>
        <v>Global</v>
      </c>
      <c r="G215" s="19" t="str" cm="1">
        <f t="array" ref="G215">Common_InputFunctions.Utility_DisplayArrayInTable(Scope3_SourceData.Scope3_Packaging_Data(), Table_SourceData_Scope3_Packaging[[#Headers],[Category]], 0, 2)</f>
        <v>kg</v>
      </c>
      <c r="H215" s="19" cm="1">
        <f t="array" ref="H215">Common_InputFunctions.Utility_DisplayArrayInTable(Scope3_SourceData.Scope3_Packaging_Data(), Table_SourceData_Scope3_Packaging[[#Headers],[Category]], 0, 2)</f>
        <v>3.44</v>
      </c>
      <c r="I215" s="19" t="str" cm="1">
        <f t="array" ref="I215">Common_InputFunctions.Utility_DisplayArrayInTable(Scope3_SourceData.Scope3_Packaging_Data(), Table_SourceData_Scope3_Packaging[[#Headers],[Category]], 0, 2)</f>
        <v>at manufacturer</v>
      </c>
      <c r="J215" s="19" t="s">
        <v>1446</v>
      </c>
    </row>
    <row r="216" spans="4:10" ht="20.100000000000001" customHeight="1" x14ac:dyDescent="0.25">
      <c r="D216" s="19" t="str" cm="1">
        <f t="array" ref="D216">Common_InputFunctions.Utility_DisplayArrayInTable(Scope3_SourceData.Scope3_Packaging_Data(), Table_SourceData_Scope3_Packaging[[#Headers],[Category]], 0, 2)</f>
        <v>Packaging</v>
      </c>
      <c r="E216" s="19" t="str" cm="1">
        <f t="array" ref="E216">Common_InputFunctions.Utility_DisplayArrayInTable(Scope3_SourceData.Scope3_Packaging_Data(), Table_SourceData_Scope3_Packaging[[#Headers],[Category]], 0, 2)</f>
        <v>Plastic sheet HDPE</v>
      </c>
      <c r="F216" s="19" t="str" cm="1">
        <f t="array" ref="F216">Common_InputFunctions.Utility_DisplayArrayInTable(Scope3_SourceData.Scope3_Packaging_Data(), Table_SourceData_Scope3_Packaging[[#Headers],[Category]], 0, 2)</f>
        <v>Global</v>
      </c>
      <c r="G216" s="19" t="str" cm="1">
        <f t="array" ref="G216">Common_InputFunctions.Utility_DisplayArrayInTable(Scope3_SourceData.Scope3_Packaging_Data(), Table_SourceData_Scope3_Packaging[[#Headers],[Category]], 0, 2)</f>
        <v>kg</v>
      </c>
      <c r="H216" s="19" cm="1">
        <f t="array" ref="H216">Common_InputFunctions.Utility_DisplayArrayInTable(Scope3_SourceData.Scope3_Packaging_Data(), Table_SourceData_Scope3_Packaging[[#Headers],[Category]], 0, 2)</f>
        <v>3.72</v>
      </c>
      <c r="I216" s="19" t="str" cm="1">
        <f t="array" ref="I216">Common_InputFunctions.Utility_DisplayArrayInTable(Scope3_SourceData.Scope3_Packaging_Data(), Table_SourceData_Scope3_Packaging[[#Headers],[Category]], 0, 2)</f>
        <v>at manufacturer</v>
      </c>
      <c r="J216" s="19" t="s">
        <v>1446</v>
      </c>
    </row>
    <row r="217" spans="4:10" ht="20.100000000000001" customHeight="1" x14ac:dyDescent="0.25"/>
    <row r="218" spans="4:10" ht="20.100000000000001" customHeight="1" x14ac:dyDescent="0.25">
      <c r="D218" s="2" t="s">
        <v>1223</v>
      </c>
    </row>
    <row r="219" spans="4:10" ht="20.100000000000001" customHeight="1" x14ac:dyDescent="0.25">
      <c r="D219" s="19" t="s">
        <v>1439</v>
      </c>
      <c r="E219" s="19" t="s">
        <v>131</v>
      </c>
      <c r="F219" s="19" t="s">
        <v>1440</v>
      </c>
      <c r="G219" s="19" t="s">
        <v>1441</v>
      </c>
      <c r="H219" s="19" t="s">
        <v>1442</v>
      </c>
      <c r="I219" s="19" t="s">
        <v>1443</v>
      </c>
      <c r="J219" s="19" t="s">
        <v>834</v>
      </c>
    </row>
    <row r="220" spans="4:10" ht="20.100000000000001" customHeight="1" x14ac:dyDescent="0.25">
      <c r="D220" s="19" t="str" cm="1">
        <f t="array" ref="D220">Common_InputFunctions.Utility_DisplayArrayInTable(Scope3_SourceData.Scope3_Pesticides_Data(), Table_SourceData_Scope3_Pesticides[[#Headers],[Category]], 0, 2)</f>
        <v>Pesticides</v>
      </c>
      <c r="E220" s="19" t="str" cm="1">
        <f t="array" ref="E220">Common_InputFunctions.Utility_DisplayArrayInTable(Scope3_SourceData.Scope3_Pesticides_Data(), Table_SourceData_Scope3_Pesticides[[#Headers],[Category]], 0, 2)</f>
        <v>2,4-D</v>
      </c>
      <c r="F220" s="19" t="str" cm="1">
        <f t="array" ref="F220">Common_InputFunctions.Utility_DisplayArrayInTable(Scope3_SourceData.Scope3_Pesticides_Data(), Table_SourceData_Scope3_Pesticides[[#Headers],[Category]], 0, 2)</f>
        <v>Global</v>
      </c>
      <c r="G220" s="19" t="str" cm="1">
        <f t="array" ref="G220">Common_InputFunctions.Utility_DisplayArrayInTable(Scope3_SourceData.Scope3_Pesticides_Data(), Table_SourceData_Scope3_Pesticides[[#Headers],[Category]], 0, 2)</f>
        <v>kg AI</v>
      </c>
      <c r="H220" s="19" cm="1">
        <f t="array" ref="H220">Common_InputFunctions.Utility_DisplayArrayInTable(Scope3_SourceData.Scope3_Pesticides_Data(), Table_SourceData_Scope3_Pesticides[[#Headers],[Category]], 0, 2)</f>
        <v>5.2</v>
      </c>
      <c r="I220" s="19" t="str" cm="1">
        <f t="array" ref="I220">Common_InputFunctions.Utility_DisplayArrayInTable(Scope3_SourceData.Scope3_Pesticides_Data(), Table_SourceData_Scope3_Pesticides[[#Headers],[Category]], 0, 2)</f>
        <v>at market</v>
      </c>
      <c r="J220" s="19" t="s">
        <v>1446</v>
      </c>
    </row>
    <row r="221" spans="4:10" ht="20.100000000000001" customHeight="1" x14ac:dyDescent="0.25">
      <c r="D221" s="19" t="str" cm="1">
        <f t="array" ref="D221">Common_InputFunctions.Utility_DisplayArrayInTable(Scope3_SourceData.Scope3_Pesticides_Data(), Table_SourceData_Scope3_Pesticides[[#Headers],[Category]], 0, 2)</f>
        <v>Pesticides</v>
      </c>
      <c r="E221" s="19" t="str" cm="1">
        <f t="array" ref="E221">Common_InputFunctions.Utility_DisplayArrayInTable(Scope3_SourceData.Scope3_Pesticides_Data(), Table_SourceData_Scope3_Pesticides[[#Headers],[Category]], 0, 2)</f>
        <v>Atrazine</v>
      </c>
      <c r="F221" s="19" t="str" cm="1">
        <f t="array" ref="F221">Common_InputFunctions.Utility_DisplayArrayInTable(Scope3_SourceData.Scope3_Pesticides_Data(), Table_SourceData_Scope3_Pesticides[[#Headers],[Category]], 0, 2)</f>
        <v>Global</v>
      </c>
      <c r="G221" s="19" t="str" cm="1">
        <f t="array" ref="G221">Common_InputFunctions.Utility_DisplayArrayInTable(Scope3_SourceData.Scope3_Pesticides_Data(), Table_SourceData_Scope3_Pesticides[[#Headers],[Category]], 0, 2)</f>
        <v>kg AI</v>
      </c>
      <c r="H221" s="19" cm="1">
        <f t="array" ref="H221">Common_InputFunctions.Utility_DisplayArrayInTable(Scope3_SourceData.Scope3_Pesticides_Data(), Table_SourceData_Scope3_Pesticides[[#Headers],[Category]], 0, 2)</f>
        <v>8.3800000000000008</v>
      </c>
      <c r="I221" s="19" t="str" cm="1">
        <f t="array" ref="I221">Common_InputFunctions.Utility_DisplayArrayInTable(Scope3_SourceData.Scope3_Pesticides_Data(), Table_SourceData_Scope3_Pesticides[[#Headers],[Category]], 0, 2)</f>
        <v>at market</v>
      </c>
      <c r="J221" s="19" t="s">
        <v>1446</v>
      </c>
    </row>
    <row r="222" spans="4:10" ht="20.100000000000001" customHeight="1" x14ac:dyDescent="0.25">
      <c r="D222" s="19" t="str" cm="1">
        <f t="array" ref="D222">Common_InputFunctions.Utility_DisplayArrayInTable(Scope3_SourceData.Scope3_Pesticides_Data(), Table_SourceData_Scope3_Pesticides[[#Headers],[Category]], 0, 2)</f>
        <v>Pesticides</v>
      </c>
      <c r="E222" s="19" t="str" cm="1">
        <f t="array" ref="E222">Common_InputFunctions.Utility_DisplayArrayInTable(Scope3_SourceData.Scope3_Pesticides_Data(), Table_SourceData_Scope3_Pesticides[[#Headers],[Category]], 0, 2)</f>
        <v>Diuron</v>
      </c>
      <c r="F222" s="19" t="str" cm="1">
        <f t="array" ref="F222">Common_InputFunctions.Utility_DisplayArrayInTable(Scope3_SourceData.Scope3_Pesticides_Data(), Table_SourceData_Scope3_Pesticides[[#Headers],[Category]], 0, 2)</f>
        <v>Global</v>
      </c>
      <c r="G222" s="19" t="str" cm="1">
        <f t="array" ref="G222">Common_InputFunctions.Utility_DisplayArrayInTable(Scope3_SourceData.Scope3_Pesticides_Data(), Table_SourceData_Scope3_Pesticides[[#Headers],[Category]], 0, 2)</f>
        <v>kg AI</v>
      </c>
      <c r="H222" s="19" cm="1">
        <f t="array" ref="H222">Common_InputFunctions.Utility_DisplayArrayInTable(Scope3_SourceData.Scope3_Pesticides_Data(), Table_SourceData_Scope3_Pesticides[[#Headers],[Category]], 0, 2)</f>
        <v>8.8000000000000007</v>
      </c>
      <c r="I222" s="19" t="str" cm="1">
        <f t="array" ref="I222">Common_InputFunctions.Utility_DisplayArrayInTable(Scope3_SourceData.Scope3_Pesticides_Data(), Table_SourceData_Scope3_Pesticides[[#Headers],[Category]], 0, 2)</f>
        <v>at market</v>
      </c>
      <c r="J222" s="19" t="s">
        <v>1446</v>
      </c>
    </row>
    <row r="223" spans="4:10" ht="20.100000000000001" customHeight="1" x14ac:dyDescent="0.25">
      <c r="D223" s="19" t="str" cm="1">
        <f t="array" ref="D223">Common_InputFunctions.Utility_DisplayArrayInTable(Scope3_SourceData.Scope3_Pesticides_Data(), Table_SourceData_Scope3_Pesticides[[#Headers],[Category]], 0, 2)</f>
        <v>Pesticides</v>
      </c>
      <c r="E223" s="19" t="str" cm="1">
        <f t="array" ref="E223">Common_InputFunctions.Utility_DisplayArrayInTable(Scope3_SourceData.Scope3_Pesticides_Data(), Table_SourceData_Scope3_Pesticides[[#Headers],[Category]], 0, 2)</f>
        <v>Glyphosate</v>
      </c>
      <c r="F223" s="19" t="str" cm="1">
        <f t="array" ref="F223">Common_InputFunctions.Utility_DisplayArrayInTable(Scope3_SourceData.Scope3_Pesticides_Data(), Table_SourceData_Scope3_Pesticides[[#Headers],[Category]], 0, 2)</f>
        <v>Global</v>
      </c>
      <c r="G223" s="19" t="str" cm="1">
        <f t="array" ref="G223">Common_InputFunctions.Utility_DisplayArrayInTable(Scope3_SourceData.Scope3_Pesticides_Data(), Table_SourceData_Scope3_Pesticides[[#Headers],[Category]], 0, 2)</f>
        <v>kg AI</v>
      </c>
      <c r="H223" s="19" cm="1">
        <f t="array" ref="H223">Common_InputFunctions.Utility_DisplayArrayInTable(Scope3_SourceData.Scope3_Pesticides_Data(), Table_SourceData_Scope3_Pesticides[[#Headers],[Category]], 0, 2)</f>
        <v>10.3</v>
      </c>
      <c r="I223" s="19" t="str" cm="1">
        <f t="array" ref="I223">Common_InputFunctions.Utility_DisplayArrayInTable(Scope3_SourceData.Scope3_Pesticides_Data(), Table_SourceData_Scope3_Pesticides[[#Headers],[Category]], 0, 2)</f>
        <v>at market</v>
      </c>
      <c r="J223" s="19" t="s">
        <v>1446</v>
      </c>
    </row>
    <row r="224" spans="4:10" ht="20.100000000000001" customHeight="1" x14ac:dyDescent="0.25">
      <c r="D224" s="19" t="str" cm="1">
        <f t="array" ref="D224">Common_InputFunctions.Utility_DisplayArrayInTable(Scope3_SourceData.Scope3_Pesticides_Data(), Table_SourceData_Scope3_Pesticides[[#Headers],[Category]], 0, 2)</f>
        <v>Pesticides</v>
      </c>
      <c r="E224" s="19" t="str" cm="1">
        <f t="array" ref="E224">Common_InputFunctions.Utility_DisplayArrayInTable(Scope3_SourceData.Scope3_Pesticides_Data(), Table_SourceData_Scope3_Pesticides[[#Headers],[Category]], 0, 2)</f>
        <v>Mancozeb</v>
      </c>
      <c r="F224" s="19" t="str" cm="1">
        <f t="array" ref="F224">Common_InputFunctions.Utility_DisplayArrayInTable(Scope3_SourceData.Scope3_Pesticides_Data(), Table_SourceData_Scope3_Pesticides[[#Headers],[Category]], 0, 2)</f>
        <v>Global</v>
      </c>
      <c r="G224" s="19" t="str" cm="1">
        <f t="array" ref="G224">Common_InputFunctions.Utility_DisplayArrayInTable(Scope3_SourceData.Scope3_Pesticides_Data(), Table_SourceData_Scope3_Pesticides[[#Headers],[Category]], 0, 2)</f>
        <v>kg AI</v>
      </c>
      <c r="H224" s="19" cm="1">
        <f t="array" ref="H224">Common_InputFunctions.Utility_DisplayArrayInTable(Scope3_SourceData.Scope3_Pesticides_Data(), Table_SourceData_Scope3_Pesticides[[#Headers],[Category]], 0, 2)</f>
        <v>4.55</v>
      </c>
      <c r="I224" s="19" t="str" cm="1">
        <f t="array" ref="I224">Common_InputFunctions.Utility_DisplayArrayInTable(Scope3_SourceData.Scope3_Pesticides_Data(), Table_SourceData_Scope3_Pesticides[[#Headers],[Category]], 0, 2)</f>
        <v>at market</v>
      </c>
      <c r="J224" s="19" t="s">
        <v>1446</v>
      </c>
    </row>
    <row r="225" spans="4:10" ht="20.100000000000001" customHeight="1" x14ac:dyDescent="0.25">
      <c r="D225" s="19" t="str" cm="1">
        <f t="array" ref="D225">Common_InputFunctions.Utility_DisplayArrayInTable(Scope3_SourceData.Scope3_Pesticides_Data(), Table_SourceData_Scope3_Pesticides[[#Headers],[Category]], 0, 2)</f>
        <v>Pesticides</v>
      </c>
      <c r="E225" s="19" t="str" cm="1">
        <f t="array" ref="E225">Common_InputFunctions.Utility_DisplayArrayInTable(Scope3_SourceData.Scope3_Pesticides_Data(), Table_SourceData_Scope3_Pesticides[[#Headers],[Category]], 0, 2)</f>
        <v>MCPA</v>
      </c>
      <c r="F225" s="19" t="str" cm="1">
        <f t="array" ref="F225">Common_InputFunctions.Utility_DisplayArrayInTable(Scope3_SourceData.Scope3_Pesticides_Data(), Table_SourceData_Scope3_Pesticides[[#Headers],[Category]], 0, 2)</f>
        <v>Global</v>
      </c>
      <c r="G225" s="19" t="str" cm="1">
        <f t="array" ref="G225">Common_InputFunctions.Utility_DisplayArrayInTable(Scope3_SourceData.Scope3_Pesticides_Data(), Table_SourceData_Scope3_Pesticides[[#Headers],[Category]], 0, 2)</f>
        <v>kg AI</v>
      </c>
      <c r="H225" s="19" cm="1">
        <f t="array" ref="H225">Common_InputFunctions.Utility_DisplayArrayInTable(Scope3_SourceData.Scope3_Pesticides_Data(), Table_SourceData_Scope3_Pesticides[[#Headers],[Category]], 0, 2)</f>
        <v>5.6</v>
      </c>
      <c r="I225" s="19" t="str" cm="1">
        <f t="array" ref="I225">Common_InputFunctions.Utility_DisplayArrayInTable(Scope3_SourceData.Scope3_Pesticides_Data(), Table_SourceData_Scope3_Pesticides[[#Headers],[Category]], 0, 2)</f>
        <v>at market</v>
      </c>
      <c r="J225" s="19" t="s">
        <v>1446</v>
      </c>
    </row>
    <row r="226" spans="4:10" ht="20.100000000000001" customHeight="1" x14ac:dyDescent="0.25">
      <c r="D226" s="19" t="str" cm="1">
        <f t="array" ref="D226">Common_InputFunctions.Utility_DisplayArrayInTable(Scope3_SourceData.Scope3_Pesticides_Data(), Table_SourceData_Scope3_Pesticides[[#Headers],[Category]], 0, 2)</f>
        <v>Pesticides</v>
      </c>
      <c r="E226" s="19" t="str" cm="1">
        <f t="array" ref="E226">Common_InputFunctions.Utility_DisplayArrayInTable(Scope3_SourceData.Scope3_Pesticides_Data(), Table_SourceData_Scope3_Pesticides[[#Headers],[Category]], 0, 2)</f>
        <v>Metolachlor</v>
      </c>
      <c r="F226" s="19" t="str" cm="1">
        <f t="array" ref="F226">Common_InputFunctions.Utility_DisplayArrayInTable(Scope3_SourceData.Scope3_Pesticides_Data(), Table_SourceData_Scope3_Pesticides[[#Headers],[Category]], 0, 2)</f>
        <v>Global</v>
      </c>
      <c r="G226" s="19" t="str" cm="1">
        <f t="array" ref="G226">Common_InputFunctions.Utility_DisplayArrayInTable(Scope3_SourceData.Scope3_Pesticides_Data(), Table_SourceData_Scope3_Pesticides[[#Headers],[Category]], 0, 2)</f>
        <v>kg AI</v>
      </c>
      <c r="H226" s="19" cm="1">
        <f t="array" ref="H226">Common_InputFunctions.Utility_DisplayArrayInTable(Scope3_SourceData.Scope3_Pesticides_Data(), Table_SourceData_Scope3_Pesticides[[#Headers],[Category]], 0, 2)</f>
        <v>8.06</v>
      </c>
      <c r="I226" s="19" t="str" cm="1">
        <f t="array" ref="I226">Common_InputFunctions.Utility_DisplayArrayInTable(Scope3_SourceData.Scope3_Pesticides_Data(), Table_SourceData_Scope3_Pesticides[[#Headers],[Category]], 0, 2)</f>
        <v>at market</v>
      </c>
      <c r="J226" s="19" t="s">
        <v>1446</v>
      </c>
    </row>
    <row r="227" spans="4:10" ht="20.100000000000001" customHeight="1" x14ac:dyDescent="0.25">
      <c r="D227" s="19" t="str" cm="1">
        <f t="array" ref="D227">Common_InputFunctions.Utility_DisplayArrayInTable(Scope3_SourceData.Scope3_Pesticides_Data(), Table_SourceData_Scope3_Pesticides[[#Headers],[Category]], 0, 2)</f>
        <v>Pesticides</v>
      </c>
      <c r="E227" s="19" t="str" cm="1">
        <f t="array" ref="E227">Common_InputFunctions.Utility_DisplayArrayInTable(Scope3_SourceData.Scope3_Pesticides_Data(), Table_SourceData_Scope3_Pesticides[[#Headers],[Category]], 0, 2)</f>
        <v>Metsulfuron-methyl</v>
      </c>
      <c r="F227" s="19" t="str" cm="1">
        <f t="array" ref="F227">Common_InputFunctions.Utility_DisplayArrayInTable(Scope3_SourceData.Scope3_Pesticides_Data(), Table_SourceData_Scope3_Pesticides[[#Headers],[Category]], 0, 2)</f>
        <v>Global</v>
      </c>
      <c r="G227" s="19" t="str" cm="1">
        <f t="array" ref="G227">Common_InputFunctions.Utility_DisplayArrayInTable(Scope3_SourceData.Scope3_Pesticides_Data(), Table_SourceData_Scope3_Pesticides[[#Headers],[Category]], 0, 2)</f>
        <v>kg AI</v>
      </c>
      <c r="H227" s="19" cm="1">
        <f t="array" ref="H227">Common_InputFunctions.Utility_DisplayArrayInTable(Scope3_SourceData.Scope3_Pesticides_Data(), Table_SourceData_Scope3_Pesticides[[#Headers],[Category]], 0, 2)</f>
        <v>8.8000000000000007</v>
      </c>
      <c r="I227" s="19" t="str" cm="1">
        <f t="array" ref="I227">Common_InputFunctions.Utility_DisplayArrayInTable(Scope3_SourceData.Scope3_Pesticides_Data(), Table_SourceData_Scope3_Pesticides[[#Headers],[Category]], 0, 2)</f>
        <v>at market</v>
      </c>
      <c r="J227" s="19" t="s">
        <v>1446</v>
      </c>
    </row>
    <row r="228" spans="4:10" ht="20.100000000000001" customHeight="1" x14ac:dyDescent="0.25">
      <c r="D228" s="19" t="str" cm="1">
        <f t="array" ref="D228">Common_InputFunctions.Utility_DisplayArrayInTable(Scope3_SourceData.Scope3_Pesticides_Data(), Table_SourceData_Scope3_Pesticides[[#Headers],[Category]], 0, 2)</f>
        <v>Pesticides</v>
      </c>
      <c r="E228" s="19" t="str" cm="1">
        <f t="array" ref="E228">Common_InputFunctions.Utility_DisplayArrayInTable(Scope3_SourceData.Scope3_Pesticides_Data(), Table_SourceData_Scope3_Pesticides[[#Headers],[Category]], 0, 2)</f>
        <v>Pesticides (generic)</v>
      </c>
      <c r="F228" s="19" t="str" cm="1">
        <f t="array" ref="F228">Common_InputFunctions.Utility_DisplayArrayInTable(Scope3_SourceData.Scope3_Pesticides_Data(), Table_SourceData_Scope3_Pesticides[[#Headers],[Category]], 0, 2)</f>
        <v>Global</v>
      </c>
      <c r="G228" s="19" t="str" cm="1">
        <f t="array" ref="G228">Common_InputFunctions.Utility_DisplayArrayInTable(Scope3_SourceData.Scope3_Pesticides_Data(), Table_SourceData_Scope3_Pesticides[[#Headers],[Category]], 0, 2)</f>
        <v>kg AI</v>
      </c>
      <c r="H228" s="19" cm="1">
        <f t="array" ref="H228">Common_InputFunctions.Utility_DisplayArrayInTable(Scope3_SourceData.Scope3_Pesticides_Data(), Table_SourceData_Scope3_Pesticides[[#Headers],[Category]], 0, 2)</f>
        <v>9.16</v>
      </c>
      <c r="I228" s="19" t="str" cm="1">
        <f t="array" ref="I228">Common_InputFunctions.Utility_DisplayArrayInTable(Scope3_SourceData.Scope3_Pesticides_Data(), Table_SourceData_Scope3_Pesticides[[#Headers],[Category]], 0, 2)</f>
        <v>at market</v>
      </c>
      <c r="J228" s="19" t="s">
        <v>1446</v>
      </c>
    </row>
    <row r="229" spans="4:10" ht="20.100000000000001" customHeight="1" x14ac:dyDescent="0.25">
      <c r="D229" s="19" t="str" cm="1">
        <f t="array" ref="D229">Common_InputFunctions.Utility_DisplayArrayInTable(Scope3_SourceData.Scope3_Pesticides_Data(), Table_SourceData_Scope3_Pesticides[[#Headers],[Category]], 0, 2)</f>
        <v>Pesticides</v>
      </c>
      <c r="E229" s="19" t="str" cm="1">
        <f t="array" ref="E229">Common_InputFunctions.Utility_DisplayArrayInTable(Scope3_SourceData.Scope3_Pesticides_Data(), Table_SourceData_Scope3_Pesticides[[#Headers],[Category]], 0, 2)</f>
        <v>Tri-allate</v>
      </c>
      <c r="F229" s="19" t="str" cm="1">
        <f t="array" ref="F229">Common_InputFunctions.Utility_DisplayArrayInTable(Scope3_SourceData.Scope3_Pesticides_Data(), Table_SourceData_Scope3_Pesticides[[#Headers],[Category]], 0, 2)</f>
        <v>Global</v>
      </c>
      <c r="G229" s="19" t="str" cm="1">
        <f t="array" ref="G229">Common_InputFunctions.Utility_DisplayArrayInTable(Scope3_SourceData.Scope3_Pesticides_Data(), Table_SourceData_Scope3_Pesticides[[#Headers],[Category]], 0, 2)</f>
        <v>kg AI</v>
      </c>
      <c r="H229" s="19" cm="1">
        <f t="array" ref="H229">Common_InputFunctions.Utility_DisplayArrayInTable(Scope3_SourceData.Scope3_Pesticides_Data(), Table_SourceData_Scope3_Pesticides[[#Headers],[Category]], 0, 2)</f>
        <v>8.57</v>
      </c>
      <c r="I229" s="19" t="str" cm="1">
        <f t="array" ref="I229">Common_InputFunctions.Utility_DisplayArrayInTable(Scope3_SourceData.Scope3_Pesticides_Data(), Table_SourceData_Scope3_Pesticides[[#Headers],[Category]], 0, 2)</f>
        <v>at market</v>
      </c>
      <c r="J229" s="19" t="s">
        <v>1446</v>
      </c>
    </row>
    <row r="230" spans="4:10" ht="20.100000000000001" customHeight="1" x14ac:dyDescent="0.25">
      <c r="D230" s="19" t="str" cm="1">
        <f t="array" ref="D230">Common_InputFunctions.Utility_DisplayArrayInTable(Scope3_SourceData.Scope3_Pesticides_Data(), Table_SourceData_Scope3_Pesticides[[#Headers],[Category]], 0, 2)</f>
        <v>Pesticides</v>
      </c>
      <c r="E230" s="19" t="str" cm="1">
        <f t="array" ref="E230">Common_InputFunctions.Utility_DisplayArrayInTable(Scope3_SourceData.Scope3_Pesticides_Data(), Table_SourceData_Scope3_Pesticides[[#Headers],[Category]], 0, 2)</f>
        <v>Tribenuron methyl</v>
      </c>
      <c r="F230" s="19" t="str" cm="1">
        <f t="array" ref="F230">Common_InputFunctions.Utility_DisplayArrayInTable(Scope3_SourceData.Scope3_Pesticides_Data(), Table_SourceData_Scope3_Pesticides[[#Headers],[Category]], 0, 2)</f>
        <v>Global</v>
      </c>
      <c r="G230" s="19" t="str" cm="1">
        <f t="array" ref="G230">Common_InputFunctions.Utility_DisplayArrayInTable(Scope3_SourceData.Scope3_Pesticides_Data(), Table_SourceData_Scope3_Pesticides[[#Headers],[Category]], 0, 2)</f>
        <v>kg AI</v>
      </c>
      <c r="H230" s="19" cm="1">
        <f t="array" ref="H230">Common_InputFunctions.Utility_DisplayArrayInTable(Scope3_SourceData.Scope3_Pesticides_Data(), Table_SourceData_Scope3_Pesticides[[#Headers],[Category]], 0, 2)</f>
        <v>8.8000000000000007</v>
      </c>
      <c r="I230" s="19" t="str" cm="1">
        <f t="array" ref="I230">Common_InputFunctions.Utility_DisplayArrayInTable(Scope3_SourceData.Scope3_Pesticides_Data(), Table_SourceData_Scope3_Pesticides[[#Headers],[Category]], 0, 2)</f>
        <v>at market</v>
      </c>
      <c r="J230" s="19" t="s">
        <v>1446</v>
      </c>
    </row>
    <row r="231" spans="4:10" ht="20.100000000000001" customHeight="1" x14ac:dyDescent="0.25">
      <c r="D231" s="19" t="str" cm="1">
        <f t="array" ref="D231">Common_InputFunctions.Utility_DisplayArrayInTable(Scope3_SourceData.Scope3_Pesticides_Data(), Table_SourceData_Scope3_Pesticides[[#Headers],[Category]], 0, 2)</f>
        <v>Pesticides</v>
      </c>
      <c r="E231" s="19" t="str" cm="1">
        <f t="array" ref="E231">Common_InputFunctions.Utility_DisplayArrayInTable(Scope3_SourceData.Scope3_Pesticides_Data(), Table_SourceData_Scope3_Pesticides[[#Headers],[Category]], 0, 2)</f>
        <v>Trifluralin</v>
      </c>
      <c r="F231" s="19" t="str" cm="1">
        <f t="array" ref="F231">Common_InputFunctions.Utility_DisplayArrayInTable(Scope3_SourceData.Scope3_Pesticides_Data(), Table_SourceData_Scope3_Pesticides[[#Headers],[Category]], 0, 2)</f>
        <v>Global</v>
      </c>
      <c r="G231" s="19" t="str" cm="1">
        <f t="array" ref="G231">Common_InputFunctions.Utility_DisplayArrayInTable(Scope3_SourceData.Scope3_Pesticides_Data(), Table_SourceData_Scope3_Pesticides[[#Headers],[Category]], 0, 2)</f>
        <v>kg AI</v>
      </c>
      <c r="H231" s="19" cm="1">
        <f t="array" ref="H231">Common_InputFunctions.Utility_DisplayArrayInTable(Scope3_SourceData.Scope3_Pesticides_Data(), Table_SourceData_Scope3_Pesticides[[#Headers],[Category]], 0, 2)</f>
        <v>6.16</v>
      </c>
      <c r="I231" s="19" t="str" cm="1">
        <f t="array" ref="I231">Common_InputFunctions.Utility_DisplayArrayInTable(Scope3_SourceData.Scope3_Pesticides_Data(), Table_SourceData_Scope3_Pesticides[[#Headers],[Category]], 0, 2)</f>
        <v>at market</v>
      </c>
      <c r="J231" s="19" t="s">
        <v>1446</v>
      </c>
    </row>
    <row r="232" spans="4:10" ht="20.100000000000001" customHeight="1" x14ac:dyDescent="0.25"/>
    <row r="233" spans="4:10" ht="20.100000000000001" customHeight="1" x14ac:dyDescent="0.25">
      <c r="D233" s="2" t="s">
        <v>1462</v>
      </c>
    </row>
    <row r="234" spans="4:10" ht="20.100000000000001" customHeight="1" x14ac:dyDescent="0.25">
      <c r="D234" s="19" t="s">
        <v>1439</v>
      </c>
      <c r="E234" s="19" t="s">
        <v>131</v>
      </c>
      <c r="F234" s="19" t="s">
        <v>1440</v>
      </c>
      <c r="G234" s="19" t="s">
        <v>1441</v>
      </c>
      <c r="H234" s="19" t="s">
        <v>1442</v>
      </c>
      <c r="I234" s="19" t="s">
        <v>1443</v>
      </c>
      <c r="J234" s="19" t="s">
        <v>834</v>
      </c>
    </row>
    <row r="235" spans="4:10" ht="20.100000000000001" customHeight="1" x14ac:dyDescent="0.25">
      <c r="D235" s="19" t="str" cm="1">
        <f t="array" ref="D235">Common_InputFunctions.Utility_DisplayArrayInTable(Scope3_SourceData.Scope3_SoilAmendments_Data(), Table_SourceData_Scope3_SoilAmeliorants[[#Headers],[Category]], 0, 2)</f>
        <v>Soil ameliorants</v>
      </c>
      <c r="E235" s="19" t="str" cm="1">
        <f t="array" ref="E235">Common_InputFunctions.Utility_DisplayArrayInTable(Scope3_SourceData.Scope3_SoilAmendments_Data(), Table_SourceData_Scope3_SoilAmeliorants[[#Headers],[Category]], 0, 2)</f>
        <v>Dolomite</v>
      </c>
      <c r="F235" s="19" t="str" cm="1">
        <f t="array" ref="F235">Common_InputFunctions.Utility_DisplayArrayInTable(Scope3_SourceData.Scope3_SoilAmendments_Data(), Table_SourceData_Scope3_SoilAmeliorants[[#Headers],[Category]], 0, 2)</f>
        <v>Australia</v>
      </c>
      <c r="G235" s="19" t="str" cm="1">
        <f t="array" ref="G235">Common_InputFunctions.Utility_DisplayArrayInTable(Scope3_SourceData.Scope3_SoilAmendments_Data(), Table_SourceData_Scope3_SoilAmeliorants[[#Headers],[Category]], 0, 2)</f>
        <v>kg</v>
      </c>
      <c r="H235" s="19" cm="1">
        <f t="array" ref="H235">Common_InputFunctions.Utility_DisplayArrayInTable(Scope3_SourceData.Scope3_SoilAmendments_Data(), Table_SourceData_Scope3_SoilAmeliorants[[#Headers],[Category]], 0, 2)</f>
        <v>6.5199999999999994E-2</v>
      </c>
      <c r="I235" s="19" t="str" cm="1">
        <f t="array" ref="I235">Common_InputFunctions.Utility_DisplayArrayInTable(Scope3_SourceData.Scope3_SoilAmendments_Data(), Table_SourceData_Scope3_SoilAmeliorants[[#Headers],[Category]], 0, 2)</f>
        <v>at market</v>
      </c>
      <c r="J235" s="19" t="s">
        <v>1446</v>
      </c>
    </row>
    <row r="236" spans="4:10" ht="20.100000000000001" customHeight="1" x14ac:dyDescent="0.25">
      <c r="D236" s="19" t="str" cm="1">
        <f t="array" ref="D236">Common_InputFunctions.Utility_DisplayArrayInTable(Scope3_SourceData.Scope3_SoilAmendments_Data(), Table_SourceData_Scope3_SoilAmeliorants[[#Headers],[Category]], 0, 2)</f>
        <v>Soil ameliorants</v>
      </c>
      <c r="E236" s="19" t="str" cm="1">
        <f t="array" ref="E236">Common_InputFunctions.Utility_DisplayArrayInTable(Scope3_SourceData.Scope3_SoilAmendments_Data(), Table_SourceData_Scope3_SoilAmeliorants[[#Headers],[Category]], 0, 2)</f>
        <v>Gypsum</v>
      </c>
      <c r="F236" s="19" t="str" cm="1">
        <f t="array" ref="F236">Common_InputFunctions.Utility_DisplayArrayInTable(Scope3_SourceData.Scope3_SoilAmendments_Data(), Table_SourceData_Scope3_SoilAmeliorants[[#Headers],[Category]], 0, 2)</f>
        <v>Australia</v>
      </c>
      <c r="G236" s="19" t="str" cm="1">
        <f t="array" ref="G236">Common_InputFunctions.Utility_DisplayArrayInTable(Scope3_SourceData.Scope3_SoilAmendments_Data(), Table_SourceData_Scope3_SoilAmeliorants[[#Headers],[Category]], 0, 2)</f>
        <v>kg</v>
      </c>
      <c r="H236" s="19" cm="1">
        <f t="array" ref="H236">Common_InputFunctions.Utility_DisplayArrayInTable(Scope3_SourceData.Scope3_SoilAmendments_Data(), Table_SourceData_Scope3_SoilAmeliorants[[#Headers],[Category]], 0, 2)</f>
        <v>6.5199999999999994E-2</v>
      </c>
      <c r="I236" s="19" t="str" cm="1">
        <f t="array" ref="I236">Common_InputFunctions.Utility_DisplayArrayInTable(Scope3_SourceData.Scope3_SoilAmendments_Data(), Table_SourceData_Scope3_SoilAmeliorants[[#Headers],[Category]], 0, 2)</f>
        <v>at market</v>
      </c>
      <c r="J236" s="19" t="s">
        <v>1446</v>
      </c>
    </row>
    <row r="237" spans="4:10" ht="20.100000000000001" customHeight="1" x14ac:dyDescent="0.25">
      <c r="D237" s="19" t="str" cm="1">
        <f t="array" ref="D237">Common_InputFunctions.Utility_DisplayArrayInTable(Scope3_SourceData.Scope3_SoilAmendments_Data(), Table_SourceData_Scope3_SoilAmeliorants[[#Headers],[Category]], 0, 2)</f>
        <v>Soil ameliorants</v>
      </c>
      <c r="E237" s="19" t="str" cm="1">
        <f t="array" ref="E237">Common_InputFunctions.Utility_DisplayArrayInTable(Scope3_SourceData.Scope3_SoilAmendments_Data(), Table_SourceData_Scope3_SoilAmeliorants[[#Headers],[Category]], 0, 2)</f>
        <v>Limestone (crushed)</v>
      </c>
      <c r="F237" s="19" t="str" cm="1">
        <f t="array" ref="F237">Common_InputFunctions.Utility_DisplayArrayInTable(Scope3_SourceData.Scope3_SoilAmendments_Data(), Table_SourceData_Scope3_SoilAmeliorants[[#Headers],[Category]], 0, 2)</f>
        <v>Australia</v>
      </c>
      <c r="G237" s="19" t="str" cm="1">
        <f t="array" ref="G237">Common_InputFunctions.Utility_DisplayArrayInTable(Scope3_SourceData.Scope3_SoilAmendments_Data(), Table_SourceData_Scope3_SoilAmeliorants[[#Headers],[Category]], 0, 2)</f>
        <v>kg</v>
      </c>
      <c r="H237" s="19" cm="1">
        <f t="array" ref="H237">Common_InputFunctions.Utility_DisplayArrayInTable(Scope3_SourceData.Scope3_SoilAmendments_Data(), Table_SourceData_Scope3_SoilAmeliorants[[#Headers],[Category]], 0, 2)</f>
        <v>4.8500000000000001E-2</v>
      </c>
      <c r="I237" s="19" t="str" cm="1">
        <f t="array" ref="I237">Common_InputFunctions.Utility_DisplayArrayInTable(Scope3_SourceData.Scope3_SoilAmendments_Data(), Table_SourceData_Scope3_SoilAmeliorants[[#Headers],[Category]], 0, 2)</f>
        <v>at market</v>
      </c>
      <c r="J237" s="19" t="s">
        <v>1446</v>
      </c>
    </row>
    <row r="238" spans="4:10" ht="20.100000000000001" customHeight="1" x14ac:dyDescent="0.25"/>
    <row r="240" spans="4:10" ht="23.25" x14ac:dyDescent="0.25">
      <c r="D240" s="2" t="s">
        <v>1463</v>
      </c>
    </row>
    <row r="241" spans="4:18" x14ac:dyDescent="0.25">
      <c r="D241" s="19" t="s">
        <v>1439</v>
      </c>
      <c r="E241" s="19" t="s">
        <v>131</v>
      </c>
      <c r="F241" s="19" t="s">
        <v>1440</v>
      </c>
      <c r="G241" s="19" t="s">
        <v>1441</v>
      </c>
      <c r="H241" s="19" t="s">
        <v>1442</v>
      </c>
      <c r="I241" s="19" t="s">
        <v>1443</v>
      </c>
      <c r="J241" s="19" t="s">
        <v>834</v>
      </c>
      <c r="L241" s="19" t="s">
        <v>131</v>
      </c>
      <c r="M241" s="19" t="s">
        <v>1444</v>
      </c>
      <c r="N241" s="1" t="str">
        <f>"Table_ProductRegions_" &amp; SUBSTITUTE(SUBSTITUTE(SUBSTITUTE(SUBSTITUTE(L242, " ", ""), ",", ""), "(", ""), ")", "")</f>
        <v>Table_ProductRegions_Sardineswhole</v>
      </c>
      <c r="R241" s="1"/>
    </row>
    <row r="242" spans="4:18" x14ac:dyDescent="0.25">
      <c r="D242" s="19" t="str" cm="1">
        <f t="array" ref="D242">Common_InputFunctions.Utility_DisplayArrayInTable(Scope3_SourceData.Scope3_Feed_Data(), Table_SourceData_Scope3_FishFeedAndBait[[#Headers],[Category]], 0, 2)</f>
        <v>Aquaculture feed</v>
      </c>
      <c r="E242" s="19" t="str" cm="1">
        <f t="array" ref="E242">Common_InputFunctions.Utility_DisplayArrayInTable(Scope3_SourceData.Scope3_Feed_Data(), Table_SourceData_Scope3_FishFeedAndBait[[#Headers],[Category]], 0, 2)</f>
        <v>Sardines (whole)</v>
      </c>
      <c r="F242" s="19" t="str" cm="1">
        <f t="array" ref="F242">Common_InputFunctions.Utility_DisplayArrayInTable(Scope3_SourceData.Scope3_Feed_Data(), Table_SourceData_Scope3_FishFeedAndBait[[#Headers],[Category]], 0, 2)</f>
        <v>SA</v>
      </c>
      <c r="G242" s="19" t="str" cm="1">
        <f t="array" ref="G242">Common_InputFunctions.Utility_DisplayArrayInTable(Scope3_SourceData.Scope3_Feed_Data(), Table_SourceData_Scope3_FishFeedAndBait[[#Headers],[Category]], 0, 2)</f>
        <v>kg</v>
      </c>
      <c r="H242" s="19" cm="1">
        <f t="array" ref="H242">Common_InputFunctions.Utility_DisplayArrayInTable(Scope3_SourceData.Scope3_Feed_Data(), Table_SourceData_Scope3_FishFeedAndBait[[#Headers],[Category]], 0, 2)</f>
        <v>0.376</v>
      </c>
      <c r="I242" s="19" t="str" cm="1">
        <f t="array" ref="I242">Common_InputFunctions.Utility_DisplayArrayInTable(Scope3_SourceData.Scope3_Feed_Data(), Table_SourceData_Scope3_FishFeedAndBait[[#Headers],[Category]], 0, 2)</f>
        <v>at market</v>
      </c>
      <c r="J242" s="19" t="s">
        <v>1446</v>
      </c>
      <c r="L242" s="19" t="str">
        <f>Table_SourceData_Scope3_FishFeedAndBait[[#This Row],[Product]]</f>
        <v>Sardines (whole)</v>
      </c>
      <c r="M242" s="19" t="str">
        <f>Table_SourceData_Scope3_FishFeedAndBait[[#This Row],[Region of origin]]</f>
        <v>SA</v>
      </c>
      <c r="R242" s="1"/>
    </row>
    <row r="243" spans="4:18" x14ac:dyDescent="0.25">
      <c r="D243" s="19" t="str" cm="1">
        <f t="array" ref="D243">Common_InputFunctions.Utility_DisplayArrayInTable(Scope3_SourceData.Scope3_FishFeedAndBait_Data(), Table_SourceData_Scope3_FishFeedAndBait[[#Headers],[Category]], 1, 1)</f>
        <v>Fish feed and bait</v>
      </c>
      <c r="E243" s="19" t="str" cm="1">
        <f t="array" ref="E243">Common_InputFunctions.Utility_DisplayArrayInTable(Scope3_SourceData.Scope3_FishFeedAndBait_Data(), Table_SourceData_Scope3_FishFeedAndBait[[#Headers],[Category]], 1, 1)</f>
        <v>Sardines (whole)</v>
      </c>
      <c r="F243" s="19" t="str" cm="1">
        <f t="array" ref="F243">Common_InputFunctions.Utility_DisplayArrayInTable(Scope3_SourceData.Scope3_FishFeedAndBait_Data(), Table_SourceData_Scope3_FishFeedAndBait[[#Headers],[Category]], 1, 1)</f>
        <v>Australia</v>
      </c>
      <c r="G243" s="19" t="str" cm="1">
        <f t="array" ref="G243">Common_InputFunctions.Utility_DisplayArrayInTable(Scope3_SourceData.Scope3_FishFeedAndBait_Data(), Table_SourceData_Scope3_FishFeedAndBait[[#Headers],[Category]], 1, 1)</f>
        <v>kg</v>
      </c>
      <c r="H243" s="19" cm="1">
        <f t="array" ref="H243">Common_InputFunctions.Utility_DisplayArrayInTable(Scope3_SourceData.Scope3_FishFeedAndBait_Data(), Table_SourceData_Scope3_FishFeedAndBait[[#Headers],[Category]], 1, 1)</f>
        <v>0.3</v>
      </c>
      <c r="I243" s="19" t="str" cm="1">
        <f t="array" ref="I243">Common_InputFunctions.Utility_DisplayArrayInTable(Scope3_SourceData.Scope3_FishFeedAndBait_Data(), Table_SourceData_Scope3_FishFeedAndBait[[#Headers],[Category]], 1, 1)</f>
        <v>Not specified</v>
      </c>
      <c r="J243" s="19" t="s">
        <v>1464</v>
      </c>
      <c r="L243" s="1" t="str">
        <f>Table_SourceData_Scope3_FishFeedAndBait[[#This Row],[Product]]</f>
        <v>Sardines (whole)</v>
      </c>
      <c r="M243" s="1" t="str">
        <f>Table_SourceData_Scope3_FishFeedAndBait[[#This Row],[Region of origin]]</f>
        <v>Australia</v>
      </c>
      <c r="R243" s="1"/>
    </row>
    <row r="244" spans="4:18" x14ac:dyDescent="0.25">
      <c r="D244" s="19" t="str" cm="1">
        <f t="array" ref="D244">Common_InputFunctions.Utility_DisplayArrayInTable(Scope3_SourceData.Scope3_FishFeedAndBait_Data(), Table_SourceData_Scope3_FishFeedAndBait[[#Headers],[Category]], 1, 1)</f>
        <v>Fish feed and bait</v>
      </c>
      <c r="E244" s="19" t="str" cm="1">
        <f t="array" ref="E244">Common_InputFunctions.Utility_DisplayArrayInTable(Scope3_SourceData.Scope3_FishFeedAndBait_Data(), Table_SourceData_Scope3_FishFeedAndBait[[#Headers],[Category]], 1, 1)</f>
        <v>Low Animal Protein Formulated Feed</v>
      </c>
      <c r="F244" s="19" t="str" cm="1">
        <f t="array" ref="F244">Common_InputFunctions.Utility_DisplayArrayInTable(Scope3_SourceData.Scope3_FishFeedAndBait_Data(), Table_SourceData_Scope3_FishFeedAndBait[[#Headers],[Category]], 1, 1)</f>
        <v>Australia</v>
      </c>
      <c r="G244" s="19" t="str" cm="1">
        <f t="array" ref="G244">Common_InputFunctions.Utility_DisplayArrayInTable(Scope3_SourceData.Scope3_FishFeedAndBait_Data(), Table_SourceData_Scope3_FishFeedAndBait[[#Headers],[Category]], 1, 1)</f>
        <v>kg</v>
      </c>
      <c r="H244" s="19" cm="1">
        <f t="array" ref="H244">Common_InputFunctions.Utility_DisplayArrayInTable(Scope3_SourceData.Scope3_FishFeedAndBait_Data(), Table_SourceData_Scope3_FishFeedAndBait[[#Headers],[Category]], 1, 1)</f>
        <v>2.2000000000000002</v>
      </c>
      <c r="I244" s="19" t="str" cm="1">
        <f t="array" ref="I244">Common_InputFunctions.Utility_DisplayArrayInTable(Scope3_SourceData.Scope3_FishFeedAndBait_Data(), Table_SourceData_Scope3_FishFeedAndBait[[#Headers],[Category]], 1, 1)</f>
        <v>Not specified</v>
      </c>
      <c r="J244" s="19" t="s">
        <v>1464</v>
      </c>
      <c r="R244" s="1"/>
    </row>
    <row r="245" spans="4:18" x14ac:dyDescent="0.25">
      <c r="D245" s="19" t="str" cm="1">
        <f t="array" ref="D245">Common_InputFunctions.Utility_DisplayArrayInTable(Scope3_SourceData.Scope3_FishFeedAndBait_Data(), Table_SourceData_Scope3_FishFeedAndBait[[#Headers],[Category]], 1, 1)</f>
        <v>Fish feed and bait</v>
      </c>
      <c r="E245" s="19" t="str" cm="1">
        <f t="array" ref="E245">Common_InputFunctions.Utility_DisplayArrayInTable(Scope3_SourceData.Scope3_FishFeedAndBait_Data(), Table_SourceData_Scope3_FishFeedAndBait[[#Headers],[Category]], 1, 1)</f>
        <v>Squid</v>
      </c>
      <c r="F245" s="19" t="str" cm="1">
        <f t="array" ref="F245">Common_InputFunctions.Utility_DisplayArrayInTable(Scope3_SourceData.Scope3_FishFeedAndBait_Data(), Table_SourceData_Scope3_FishFeedAndBait[[#Headers],[Category]], 1, 1)</f>
        <v>Australia</v>
      </c>
      <c r="G245" s="19" t="str" cm="1">
        <f t="array" ref="G245">Common_InputFunctions.Utility_DisplayArrayInTable(Scope3_SourceData.Scope3_FishFeedAndBait_Data(), Table_SourceData_Scope3_FishFeedAndBait[[#Headers],[Category]], 1, 1)</f>
        <v>kg</v>
      </c>
      <c r="H245" s="19" cm="1">
        <f t="array" ref="H245">Common_InputFunctions.Utility_DisplayArrayInTable(Scope3_SourceData.Scope3_FishFeedAndBait_Data(), Table_SourceData_Scope3_FishFeedAndBait[[#Headers],[Category]], 1, 1)</f>
        <v>0.3</v>
      </c>
      <c r="I245" s="19" t="str" cm="1">
        <f t="array" ref="I245">Common_InputFunctions.Utility_DisplayArrayInTable(Scope3_SourceData.Scope3_FishFeedAndBait_Data(), Table_SourceData_Scope3_FishFeedAndBait[[#Headers],[Category]], 1, 1)</f>
        <v>Not specified</v>
      </c>
      <c r="J245" s="19" t="s">
        <v>1464</v>
      </c>
      <c r="R245" s="1"/>
    </row>
    <row r="246" spans="4:18" x14ac:dyDescent="0.25">
      <c r="D246" s="19" t="str" cm="1">
        <f t="array" ref="D246">Common_InputFunctions.Utility_DisplayArrayInTable(Scope3_SourceData.Scope3_FishFeedAndBait_Data(), Table_SourceData_Scope3_FishFeedAndBait[[#Headers],[Category]], 1, 1)</f>
        <v>Fish feed and bait</v>
      </c>
      <c r="E246" s="19" t="str" cm="1">
        <f t="array" ref="E246">Common_InputFunctions.Utility_DisplayArrayInTable(Scope3_SourceData.Scope3_FishFeedAndBait_Data(), Table_SourceData_Scope3_FishFeedAndBait[[#Headers],[Category]], 1, 1)</f>
        <v>Whole fish</v>
      </c>
      <c r="F246" s="19" t="str" cm="1">
        <f t="array" ref="F246">Common_InputFunctions.Utility_DisplayArrayInTable(Scope3_SourceData.Scope3_FishFeedAndBait_Data(), Table_SourceData_Scope3_FishFeedAndBait[[#Headers],[Category]], 1, 1)</f>
        <v>Australia</v>
      </c>
      <c r="G246" s="19" t="str" cm="1">
        <f t="array" ref="G246">Common_InputFunctions.Utility_DisplayArrayInTable(Scope3_SourceData.Scope3_FishFeedAndBait_Data(), Table_SourceData_Scope3_FishFeedAndBait[[#Headers],[Category]], 1, 1)</f>
        <v>kg</v>
      </c>
      <c r="H246" s="19" cm="1">
        <f t="array" ref="H246">Common_InputFunctions.Utility_DisplayArrayInTable(Scope3_SourceData.Scope3_FishFeedAndBait_Data(), Table_SourceData_Scope3_FishFeedAndBait[[#Headers],[Category]], 1, 1)</f>
        <v>0.3</v>
      </c>
      <c r="I246" s="19" t="str" cm="1">
        <f t="array" ref="I246">Common_InputFunctions.Utility_DisplayArrayInTable(Scope3_SourceData.Scope3_FishFeedAndBait_Data(), Table_SourceData_Scope3_FishFeedAndBait[[#Headers],[Category]], 1, 1)</f>
        <v>Not specified</v>
      </c>
      <c r="J246" s="19" t="s">
        <v>1464</v>
      </c>
      <c r="R246" s="1"/>
    </row>
    <row r="247" spans="4:18" x14ac:dyDescent="0.25">
      <c r="D247" s="19" t="str" cm="1">
        <f t="array" ref="D247">Common_InputFunctions.Utility_DisplayArrayInTable(Scope3_SourceData.Scope3_FishFeedAndBait_Data(), Table_SourceData_Scope3_FishFeedAndBait[[#Headers],[Category]], 1, 1)</f>
        <v>Fish feed and bait</v>
      </c>
      <c r="E247" s="19" t="str" cm="1">
        <f t="array" ref="E247">Common_InputFunctions.Utility_DisplayArrayInTable(Scope3_SourceData.Scope3_FishFeedAndBait_Data(), Table_SourceData_Scope3_FishFeedAndBait[[#Headers],[Category]], 1, 1)</f>
        <v>Custom Bait</v>
      </c>
      <c r="F247" s="19" t="str" cm="1">
        <f t="array" ref="F247">Common_InputFunctions.Utility_DisplayArrayInTable(Scope3_SourceData.Scope3_FishFeedAndBait_Data(), Table_SourceData_Scope3_FishFeedAndBait[[#Headers],[Category]], 1, 1)</f>
        <v>Australia</v>
      </c>
      <c r="G247" s="19" t="str" cm="1">
        <f t="array" ref="G247">Common_InputFunctions.Utility_DisplayArrayInTable(Scope3_SourceData.Scope3_FishFeedAndBait_Data(), Table_SourceData_Scope3_FishFeedAndBait[[#Headers],[Category]], 1, 1)</f>
        <v>kg</v>
      </c>
      <c r="H247" s="19" cm="1">
        <f t="array" ref="H247">Common_InputFunctions.Utility_DisplayArrayInTable(Scope3_SourceData.Scope3_FishFeedAndBait_Data(), Table_SourceData_Scope3_FishFeedAndBait[[#Headers],[Category]], 1, 1)</f>
        <v>0.08</v>
      </c>
      <c r="I247" s="19" t="str" cm="1">
        <f t="array" ref="I247">Common_InputFunctions.Utility_DisplayArrayInTable(Scope3_SourceData.Scope3_FishFeedAndBait_Data(), Table_SourceData_Scope3_FishFeedAndBait[[#Headers],[Category]], 1, 1)</f>
        <v>Not specified</v>
      </c>
      <c r="J247" s="19" t="s">
        <v>1464</v>
      </c>
    </row>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BCD3A-3A3D-4316-924F-18DA0DDB7C4E}">
  <sheetPr>
    <tabColor theme="2" tint="-0.499984740745262"/>
  </sheetPr>
  <dimension ref="A1:BY297"/>
  <sheetViews>
    <sheetView showGridLines="0" zoomScaleNormal="100" workbookViewId="0">
      <pane xSplit="1" topLeftCell="B1" activePane="topRight" state="frozenSplit"/>
      <selection pane="topRight" activeCell="A67" sqref="A67"/>
    </sheetView>
  </sheetViews>
  <sheetFormatPr defaultColWidth="9.140625" defaultRowHeight="15.75" x14ac:dyDescent="0.25"/>
  <cols>
    <col min="1" max="1" width="36.7109375" style="21" customWidth="1"/>
    <col min="2" max="2" width="2.7109375" style="21"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1" customWidth="1"/>
    <col min="34" max="39" width="21.85546875" style="21" customWidth="1"/>
    <col min="40" max="44" width="20.7109375" style="21" customWidth="1"/>
    <col min="45" max="65" width="9.140625" style="21"/>
    <col min="66" max="16384" width="9.140625" style="24"/>
  </cols>
  <sheetData>
    <row r="1" spans="1:65" s="20" customFormat="1" ht="30" customHeight="1" x14ac:dyDescent="0.35">
      <c r="A1" s="10" t="e" vm="1">
        <v>#VALUE!</v>
      </c>
      <c r="C1" s="20" t="s">
        <v>20</v>
      </c>
    </row>
    <row r="2" spans="1:65" s="3" customFormat="1" ht="20.100000000000001" customHeight="1" x14ac:dyDescent="0.25">
      <c r="A2"/>
    </row>
    <row r="3" spans="1:65"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c r="V3" s="23"/>
      <c r="W3" s="23"/>
    </row>
    <row r="4" spans="1:65" ht="20.100000000000001" customHeight="1" x14ac:dyDescent="0.25">
      <c r="A4" s="5" t="str">
        <f>HYPERLINK("#'Results - Activity period'!A1", "Results - Activity period")</f>
        <v>Results - Activity period</v>
      </c>
      <c r="BM4" s="24"/>
    </row>
    <row r="5" spans="1:65" ht="20.100000000000001" customHeight="1" x14ac:dyDescent="0.25">
      <c r="A5" s="5" t="str">
        <f>HYPERLINK("#'Results - Product EI'!A1", "Results - Product Emissions Intensity")</f>
        <v>Results - Product Emissions Intensity</v>
      </c>
      <c r="D5" s="2" t="str" cm="1">
        <f t="array" ref="D5">Common_SourceData.Common_SourceData_AustralianStatesTerritories_Title()</f>
        <v>Australian states and territories</v>
      </c>
      <c r="BM5" s="24"/>
    </row>
    <row r="6" spans="1:65" ht="20.100000000000001" customHeight="1" x14ac:dyDescent="0.25">
      <c r="A6" s="5" t="str">
        <f>HYPERLINK("#'Results'!A1", "Results")</f>
        <v>Results</v>
      </c>
      <c r="D6" s="19" t="s">
        <v>21</v>
      </c>
      <c r="E6" s="19" t="s">
        <v>22</v>
      </c>
      <c r="F6" s="19" t="s">
        <v>23</v>
      </c>
    </row>
    <row r="7" spans="1:65" ht="20.100000000000001" customHeight="1" x14ac:dyDescent="0.25">
      <c r="A7"/>
      <c r="D7" s="19" t="str" cm="1">
        <f t="array" ref="D7">Common_InputFunctions.Utility_DisplayArrayInTable(Common_SourceData.Common_SourceData_AustralianStatesTerritories_Data(),Table_AustralianStates[[#Headers],[State/Territory]],0)</f>
        <v>New South Wales</v>
      </c>
      <c r="E7" s="19" t="str" cm="1">
        <f t="array" ref="E7">Common_InputFunctions.Utility_DisplayArrayInTable(Common_SourceData.Common_SourceData_AustralianStatesTerritories_Data(),Table_AustralianStates[[#Headers],[State/Territory]],0)</f>
        <v>New South Wales</v>
      </c>
      <c r="F7" s="19" t="str" cm="1">
        <f t="array" ref="F7">Common_InputFunctions.Utility_DisplayArrayInTable(Common_SourceData.Common_SourceData_AustralianStatesTerritories_Data(),Table_AustralianStates[[#Headers],[State/Territory]],0)</f>
        <v>NSW</v>
      </c>
    </row>
    <row r="8" spans="1:65" ht="20.100000000000001" customHeight="1" x14ac:dyDescent="0.25">
      <c r="A8"/>
      <c r="D8" s="19" t="str" cm="1">
        <f t="array" ref="D8">Common_InputFunctions.Utility_DisplayArrayInTable(Common_SourceData.Common_SourceData_AustralianStatesTerritories_Data(),Table_AustralianStates[[#Headers],[State/Territory]],0)</f>
        <v>Australian Capital Territory</v>
      </c>
      <c r="E8" s="19" t="str" cm="1">
        <f t="array" ref="E8">Common_InputFunctions.Utility_DisplayArrayInTable(Common_SourceData.Common_SourceData_AustralianStatesTerritories_Data(),Table_AustralianStates[[#Headers],[State/Territory]],0)</f>
        <v>ACT</v>
      </c>
      <c r="F8" s="19" t="str" cm="1">
        <f t="array" ref="F8">Common_InputFunctions.Utility_DisplayArrayInTable(Common_SourceData.Common_SourceData_AustralianStatesTerritories_Data(),Table_AustralianStates[[#Headers],[State/Territory]],0)</f>
        <v>ACT</v>
      </c>
    </row>
    <row r="9" spans="1:65" ht="20.100000000000001" customHeight="1" x14ac:dyDescent="0.25">
      <c r="A9" s="7" t="s">
        <v>0</v>
      </c>
      <c r="D9" s="19" t="str" cm="1">
        <f t="array" ref="D9">Common_InputFunctions.Utility_DisplayArrayInTable(Common_SourceData.Common_SourceData_AustralianStatesTerritories_Data(),Table_AustralianStates[[#Headers],[State/Territory]],0)</f>
        <v>Victoria</v>
      </c>
      <c r="E9" s="19" t="str" cm="1">
        <f t="array" ref="E9">Common_InputFunctions.Utility_DisplayArrayInTable(Common_SourceData.Common_SourceData_AustralianStatesTerritories_Data(),Table_AustralianStates[[#Headers],[State/Territory]],0)</f>
        <v>Victoria</v>
      </c>
      <c r="F9" s="19" t="str" cm="1">
        <f t="array" ref="F9">Common_InputFunctions.Utility_DisplayArrayInTable(Common_SourceData.Common_SourceData_AustralianStatesTerritories_Data(),Table_AustralianStates[[#Headers],[State/Territory]],0)</f>
        <v>VIC</v>
      </c>
    </row>
    <row r="10" spans="1:65" ht="20.100000000000001" customHeight="1" x14ac:dyDescent="0.25">
      <c r="A10" s="5" t="str">
        <f>HYPERLINK("#'Input - Enterprise'!A1", "Enterprise")</f>
        <v>Enterprise</v>
      </c>
      <c r="D10" s="19" t="str" cm="1">
        <f t="array" ref="D10">Common_InputFunctions.Utility_DisplayArrayInTable(Common_SourceData.Common_SourceData_AustralianStatesTerritories_Data(),Table_AustralianStates[[#Headers],[State/Territory]],0)</f>
        <v>Queensland</v>
      </c>
      <c r="E10" s="19" t="str" cm="1">
        <f t="array" ref="E10">Common_InputFunctions.Utility_DisplayArrayInTable(Common_SourceData.Common_SourceData_AustralianStatesTerritories_Data(),Table_AustralianStates[[#Headers],[State/Territory]],0)</f>
        <v>Queensland</v>
      </c>
      <c r="F10" s="19" t="str" cm="1">
        <f t="array" ref="F10">Common_InputFunctions.Utility_DisplayArrayInTable(Common_SourceData.Common_SourceData_AustralianStatesTerritories_Data(),Table_AustralianStates[[#Headers],[State/Territory]],0)</f>
        <v>QLD</v>
      </c>
    </row>
    <row r="11" spans="1:65" ht="20.100000000000001" customHeight="1" x14ac:dyDescent="0.25">
      <c r="A11" s="5" t="str">
        <f>HYPERLINK("#'Input - Site'!A1", "Site")</f>
        <v>Site</v>
      </c>
      <c r="D11" s="19" t="str" cm="1">
        <f t="array" ref="D11">Common_InputFunctions.Utility_DisplayArrayInTable(Common_SourceData.Common_SourceData_AustralianStatesTerritories_Data(),Table_AustralianStates[[#Headers],[State/Territory]],0)</f>
        <v>South Australia</v>
      </c>
      <c r="E11" s="19" t="str" cm="1">
        <f t="array" ref="E11">Common_InputFunctions.Utility_DisplayArrayInTable(Common_SourceData.Common_SourceData_AustralianStatesTerritories_Data(),Table_AustralianStates[[#Headers],[State/Territory]],0)</f>
        <v>South Australia</v>
      </c>
      <c r="F11" s="19" t="str" cm="1">
        <f t="array" ref="F11">Common_InputFunctions.Utility_DisplayArrayInTable(Common_SourceData.Common_SourceData_AustralianStatesTerritories_Data(),Table_AustralianStates[[#Headers],[State/Territory]],0)</f>
        <v>SA</v>
      </c>
      <c r="BM11" s="24"/>
    </row>
    <row r="12" spans="1:65" ht="20.100000000000001" customHeight="1" x14ac:dyDescent="0.25">
      <c r="A12" s="5" t="str">
        <f>HYPERLINK("#'Input - Dairy'!A1", "Dairy")</f>
        <v>Dairy</v>
      </c>
      <c r="D12" s="19" t="str" cm="1">
        <f t="array" ref="D12">Common_InputFunctions.Utility_DisplayArrayInTable(Common_SourceData.Common_SourceData_AustralianStatesTerritories_Data(),Table_AustralianStates[[#Headers],[State/Territory]],0)</f>
        <v>Western Australia</v>
      </c>
      <c r="E12" s="19" t="str" cm="1">
        <f t="array" ref="E12">Common_InputFunctions.Utility_DisplayArrayInTable(Common_SourceData.Common_SourceData_AustralianStatesTerritories_Data(),Table_AustralianStates[[#Headers],[State/Territory]],0)</f>
        <v>Western Australia</v>
      </c>
      <c r="F12" s="19" t="str" cm="1">
        <f t="array" ref="F12">Common_InputFunctions.Utility_DisplayArrayInTable(Common_SourceData.Common_SourceData_AustralianStatesTerritories_Data(),Table_AustralianStates[[#Headers],[State/Territory]],0)</f>
        <v>WA</v>
      </c>
      <c r="BM12" s="24"/>
    </row>
    <row r="13" spans="1:65" ht="20.100000000000001" customHeight="1" x14ac:dyDescent="0.25">
      <c r="A13" s="5" t="str">
        <f>HYPERLINK("#'Input - Livestock sales'!A1", "Livestock sales")</f>
        <v>Livestock sales</v>
      </c>
      <c r="D13" s="19" t="str" cm="1">
        <f t="array" ref="D13">Common_InputFunctions.Utility_DisplayArrayInTable(Common_SourceData.Common_SourceData_AustralianStatesTerritories_Data(),Table_AustralianStates[[#Headers],[State/Territory]],0)</f>
        <v>Tasmania</v>
      </c>
      <c r="E13" s="19" t="str" cm="1">
        <f t="array" ref="E13">Common_InputFunctions.Utility_DisplayArrayInTable(Common_SourceData.Common_SourceData_AustralianStatesTerritories_Data(),Table_AustralianStates[[#Headers],[State/Territory]],0)</f>
        <v>Tasmania</v>
      </c>
      <c r="F13" s="19" t="str" cm="1">
        <f t="array" ref="F13">Common_InputFunctions.Utility_DisplayArrayInTable(Common_SourceData.Common_SourceData_AustralianStatesTerritories_Data(),Table_AustralianStates[[#Headers],[State/Territory]],0)</f>
        <v>TAS</v>
      </c>
    </row>
    <row r="14" spans="1:65" ht="20.100000000000001" customHeight="1" x14ac:dyDescent="0.25">
      <c r="A14" s="5" t="str">
        <f>HYPERLINK("#'Input - Dairy cattle purchases'!A1", "Dairy cattle purchases")</f>
        <v>Dairy cattle purchases</v>
      </c>
      <c r="D14" s="19" t="str" cm="1">
        <f t="array" ref="D14">Common_InputFunctions.Utility_DisplayArrayInTable(Common_SourceData.Common_SourceData_AustralianStatesTerritories_Data(),Table_AustralianStates[[#Headers],[State/Territory]],0)</f>
        <v>Northern Territory</v>
      </c>
      <c r="E14" s="19" t="str" cm="1">
        <f t="array" ref="E14">Common_InputFunctions.Utility_DisplayArrayInTable(Common_SourceData.Common_SourceData_AustralianStatesTerritories_Data(),Table_AustralianStates[[#Headers],[State/Territory]],0)</f>
        <v>Northern Territory</v>
      </c>
      <c r="F14" s="19" t="str" cm="1">
        <f t="array" ref="F14">Common_InputFunctions.Utility_DisplayArrayInTable(Common_SourceData.Common_SourceData_AustralianStatesTerritories_Data(),Table_AustralianStates[[#Headers],[State/Territory]],0)</f>
        <v>NT</v>
      </c>
    </row>
    <row r="15" spans="1:65" ht="20.100000000000001" customHeight="1" x14ac:dyDescent="0.25">
      <c r="A15" s="5" t="str">
        <f>HYPERLINK("#'Input - Pasture'!A1", "Pasture")</f>
        <v>Pasture</v>
      </c>
    </row>
    <row r="16" spans="1:65" ht="20.100000000000001" customHeight="1" x14ac:dyDescent="0.25">
      <c r="A16" s="5" t="str">
        <f>HYPERLINK("#'Input - Fert Prod System'!A1", "Fert Prod System")</f>
        <v>Fert Prod System</v>
      </c>
    </row>
    <row r="17" spans="1:4" ht="20.100000000000001" customHeight="1" x14ac:dyDescent="0.25">
      <c r="A17" s="5" t="str">
        <f>HYPERLINK("#'Input - Fertiliser'!A1", "Fertiliser")</f>
        <v>Fertiliser</v>
      </c>
    </row>
    <row r="18" spans="1:4" ht="20.100000000000001" customHeight="1" x14ac:dyDescent="0.25">
      <c r="A18" s="5" t="str">
        <f>HYPERLINK("#'Input - Fuel'!A1", "Fuel")</f>
        <v>Fuel</v>
      </c>
      <c r="D18" s="2" t="str" cm="1">
        <f t="array" ref="D18">Common_SourceData.Common_SourceData_WASA4Areas_Title()</f>
        <v>ABS Statistcal Areas Level 4 - Western Australia</v>
      </c>
    </row>
    <row r="19" spans="1:4" ht="20.100000000000001" customHeight="1" x14ac:dyDescent="0.25">
      <c r="A19" s="5" t="str">
        <f>HYPERLINK("#'Input - Electricity'!A1", "Electricity")</f>
        <v>Electricity</v>
      </c>
      <c r="D19" s="17" t="str" cm="1">
        <f t="array" ref="D19">Common_SourceData.Common_SourceData_WASA4Areas_Source()</f>
        <v>Australian Bureau of Statistics (ABS) - Statistical Areas Level 2 - 2021 - Shapefile</v>
      </c>
    </row>
    <row r="20" spans="1:4" ht="20.100000000000001" customHeight="1" x14ac:dyDescent="0.25">
      <c r="A20" s="5" t="str">
        <f>HYPERLINK("#'Input - Common farm inputs'!A1", "Common farm inputs")</f>
        <v>Common farm inputs</v>
      </c>
      <c r="D20" s="19" t="s">
        <v>24</v>
      </c>
    </row>
    <row r="21" spans="1:4" ht="20.100000000000001" customHeight="1" x14ac:dyDescent="0.25">
      <c r="A21" s="5" t="str">
        <f>HYPERLINK("#'Input - Crop pasture farm input'!A1", "Crop pasture farm input")</f>
        <v>Crop pasture farm input</v>
      </c>
      <c r="D21" s="19" t="str" cm="1">
        <f t="array" ref="D21">Common_InputFunctions.Utility_DisplayArrayInTable(Common_SourceData.Common_SourceData_WASA4Areas_Data(), Table_WASA4Areas[[#Headers],[SA 4 Name]], 0)</f>
        <v>Bunbury</v>
      </c>
    </row>
    <row r="22" spans="1:4" ht="20.100000000000001" customHeight="1" x14ac:dyDescent="0.25">
      <c r="A22" s="5" t="str">
        <f>HYPERLINK("#'Input - Livestock farm Inputs'!A1", "Livestock farm Inputs")</f>
        <v>Livestock farm Inputs</v>
      </c>
      <c r="D22" s="19" t="str" cm="1">
        <f t="array" ref="D22">Common_InputFunctions.Utility_DisplayArrayInTable(Common_SourceData.Common_SourceData_WASA4Areas_Data(), Table_WASA4Areas[[#Headers],[SA 4 Name]], 0)</f>
        <v>Mandurah</v>
      </c>
    </row>
    <row r="23" spans="1:4" ht="20.100000000000001" customHeight="1" x14ac:dyDescent="0.25">
      <c r="A23" s="5" t="str">
        <f>HYPERLINK("#'Input - Freight'!A1", "Freight")</f>
        <v>Freight</v>
      </c>
      <c r="D23" s="19" t="str" cm="1">
        <f t="array" ref="D23">Common_InputFunctions.Utility_DisplayArrayInTable(Common_SourceData.Common_SourceData_WASA4Areas_Data(), Table_WASA4Areas[[#Headers],[SA 4 Name]], 0)</f>
        <v>Perth - Inner</v>
      </c>
    </row>
    <row r="24" spans="1:4" ht="20.100000000000001" customHeight="1" x14ac:dyDescent="0.25">
      <c r="A24" s="5" t="str">
        <f>HYPERLINK("#'Input - Solid waste'!A1", "Solid waste")</f>
        <v>Solid waste</v>
      </c>
      <c r="D24" s="19" t="str" cm="1">
        <f t="array" ref="D24">Common_InputFunctions.Utility_DisplayArrayInTable(Common_SourceData.Common_SourceData_WASA4Areas_Data(), Table_WASA4Areas[[#Headers],[SA 4 Name]], 0)</f>
        <v>Perth - North East</v>
      </c>
    </row>
    <row r="25" spans="1:4" ht="20.100000000000001" customHeight="1" x14ac:dyDescent="0.25">
      <c r="A25" s="5" t="str">
        <f>HYPERLINK("#'Input - Manure sent off-site'!A1", "Manure sent off-site")</f>
        <v>Manure sent off-site</v>
      </c>
      <c r="D25" s="19" t="str" cm="1">
        <f t="array" ref="D25">Common_InputFunctions.Utility_DisplayArrayInTable(Common_SourceData.Common_SourceData_WASA4Areas_Data(), Table_WASA4Areas[[#Headers],[SA 4 Name]], 0)</f>
        <v>Perth - North West</v>
      </c>
    </row>
    <row r="26" spans="1:4" ht="20.100000000000001" customHeight="1" x14ac:dyDescent="0.25">
      <c r="A26" s="5" t="str">
        <f>HYPERLINK("#'Input - Refrigerants'!A1", "Refrigerants")</f>
        <v>Refrigerants</v>
      </c>
      <c r="D26" s="19" t="str" cm="1">
        <f t="array" ref="D26">Common_InputFunctions.Utility_DisplayArrayInTable(Common_SourceData.Common_SourceData_WASA4Areas_Data(), Table_WASA4Areas[[#Headers],[SA 4 Name]], 0)</f>
        <v>Perth - South East</v>
      </c>
    </row>
    <row r="27" spans="1:4" ht="20.100000000000001" customHeight="1" x14ac:dyDescent="0.25">
      <c r="A27" s="5" t="str">
        <f>HYPERLINK("#'Input - Data quality'!A1", "Data quality")</f>
        <v>Data quality</v>
      </c>
      <c r="D27" s="19" t="str" cm="1">
        <f t="array" ref="D27">Common_InputFunctions.Utility_DisplayArrayInTable(Common_SourceData.Common_SourceData_WASA4Areas_Data(), Table_WASA4Areas[[#Headers],[SA 4 Name]], 0)</f>
        <v>Perth - South West</v>
      </c>
    </row>
    <row r="28" spans="1:4" ht="20.100000000000001" customHeight="1" x14ac:dyDescent="0.25">
      <c r="A28"/>
      <c r="D28" s="1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19" t="str" cm="1">
        <f t="array" ref="D29">Common_InputFunctions.Utility_DisplayArrayInTable(Common_SourceData.Common_SourceData_WASA4Areas_Data(), Table_WASA4Areas[[#Headers],[SA 4 Name]], 0)</f>
        <v>Western Australia - Outback (North)</v>
      </c>
    </row>
    <row r="30" spans="1:4" ht="20.100000000000001" customHeight="1" x14ac:dyDescent="0.25">
      <c r="A30" s="6" t="s">
        <v>2</v>
      </c>
      <c r="D30" s="19" t="str" cm="1">
        <f t="array" ref="D30">Common_InputFunctions.Utility_DisplayArrayInTable(Common_SourceData.Common_SourceData_WASA4Areas_Data(), Table_WASA4Areas[[#Headers],[SA 4 Name]], 0)</f>
        <v>Western Australia - Outback (South)</v>
      </c>
    </row>
    <row r="31" spans="1:4" ht="20.100000000000001" customHeight="1" x14ac:dyDescent="0.25">
      <c r="A31" s="5" t="str">
        <f>HYPERLINK("#'3.3.1.1-2 Enteric Methane'!A1", "3.3.1.1-2 Enteric methane")</f>
        <v>3.3.1.1-2 Enteric methane</v>
      </c>
    </row>
    <row r="32" spans="1:4" ht="20.100000000000001" customHeight="1" x14ac:dyDescent="0.25">
      <c r="A32" s="5" t="str">
        <f>HYPERLINK("#'4.3.1.1-2 Methane'!A1", "4.3.1.1-2 Manure methane")</f>
        <v>4.3.1.1-2 Manure methane</v>
      </c>
    </row>
    <row r="33" spans="1:8" ht="20.100000000000001" customHeight="1" x14ac:dyDescent="0.25">
      <c r="A33" s="5" t="str">
        <f>HYPERLINK("#'4.3.1.3-4 Direct N20'!A1", "4.3.1.3-4 Direct N20")</f>
        <v>4.3.1.3-4 Direct N20</v>
      </c>
    </row>
    <row r="34" spans="1:8" ht="20.100000000000001" customHeight="1" x14ac:dyDescent="0.25">
      <c r="A34" s="5" t="str">
        <f>HYPERLINK("#'4.3.1.5 Atmos deposition'!A1", "4.3.1.5 Atmos deposition")</f>
        <v>4.3.1.5 Atmos deposition</v>
      </c>
      <c r="D34" s="2" t="str" cm="1">
        <f t="array" ref="D34">Common_SourceData.Common_SourceData_GWP_Title()</f>
        <v>Global warming potential for greenhouse gases</v>
      </c>
    </row>
    <row r="35" spans="1:8" ht="20.100000000000001" customHeight="1" x14ac:dyDescent="0.25">
      <c r="A35" s="5" t="str">
        <f>HYPERLINK("#'4.3.1.6-7 Leaching and runoff'!A1", "4.3.1.6-7 Leaching &amp; runoff")</f>
        <v>4.3.1.6-7 Leaching &amp; runoff</v>
      </c>
      <c r="D35" s="17" t="str" cm="1">
        <f t="array" ref="D35">Common_SourceData.Common_SourceData_GWP_Source()</f>
        <v>XXXXXXX</v>
      </c>
    </row>
    <row r="36" spans="1:8" ht="20.100000000000001" customHeight="1" x14ac:dyDescent="0.25">
      <c r="A36" s="5" t="str">
        <f>HYPERLINK("#'4.3.1.8 Manure applied to soils'!A1", "4.3.1.8 Manure applied to soils")</f>
        <v>4.3.1.8 Manure applied to soils</v>
      </c>
      <c r="D36" s="19" t="s">
        <v>25</v>
      </c>
      <c r="E36" s="19" t="s">
        <v>26</v>
      </c>
    </row>
    <row r="37" spans="1:8" ht="20.100000000000001" customHeight="1" x14ac:dyDescent="0.25">
      <c r="A37" s="5" t="str">
        <f>HYPERLINK("#'4.3.1.9 Soil direct N2O'!A1", "4.3.1.9 Soil direct N2O")</f>
        <v>4.3.1.9 Soil direct N2O</v>
      </c>
      <c r="D37" s="19" t="str" cm="1">
        <f t="array" ref="D37">Common_InputFunctions.Utility_DisplayArrayInTable(Common_SourceData.Common_SourceData_GWP_Data(), Table_GWPData[[#Headers],[Gas]], 0)</f>
        <v>CO2</v>
      </c>
      <c r="E37" s="19" cm="1">
        <f t="array" ref="E37">Common_InputFunctions.Utility_DisplayArrayInTable(Common_SourceData.Common_SourceData_GWP_Data(), Table_GWPData[[#Headers],[Gas]], 0)</f>
        <v>1</v>
      </c>
    </row>
    <row r="38" spans="1:8" ht="20.100000000000001" customHeight="1" x14ac:dyDescent="0.25">
      <c r="A38" s="5" t="str">
        <f>HYPERLINK("#'4.3.1.10-11 Soil Atmos Dep'!A1", "4.3.1.10-11 Soil Atmos Deposition")</f>
        <v>4.3.1.10-11 Soil Atmos Deposition</v>
      </c>
      <c r="D38" s="19" t="str" cm="1">
        <f t="array" ref="D38">Common_InputFunctions.Utility_DisplayArrayInTable(Common_SourceData.Common_SourceData_GWP_Data(), Table_GWPData[[#Headers],[Gas]], 0)</f>
        <v>CH4</v>
      </c>
      <c r="E38" s="19" cm="1">
        <f t="array" ref="E38">Common_InputFunctions.Utility_DisplayArrayInTable(Common_SourceData.Common_SourceData_GWP_Data(), Table_GWPData[[#Headers],[Gas]], 0)</f>
        <v>28</v>
      </c>
    </row>
    <row r="39" spans="1:8" ht="20.100000000000001" customHeight="1" x14ac:dyDescent="0.25">
      <c r="A39" s="5" t="str">
        <f>HYPERLINK("#'4.3.1.12-13 Soil leach runoff'!A1", "4.3.1.12-13 Soil leach &amp; runoff")</f>
        <v>4.3.1.12-13 Soil leach &amp; runoff</v>
      </c>
      <c r="D39" s="19" t="str" cm="1">
        <f t="array" ref="D39">Common_InputFunctions.Utility_DisplayArrayInTable(Common_SourceData.Common_SourceData_GWP_Data(), Table_GWPData[[#Headers],[Gas]], 0)</f>
        <v>N2O</v>
      </c>
      <c r="E39" s="19" cm="1">
        <f t="array" ref="E39">Common_InputFunctions.Utility_DisplayArrayInTable(Common_SourceData.Common_SourceData_GWP_Data(), Table_GWPData[[#Headers],[Gas]], 0)</f>
        <v>265</v>
      </c>
    </row>
    <row r="40" spans="1:8" ht="20.100000000000001" customHeight="1" x14ac:dyDescent="0.25">
      <c r="A40" s="5" t="str">
        <f>HYPERLINK("#'5.1.1.1-2 Inorganic fert N2O'!A1", "5.1.1.1-2 Inorganic fert N2O")</f>
        <v>5.1.1.1-2 Inorganic fert N2O</v>
      </c>
      <c r="D40" s="19" t="str" cm="1">
        <f t="array" ref="D40">Common_InputFunctions.Utility_DisplayArrayInTable(Common_SourceData.Common_SourceData_GWP_Data(), Table_GWPData[[#Headers],[Gas]], 0)</f>
        <v>CF4</v>
      </c>
      <c r="E40" s="19" cm="1">
        <f t="array" ref="E40">Common_InputFunctions.Utility_DisplayArrayInTable(Common_SourceData.Common_SourceData_GWP_Data(), Table_GWPData[[#Headers],[Gas]], 0)</f>
        <v>6630</v>
      </c>
    </row>
    <row r="41" spans="1:8" ht="20.100000000000001" customHeight="1" x14ac:dyDescent="0.25">
      <c r="A41" s="5" t="str">
        <f>HYPERLINK("#'5.1.1.3-4 Inorganic fert CO2'!A1", "5.1.1.3-4 Inorganic fert CO2")</f>
        <v>5.1.1.3-4 Inorganic fert CO2</v>
      </c>
      <c r="D41" s="19" t="str" cm="1">
        <f t="array" ref="D41">Common_InputFunctions.Utility_DisplayArrayInTable(Common_SourceData.Common_SourceData_GWP_Data(), Table_GWPData[[#Headers],[Gas]], 0)</f>
        <v>C2F6</v>
      </c>
      <c r="E41" s="19" cm="1">
        <f t="array" ref="E41">Common_InputFunctions.Utility_DisplayArrayInTable(Common_SourceData.Common_SourceData_GWP_Data(), Table_GWPData[[#Headers],[Gas]], 0)</f>
        <v>12200</v>
      </c>
    </row>
    <row r="42" spans="1:8" ht="20.100000000000001" customHeight="1" x14ac:dyDescent="0.25">
      <c r="A42" s="5" t="str">
        <f>HYPERLINK("#'5.2.1.1-2 Organic Fert N2O'!A1", "5.2.1.1-2 Organic fert N2O")</f>
        <v>5.2.1.1-2 Organic fert N2O</v>
      </c>
      <c r="D42" s="19" t="str" cm="1">
        <f t="array" ref="D42">Common_InputFunctions.Utility_DisplayArrayInTable(Common_SourceData.Common_SourceData_GWP_Data(), Table_GWPData[[#Headers],[Gas]], 0)</f>
        <v>SF6</v>
      </c>
      <c r="E42" s="19" cm="1">
        <f t="array" ref="E42">Common_InputFunctions.Utility_DisplayArrayInTable(Common_SourceData.Common_SourceData_GWP_Data(), Table_GWPData[[#Headers],[Gas]], 0)</f>
        <v>22800</v>
      </c>
    </row>
    <row r="43" spans="1:8" ht="20.100000000000001" customHeight="1" x14ac:dyDescent="0.25">
      <c r="A43" s="5" t="str">
        <f>HYPERLINK("#'5.3.1.1-2 Lime CO2'!A1", "5.3.1.1-2 Lime CO2")</f>
        <v>5.3.1.1-2 Lime CO2</v>
      </c>
      <c r="D43" s="19" t="str" cm="1">
        <f t="array" ref="D43">Common_InputFunctions.Utility_DisplayArrayInTable(Common_SourceData.Common_SourceData_GWP_Data(), Table_GWPData[[#Headers],[Gas]], 0)</f>
        <v>NF3</v>
      </c>
      <c r="E43" s="19" cm="1">
        <f t="array" ref="E43">Common_InputFunctions.Utility_DisplayArrayInTable(Common_SourceData.Common_SourceData_GWP_Data(), Table_GWPData[[#Headers],[Gas]], 0)</f>
        <v>17200</v>
      </c>
    </row>
    <row r="44" spans="1:8" ht="20.100000000000001" customHeight="1" x14ac:dyDescent="0.25">
      <c r="A44" s="5" t="str">
        <f>HYPERLINK("#'5.4.1.1-4 Atmos deposition'!A1", "5.4.1.1-4 Atmos. deposition")</f>
        <v>5.4.1.1-4 Atmos. deposition</v>
      </c>
    </row>
    <row r="45" spans="1:8" ht="20.100000000000001" customHeight="1" x14ac:dyDescent="0.25">
      <c r="A45" s="5" t="str">
        <f>HYPERLINK("#'5.5.1.1-2 Leaching and runoff'!A1", "5.5.1.1-2 Leaching &amp; runoff")</f>
        <v>5.5.1.1-2 Leaching &amp; runoff</v>
      </c>
      <c r="D45" s="2" t="str" cm="1">
        <f t="array" ref="D45">Common_SourceData.Common_SourceData_ConvertGasElementalToMolecular_Title()</f>
        <v>Factor to convert elemental mass of gas to molecular mass</v>
      </c>
    </row>
    <row r="46" spans="1:8" ht="20.100000000000001" customHeight="1" x14ac:dyDescent="0.25">
      <c r="A46" s="5" t="str">
        <f>HYPERLINK("#'6.2.1.1-2 Pasture residue N2O'!A1", "6.2.1.1-2 Pasture residue N2O")</f>
        <v>6.2.1.1-2 Pasture residue N2O</v>
      </c>
      <c r="D46" s="17" t="str" cm="1">
        <f t="array" ref="D46">Common_SourceData.Common_SourceData_ConvertGasElementalToMolecular_Source()</f>
        <v>XXXXXXX</v>
      </c>
    </row>
    <row r="47" spans="1:8" ht="20.100000000000001" customHeight="1" x14ac:dyDescent="0.25">
      <c r="A47" s="5" t="str">
        <f>HYPERLINK("#'6.3.1.1-2 Leach runoff pasture'!A1", "6.3.1.1-2 Leach &amp; runoff (pasture)")</f>
        <v>6.3.1.1-2 Leach &amp; runoff (pasture)</v>
      </c>
      <c r="D47" s="19" t="s">
        <v>25</v>
      </c>
      <c r="E47" s="19" t="s">
        <v>27</v>
      </c>
      <c r="F47" s="19" t="s">
        <v>28</v>
      </c>
      <c r="G47" s="19" t="s">
        <v>29</v>
      </c>
      <c r="H47" s="19" t="s">
        <v>30</v>
      </c>
    </row>
    <row r="48" spans="1:8" ht="20.100000000000001" customHeight="1" x14ac:dyDescent="0.25">
      <c r="A48" s="5" t="str">
        <f>HYPERLINK("#'8.1.1.1-2 Transport fuel'!A1", "8.1.1.1-2 Transport fuel")</f>
        <v>8.1.1.1-2 Transport fuel</v>
      </c>
      <c r="D48" s="19" t="str" cm="1">
        <f t="array" ref="D48">Common_InputFunctions.Utility_DisplayArrayInTable(Common_SourceData.Common_SourceData_ConvertGasElementalToMolecular_Data(),Table_GasToMolecularConversionFactor[[#Headers],[Gas]], 0)</f>
        <v>CO2</v>
      </c>
      <c r="E48" s="19" t="str" cm="1">
        <f t="array" ref="E48">Common_InputFunctions.Utility_DisplayArrayInTable(Common_SourceData.Common_SourceData_ConvertGasElementalToMolecular_Data(),Table_GasToMolecularConversionFactor[[#Headers],[Gas]], 0)</f>
        <v>44/12</v>
      </c>
      <c r="F48" s="19" cm="1">
        <f t="array" ref="F48">Common_InputFunctions.Utility_DisplayArrayInTable(Common_SourceData.Common_SourceData_ConvertGasElementalToMolecular_Data(),Table_GasToMolecularConversionFactor[[#Headers],[Gas]], 0)</f>
        <v>44</v>
      </c>
      <c r="G48" s="19" cm="1">
        <f t="array" ref="G48">Common_InputFunctions.Utility_DisplayArrayInTable(Common_SourceData.Common_SourceData_ConvertGasElementalToMolecular_Data(),Table_GasToMolecularConversionFactor[[#Headers],[Gas]], 0)</f>
        <v>12</v>
      </c>
      <c r="H48" s="19">
        <f>Table_GasToMolecularConversionFactor[[#This Row],[Conversion factor 1]]/Table_GasToMolecularConversionFactor[[#This Row],[Conversion factor 2]]</f>
        <v>3.6666666666666665</v>
      </c>
    </row>
    <row r="49" spans="1:8" ht="20.100000000000001" customHeight="1" x14ac:dyDescent="0.25">
      <c r="A49" s="5" t="str">
        <f>HYPERLINK("#'8.2.1.1-2 Stationary fuel'!A1", "8.2.1.1-2 Stationary fuel")</f>
        <v>8.2.1.1-2 Stationary fuel</v>
      </c>
      <c r="D49" s="19" t="str" cm="1">
        <f t="array" ref="D49">Common_InputFunctions.Utility_DisplayArrayInTable(Common_SourceData.Common_SourceData_ConvertGasElementalToMolecular_Data(),Table_GasToMolecularConversionFactor[[#Headers],[Gas]], 0)</f>
        <v>CH4</v>
      </c>
      <c r="E49" s="19" t="str" cm="1">
        <f t="array" ref="E49">Common_InputFunctions.Utility_DisplayArrayInTable(Common_SourceData.Common_SourceData_ConvertGasElementalToMolecular_Data(),Table_GasToMolecularConversionFactor[[#Headers],[Gas]], 0)</f>
        <v>16/12</v>
      </c>
      <c r="F49" s="19" cm="1">
        <f t="array" ref="F49">Common_InputFunctions.Utility_DisplayArrayInTable(Common_SourceData.Common_SourceData_ConvertGasElementalToMolecular_Data(),Table_GasToMolecularConversionFactor[[#Headers],[Gas]], 0)</f>
        <v>16</v>
      </c>
      <c r="G49" s="19" cm="1">
        <f t="array" ref="G49">Common_InputFunctions.Utility_DisplayArrayInTable(Common_SourceData.Common_SourceData_ConvertGasElementalToMolecular_Data(),Table_GasToMolecularConversionFactor[[#Headers],[Gas]], 0)</f>
        <v>12</v>
      </c>
      <c r="H49" s="19">
        <f>Table_GasToMolecularConversionFactor[[#This Row],[Conversion factor 1]]/Table_GasToMolecularConversionFactor[[#This Row],[Conversion factor 2]]</f>
        <v>1.3333333333333333</v>
      </c>
    </row>
    <row r="50" spans="1:8" ht="20.100000000000001" customHeight="1" x14ac:dyDescent="0.25">
      <c r="A50" s="5" t="str">
        <f>HYPERLINK("#'9.1.1.1-2 Refrigerant use'!A1", "9.1.1.1-2 Refrigerant use")</f>
        <v>9.1.1.1-2 Refrigerant use</v>
      </c>
      <c r="D50" s="19" t="str" cm="1">
        <f t="array" ref="D50">Common_InputFunctions.Utility_DisplayArrayInTable(Common_SourceData.Common_SourceData_ConvertGasElementalToMolecular_Data(),Table_GasToMolecularConversionFactor[[#Headers],[Gas]], 0)</f>
        <v>N2O</v>
      </c>
      <c r="E50" s="19" t="str" cm="1">
        <f t="array" ref="E50">Common_InputFunctions.Utility_DisplayArrayInTable(Common_SourceData.Common_SourceData_ConvertGasElementalToMolecular_Data(),Table_GasToMolecularConversionFactor[[#Headers],[Gas]], 0)</f>
        <v>44/28</v>
      </c>
      <c r="F50" s="19" cm="1">
        <f t="array" ref="F50">Common_InputFunctions.Utility_DisplayArrayInTable(Common_SourceData.Common_SourceData_ConvertGasElementalToMolecular_Data(),Table_GasToMolecularConversionFactor[[#Headers],[Gas]], 0)</f>
        <v>44</v>
      </c>
      <c r="G50" s="19" cm="1">
        <f t="array" ref="G50">Common_InputFunctions.Utility_DisplayArrayInTable(Common_SourceData.Common_SourceData_ConvertGasElementalToMolecular_Data(),Table_GasToMolecularConversionFactor[[#Headers],[Gas]], 0)</f>
        <v>28</v>
      </c>
      <c r="H50" s="19">
        <f>Table_GasToMolecularConversionFactor[[#This Row],[Conversion factor 1]]/Table_GasToMolecularConversionFactor[[#This Row],[Conversion factor 2]]</f>
        <v>1.5714285714285714</v>
      </c>
    </row>
    <row r="51" spans="1:8" ht="20.100000000000001" customHeight="1" x14ac:dyDescent="0.25">
      <c r="A51" s="5" t="str">
        <f>HYPERLINK("#'10.1.1-2 Solid waste treatment'!A1", "10.1.1.1-2 Solid waste")</f>
        <v>10.1.1.1-2 Solid waste</v>
      </c>
      <c r="D51" s="19" t="str" cm="1">
        <f t="array" ref="D51">Common_InputFunctions.Utility_DisplayArrayInTable(Common_SourceData.Common_SourceData_ConvertGasElementalToMolecular_Data(),Table_GasToMolecularConversionFactor[[#Headers],[Gas]], 0)</f>
        <v>Nox</v>
      </c>
      <c r="E51" s="19" t="str" cm="1">
        <f t="array" ref="E51">Common_InputFunctions.Utility_DisplayArrayInTable(Common_SourceData.Common_SourceData_ConvertGasElementalToMolecular_Data(),Table_GasToMolecularConversionFactor[[#Headers],[Gas]], 0)</f>
        <v>46/14</v>
      </c>
      <c r="F51" s="19" cm="1">
        <f t="array" ref="F51">Common_InputFunctions.Utility_DisplayArrayInTable(Common_SourceData.Common_SourceData_ConvertGasElementalToMolecular_Data(),Table_GasToMolecularConversionFactor[[#Headers],[Gas]], 0)</f>
        <v>46</v>
      </c>
      <c r="G51" s="19" cm="1">
        <f t="array" ref="G51">Common_InputFunctions.Utility_DisplayArrayInTable(Common_SourceData.Common_SourceData_ConvertGasElementalToMolecular_Data(),Table_GasToMolecularConversionFactor[[#Headers],[Gas]], 0)</f>
        <v>14</v>
      </c>
      <c r="H51" s="19">
        <f>Table_GasToMolecularConversionFactor[[#This Row],[Conversion factor 1]]/Table_GasToMolecularConversionFactor[[#This Row],[Conversion factor 2]]</f>
        <v>3.2857142857142856</v>
      </c>
    </row>
    <row r="52" spans="1:8" ht="20.100000000000001" customHeight="1" x14ac:dyDescent="0.25">
      <c r="A52" s="5" t="str">
        <f>HYPERLINK("#'14.1.1-2 Purchased electricity'!A1", "14.1.1-2 Purchased electricity")</f>
        <v>14.1.1-2 Purchased electricity</v>
      </c>
      <c r="D52" s="19" t="str" cm="1">
        <f t="array" ref="D52">Common_InputFunctions.Utility_DisplayArrayInTable(Common_SourceData.Common_SourceData_ConvertGasElementalToMolecular_Data(),Table_GasToMolecularConversionFactor[[#Headers],[Gas]], 0)</f>
        <v>CO</v>
      </c>
      <c r="E52" s="19" t="str" cm="1">
        <f t="array" ref="E52">Common_InputFunctions.Utility_DisplayArrayInTable(Common_SourceData.Common_SourceData_ConvertGasElementalToMolecular_Data(),Table_GasToMolecularConversionFactor[[#Headers],[Gas]], 0)</f>
        <v>28/12</v>
      </c>
      <c r="F52" s="19" cm="1">
        <f t="array" ref="F52">Common_InputFunctions.Utility_DisplayArrayInTable(Common_SourceData.Common_SourceData_ConvertGasElementalToMolecular_Data(),Table_GasToMolecularConversionFactor[[#Headers],[Gas]], 0)</f>
        <v>28</v>
      </c>
      <c r="G52" s="19" cm="1">
        <f t="array" ref="G52">Common_InputFunctions.Utility_DisplayArrayInTable(Common_SourceData.Common_SourceData_ConvertGasElementalToMolecular_Data(),Table_GasToMolecularConversionFactor[[#Headers],[Gas]], 0)</f>
        <v>12</v>
      </c>
      <c r="H52" s="19">
        <f>Table_GasToMolecularConversionFactor[[#This Row],[Conversion factor 1]]/Table_GasToMolecularConversionFactor[[#This Row],[Conversion factor 2]]</f>
        <v>2.3333333333333335</v>
      </c>
    </row>
    <row r="53" spans="1:8" ht="20.100000000000001" customHeight="1" x14ac:dyDescent="0.25">
      <c r="A53" s="5" t="str">
        <f>HYPERLINK("#'15 Scope 3'!A1", "15 Scope 3")</f>
        <v>15 Scope 3</v>
      </c>
      <c r="D53" s="19" t="str" cm="1">
        <f t="array" ref="D53">Common_InputFunctions.Utility_DisplayArrayInTable(Common_SourceData.Common_SourceData_ConvertGasElementalToMolecular_Data(),Table_GasToMolecularConversionFactor[[#Headers],[Gas]], 0)</f>
        <v>CO2 Lime</v>
      </c>
      <c r="E53" s="19" t="str" cm="1">
        <f t="array" ref="E53">Common_InputFunctions.Utility_DisplayArrayInTable(Common_SourceData.Common_SourceData_ConvertGasElementalToMolecular_Data(),Table_GasToMolecularConversionFactor[[#Headers],[Gas]], 0)</f>
        <v>44/12</v>
      </c>
      <c r="F53" s="19" cm="1">
        <f t="array" ref="F53">Common_InputFunctions.Utility_DisplayArrayInTable(Common_SourceData.Common_SourceData_ConvertGasElementalToMolecular_Data(),Table_GasToMolecularConversionFactor[[#Headers],[Gas]], 0)</f>
        <v>44</v>
      </c>
      <c r="G53" s="19" cm="1">
        <f t="array" ref="G53">Common_InputFunctions.Utility_DisplayArrayInTable(Common_SourceData.Common_SourceData_ConvertGasElementalToMolecular_Data(),Table_GasToMolecularConversionFactor[[#Headers],[Gas]], 0)</f>
        <v>12</v>
      </c>
      <c r="H53" s="19">
        <f>Table_GasToMolecularConversionFactor[[#This Row],[Conversion factor 1]]/Table_GasToMolecularConversionFactor[[#This Row],[Conversion factor 2]]</f>
        <v>3.6666666666666665</v>
      </c>
    </row>
    <row r="54" spans="1:8" ht="20.100000000000001" customHeight="1" x14ac:dyDescent="0.25">
      <c r="A54" s="5" t="str">
        <f>HYPERLINK("#'Calcs - Manure sent off-site'!A1", "Calcs - Manure sent off-site")</f>
        <v>Calcs - Manure sent off-site</v>
      </c>
      <c r="D54" s="19" t="str" cm="1">
        <f t="array" ref="D54">Common_InputFunctions.Utility_DisplayArrayInTable(Common_SourceData.Common_SourceData_ConvertGasElementalToMolecular_Data(),Table_GasToMolecularConversionFactor[[#Headers],[Gas]], 0)</f>
        <v>NMVOC</v>
      </c>
      <c r="E54" s="19" t="str" cm="1">
        <f t="array" ref="E54">Common_InputFunctions.Utility_DisplayArrayInTable(Common_SourceData.Common_SourceData_ConvertGasElementalToMolecular_Data(),Table_GasToMolecularConversionFactor[[#Headers],[Gas]], 0)</f>
        <v>14/12</v>
      </c>
      <c r="F54" s="19" cm="1">
        <f t="array" ref="F54">Common_InputFunctions.Utility_DisplayArrayInTable(Common_SourceData.Common_SourceData_ConvertGasElementalToMolecular_Data(),Table_GasToMolecularConversionFactor[[#Headers],[Gas]], 0)</f>
        <v>14</v>
      </c>
      <c r="G54" s="19" cm="1">
        <f t="array" ref="G54">Common_InputFunctions.Utility_DisplayArrayInTable(Common_SourceData.Common_SourceData_ConvertGasElementalToMolecular_Data(),Table_GasToMolecularConversionFactor[[#Headers],[Gas]], 0)</f>
        <v>12</v>
      </c>
      <c r="H54" s="19">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s="82" t="s">
        <v>1</v>
      </c>
      <c r="D57" s="2" t="str" cm="1">
        <f t="array" ref="D57">Common_SourceData.Common_SourceData_WetAndDryZones_Title()</f>
        <v>VEERG Australian wet and dry zones</v>
      </c>
    </row>
    <row r="58" spans="1:8" ht="20.100000000000001" customHeight="1" x14ac:dyDescent="0.25">
      <c r="A58" s="5" t="str">
        <f>HYPERLINK("#'Constants - Dairy'!A1", "Constants - Dairy")</f>
        <v>Constants - Dairy</v>
      </c>
      <c r="D58" s="17" t="str" cm="1">
        <f t="array" ref="D58">Common_SourceData.Common_SourceData_WetAndDryZones_Source()</f>
        <v>VEERG 2026: Table 1.2: Translating climate zones to wet and dry zones</v>
      </c>
    </row>
    <row r="59" spans="1:8" ht="20.100000000000001" customHeight="1" x14ac:dyDescent="0.25">
      <c r="A59" s="5" t="str">
        <f>HYPERLINK("#'Constants - Ag Residue'!A1", "Constants - Ag residue")</f>
        <v>Constants - Ag residue</v>
      </c>
      <c r="D59" s="25" t="str" cm="1">
        <f t="array" ref="D59:D61">"⚠️" &amp; Common_SourceData.Common_SourceData_WetAndDryZones_Variation()</f>
        <v>⚠️VARIATION OF SOURCE DATA:</v>
      </c>
    </row>
    <row r="60" spans="1:8" ht="20.100000000000001" customHeight="1" x14ac:dyDescent="0.25">
      <c r="A60" s="5" t="str">
        <f>HYPERLINK("#'Constants - Common Livestock'!A1", "Constants - Common Livestock")</f>
        <v>Constants - Common Livestock</v>
      </c>
      <c r="D60" s="25" t="str">
        <v>⚠️Added warm / cool temperate moist / dry - low frost and high temp classes to accommodate climate scenarios excluded by VEERG criteria.</v>
      </c>
    </row>
    <row r="61" spans="1:8" ht="20.100000000000001" customHeight="1" x14ac:dyDescent="0.25">
      <c r="A61" s="5" t="str">
        <f>HYPERLINK("#'Constants - Electricity'!A1", "Constants - Electricity")</f>
        <v>Constants - Electricity</v>
      </c>
      <c r="D61" s="25" t="str">
        <v>⚠️Fixed typo - Changed 'Fry' to 'Dry'.</v>
      </c>
    </row>
    <row r="62" spans="1:8" ht="20.100000000000001" customHeight="1" x14ac:dyDescent="0.25">
      <c r="A62" s="5" t="str">
        <f>HYPERLINK("#'Constants - Fertiliser'!A1", "Constants - Fertiliser")</f>
        <v>Constants - Fertiliser</v>
      </c>
    </row>
    <row r="63" spans="1:8" ht="20.100000000000001" customHeight="1" x14ac:dyDescent="0.25">
      <c r="A63" s="5" t="str">
        <f>HYPERLINK("#'Constants - Fuel'!A1", "Constants - Fuel")</f>
        <v>Constants - Fuel</v>
      </c>
      <c r="D63" s="19" t="s">
        <v>31</v>
      </c>
      <c r="E63" s="19" t="s">
        <v>32</v>
      </c>
    </row>
    <row r="64" spans="1:8" ht="20.100000000000001" customHeight="1" x14ac:dyDescent="0.25">
      <c r="A64" s="5" t="str">
        <f>HYPERLINK("#'Constants - Scope 3'!A1", "Constants - Scope 3")</f>
        <v>Constants - Scope 3</v>
      </c>
      <c r="D64" s="19" t="str" cm="1">
        <f t="array" ref="D64">Common_InputFunctions.Utility_DisplayArrayInTable(Common_SourceData.Common_SourceData_WetAndDryZones_Data(), Table_SourceData_WetDryZones[[#Headers],[Climate zone]], 0)</f>
        <v>Tropical montane</v>
      </c>
      <c r="E64" s="19" t="str" cm="1">
        <f t="array" ref="E64">Common_InputFunctions.Utility_DisplayArrayInTable(Common_SourceData.Common_SourceData_WetAndDryZones_Data(), Table_SourceData_WetDryZones[[#Headers],[Climate zone]], 0)</f>
        <v>Wet climate zone</v>
      </c>
    </row>
    <row r="65" spans="1:5" ht="20.100000000000001" customHeight="1" x14ac:dyDescent="0.25">
      <c r="A65" s="83" t="str">
        <f>HYPERLINK("#'Constants - Common'!A1", "Constants - Common")</f>
        <v>Constants - Common</v>
      </c>
      <c r="D65" s="19" t="str" cm="1">
        <f t="array" ref="D65">Common_InputFunctions.Utility_DisplayArrayInTable(Common_SourceData.Common_SourceData_WetAndDryZones_Data(), Table_SourceData_WetDryZones[[#Headers],[Climate zone]], 0)</f>
        <v>Tropical wet</v>
      </c>
      <c r="E65" s="19" t="str" cm="1">
        <f t="array" ref="E65">Common_InputFunctions.Utility_DisplayArrayInTable(Common_SourceData.Common_SourceData_WetAndDryZones_Data(), Table_SourceData_WetDryZones[[#Headers],[Climate zone]], 0)</f>
        <v>Wet climate zone</v>
      </c>
    </row>
    <row r="66" spans="1:5" ht="20.100000000000001" customHeight="1" x14ac:dyDescent="0.25">
      <c r="A66" s="5" t="str">
        <f>HYPERLINK("#'Constants - Refrigerants'!A1", "Constants - Refrigerants")</f>
        <v>Constants - Refrigerants</v>
      </c>
      <c r="D66" s="19" t="str" cm="1">
        <f t="array" ref="D66">Common_InputFunctions.Utility_DisplayArrayInTable(Common_SourceData.Common_SourceData_WetAndDryZones_Data(), Table_SourceData_WetDryZones[[#Headers],[Climate zone]], 0)</f>
        <v>Tropical moist</v>
      </c>
      <c r="E66" s="19" t="str" cm="1">
        <f t="array" ref="E66">Common_InputFunctions.Utility_DisplayArrayInTable(Common_SourceData.Common_SourceData_WetAndDryZones_Data(), Table_SourceData_WetDryZones[[#Headers],[Climate zone]], 0)</f>
        <v>Wet climate zone</v>
      </c>
    </row>
    <row r="67" spans="1:5" ht="20.100000000000001" customHeight="1" x14ac:dyDescent="0.25">
      <c r="A67" s="5" t="str">
        <f>HYPERLINK("#'Constants - Solid Waste'!A1", "Constants - Solid Waste")</f>
        <v>Constants - Solid Waste</v>
      </c>
      <c r="D67" s="19" t="str" cm="1">
        <f t="array" ref="D67">Common_InputFunctions.Utility_DisplayArrayInTable(Common_SourceData.Common_SourceData_WetAndDryZones_Data(), Table_SourceData_WetDryZones[[#Headers],[Climate zone]], 0)</f>
        <v>Tropical dry</v>
      </c>
      <c r="E67" s="19" t="str" cm="1">
        <f t="array" ref="E67">Common_InputFunctions.Utility_DisplayArrayInTable(Common_SourceData.Common_SourceData_WetAndDryZones_Data(), Table_SourceData_WetDryZones[[#Headers],[Climate zone]], 0)</f>
        <v>Dry climate zone</v>
      </c>
    </row>
    <row r="68" spans="1:5" ht="20.100000000000001" customHeight="1" x14ac:dyDescent="0.25">
      <c r="A68" s="5" t="str">
        <f>HYPERLINK("#'Acknowledgements'!A1", "Acknowledgements")</f>
        <v>Acknowledgements</v>
      </c>
      <c r="D68" s="19" t="str" cm="1">
        <f t="array" ref="D68">Common_InputFunctions.Utility_DisplayArrayInTable(Common_SourceData.Common_SourceData_WetAndDryZones_Data(), Table_SourceData_WetDryZones[[#Headers],[Climate zone]], 0)</f>
        <v>Warm temperate moist</v>
      </c>
      <c r="E68" s="19"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19" t="str" cm="1">
        <f t="array" ref="D69">Common_InputFunctions.Utility_DisplayArrayInTable(Common_SourceData.Common_SourceData_WetAndDryZones_Data(), Table_SourceData_WetDryZones[[#Headers],[Climate zone]], 0)</f>
        <v>Warm temperate dry</v>
      </c>
      <c r="E69" s="19"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19" t="str" cm="1">
        <f t="array" ref="D70">Common_InputFunctions.Utility_DisplayArrayInTable(Common_SourceData.Common_SourceData_WetAndDryZones_Data(), Table_SourceData_WetDryZones[[#Headers],[Climate zone]], 0)</f>
        <v>Cool temperate moist</v>
      </c>
      <c r="E70" s="19"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19" t="str" cm="1">
        <f t="array" ref="D71">Common_InputFunctions.Utility_DisplayArrayInTable(Common_SourceData.Common_SourceData_WetAndDryZones_Data(), Table_SourceData_WetDryZones[[#Headers],[Climate zone]], 0)</f>
        <v>Cool temperate dry</v>
      </c>
      <c r="E71" s="19"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19" t="str" cm="1">
        <f t="array" ref="D72">Common_InputFunctions.Utility_DisplayArrayInTable(Common_SourceData.Common_SourceData_WetAndDryZones_Data(), Table_SourceData_WetDryZones[[#Headers],[Climate zone]], 0)</f>
        <v>Warm temperate moist - low frost</v>
      </c>
      <c r="E72" s="19"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19" t="str" cm="1">
        <f t="array" ref="D73">Common_InputFunctions.Utility_DisplayArrayInTable(Common_SourceData.Common_SourceData_WetAndDryZones_Data(), Table_SourceData_WetDryZones[[#Headers],[Climate zone]], 0)</f>
        <v>Warm temperate dry - low frost</v>
      </c>
      <c r="E73" s="19"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19" t="str" cm="1">
        <f t="array" ref="D74">Common_InputFunctions.Utility_DisplayArrayInTable(Common_SourceData.Common_SourceData_WetAndDryZones_Data(), Table_SourceData_WetDryZones[[#Headers],[Climate zone]], 0)</f>
        <v>Warm temperate moist - high temp</v>
      </c>
      <c r="E74" s="19"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19" t="str" cm="1">
        <f t="array" ref="D75">Common_InputFunctions.Utility_DisplayArrayInTable(Common_SourceData.Common_SourceData_WetAndDryZones_Data(), Table_SourceData_WetDryZones[[#Headers],[Climate zone]], 0)</f>
        <v>Warm temperate dry - high temp</v>
      </c>
      <c r="E75" s="19"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19" t="str" cm="1">
        <f t="array" ref="D76">Common_InputFunctions.Utility_DisplayArrayInTable(Common_SourceData.Common_SourceData_WetAndDryZones_Data(), Table_SourceData_WetDryZones[[#Headers],[Climate zone]], 0)</f>
        <v>Cool temperate moist - low frost</v>
      </c>
      <c r="E76" s="19"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19" t="str" cm="1">
        <f t="array" ref="D77">Common_InputFunctions.Utility_DisplayArrayInTable(Common_SourceData.Common_SourceData_WetAndDryZones_Data(), Table_SourceData_WetDryZones[[#Headers],[Climate zone]], 0)</f>
        <v>Cool temperate dry - low frost</v>
      </c>
      <c r="E77" s="19"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17" t="str" cm="1">
        <f t="array" ref="D82">Common_SourceData.Common_SourceData_ClimateZones_Source()</f>
        <v>VEERG 2026: Table 1.3: Climate and Rainfall zone classifications and definitions</v>
      </c>
    </row>
    <row r="83" spans="1:20" ht="20.100000000000001" customHeight="1" x14ac:dyDescent="0.25">
      <c r="A83"/>
      <c r="D83" s="25" t="str" cm="1">
        <f t="array" ref="D83:D87">"⚠️" &amp; Common_SourceData.Common_SourceData_ClimateZones_Variation()</f>
        <v>⚠️VARIATION OF SOURCE DATA:</v>
      </c>
    </row>
    <row r="84" spans="1:20" ht="20.100000000000001" customHeight="1" x14ac:dyDescent="0.25">
      <c r="A84"/>
      <c r="D84" s="25" t="str">
        <v>⚠️Added warm / cool temperate moist / dry - low frost and high temp classes to accommodate climate scenarios excluded by VEERG criteria.</v>
      </c>
    </row>
    <row r="85" spans="1:20" ht="20.100000000000001" customHeight="1" x14ac:dyDescent="0.25">
      <c r="A85"/>
      <c r="D85" s="25" t="str">
        <v>⚠️Fixed typo in MAT value for warm temperate dry - changed 10 to 11.</v>
      </c>
    </row>
    <row r="86" spans="1:20" ht="20.100000000000001" customHeight="1" x14ac:dyDescent="0.25">
      <c r="A86"/>
      <c r="D86" s="25" t="str">
        <v>⚠️Added min and max columns for MAT, MAP, frost days per year, elevation, MAP:PET to calculate zones from real climate data.</v>
      </c>
    </row>
    <row r="87" spans="1:20" ht="20.100000000000001" customHeight="1" x14ac:dyDescent="0.25">
      <c r="A87"/>
      <c r="D87" s="25" t="str">
        <v>⚠️GAF accepts rainfall as a proxy for precipitation.</v>
      </c>
    </row>
    <row r="88" spans="1:20" ht="20.100000000000001" customHeight="1" x14ac:dyDescent="0.25">
      <c r="A88"/>
    </row>
    <row r="89" spans="1:20" ht="20.100000000000001" customHeight="1" x14ac:dyDescent="0.25">
      <c r="A89"/>
      <c r="D89" s="19" t="s">
        <v>31</v>
      </c>
      <c r="E89" s="19" t="s">
        <v>33</v>
      </c>
      <c r="F89" s="19" t="s">
        <v>34</v>
      </c>
      <c r="G89" s="19" t="s">
        <v>35</v>
      </c>
      <c r="H89" s="19" t="s">
        <v>36</v>
      </c>
      <c r="I89" s="19" t="s">
        <v>37</v>
      </c>
      <c r="J89" s="19" t="s">
        <v>38</v>
      </c>
      <c r="K89" s="19" t="s">
        <v>39</v>
      </c>
      <c r="L89" s="19" t="s">
        <v>40</v>
      </c>
      <c r="M89" s="19" t="s">
        <v>41</v>
      </c>
      <c r="N89" s="19" t="s">
        <v>42</v>
      </c>
      <c r="O89" s="19" t="s">
        <v>43</v>
      </c>
      <c r="P89" s="19" t="s">
        <v>44</v>
      </c>
      <c r="Q89" s="19" t="s">
        <v>45</v>
      </c>
      <c r="R89" s="19" t="s">
        <v>46</v>
      </c>
      <c r="S89" s="19" t="s">
        <v>47</v>
      </c>
      <c r="T89" s="19"/>
    </row>
    <row r="90" spans="1:20" ht="20.100000000000001" customHeight="1" x14ac:dyDescent="0.25">
      <c r="A90"/>
      <c r="D90" s="19" t="str" cm="1">
        <f t="array" ref="D90">Common_InputFunctions.Utility_DisplayArrayInTable(Common_SourceData.Common_SourceData_ClimateZones_Data(), Table_SourceData_ClimateZones[[#Headers],[Climate zone]], 0)</f>
        <v>Tropical montane</v>
      </c>
      <c r="E90" s="19" t="str" cm="1">
        <f t="array" ref="E90">Common_InputFunctions.Utility_DisplayArrayInTable(Common_SourceData.Common_SourceData_ClimateZones_Data(), Table_SourceData_ClimateZones[[#Headers],[Climate zone]], 0)</f>
        <v>&gt; 18 C</v>
      </c>
      <c r="F90" s="19" t="str" cm="1">
        <f t="array" ref="F90">Common_InputFunctions.Utility_DisplayArrayInTable(Common_SourceData.Common_SourceData_ClimateZones_Data(), Table_SourceData_ClimateZones[[#Headers],[Climate zone]], 0)</f>
        <v>Any</v>
      </c>
      <c r="G90" s="19" t="str" cm="1">
        <f t="array" ref="G90">Common_InputFunctions.Utility_DisplayArrayInTable(Common_SourceData.Common_SourceData_ClimateZones_Data(), Table_SourceData_ClimateZones[[#Headers],[Climate zone]], 0)</f>
        <v>≤ 7</v>
      </c>
      <c r="H90" s="19" t="str" cm="1">
        <f t="array" ref="H90">Common_InputFunctions.Utility_DisplayArrayInTable(Common_SourceData.Common_SourceData_ClimateZones_Data(), Table_SourceData_ClimateZones[[#Headers],[Climate zone]], 0)</f>
        <v>&gt; 1000 m</v>
      </c>
      <c r="I90" s="19" t="str" cm="1">
        <f t="array" ref="I90">Common_InputFunctions.Utility_DisplayArrayInTable(Common_SourceData.Common_SourceData_ClimateZones_Data(), Table_SourceData_ClimateZones[[#Headers],[Climate zone]], 0)</f>
        <v>Any</v>
      </c>
      <c r="J90" s="19" cm="1">
        <f t="array" ref="J90">Common_InputFunctions.Utility_DisplayArrayInTable(Common_SourceData.Common_SourceData_ClimateZones_Data(), Table_SourceData_ClimateZones[[#Headers],[Climate zone]], 0)</f>
        <v>18.001000000000001</v>
      </c>
      <c r="K90" s="19" cm="1">
        <f t="array" ref="K90">Common_InputFunctions.Utility_DisplayArrayInTable(Common_SourceData.Common_SourceData_ClimateZones_Data(), Table_SourceData_ClimateZones[[#Headers],[Climate zone]], 0)</f>
        <v>999999</v>
      </c>
      <c r="L90" s="19" cm="1">
        <f t="array" ref="L90">Common_InputFunctions.Utility_DisplayArrayInTable(Common_SourceData.Common_SourceData_ClimateZones_Data(), Table_SourceData_ClimateZones[[#Headers],[Climate zone]], 0)</f>
        <v>-999999</v>
      </c>
      <c r="M90" s="19" cm="1">
        <f t="array" ref="M90">Common_InputFunctions.Utility_DisplayArrayInTable(Common_SourceData.Common_SourceData_ClimateZones_Data(), Table_SourceData_ClimateZones[[#Headers],[Climate zone]], 0)</f>
        <v>999999</v>
      </c>
      <c r="N90" s="19" cm="1">
        <f t="array" ref="N90">Common_InputFunctions.Utility_DisplayArrayInTable(Common_SourceData.Common_SourceData_ClimateZones_Data(), Table_SourceData_ClimateZones[[#Headers],[Climate zone]], 0)</f>
        <v>-999999</v>
      </c>
      <c r="O90" s="19" cm="1">
        <f t="array" ref="O90">Common_InputFunctions.Utility_DisplayArrayInTable(Common_SourceData.Common_SourceData_ClimateZones_Data(), Table_SourceData_ClimateZones[[#Headers],[Climate zone]], 0)</f>
        <v>7</v>
      </c>
      <c r="P90" s="19" cm="1">
        <f t="array" ref="P90">Common_InputFunctions.Utility_DisplayArrayInTable(Common_SourceData.Common_SourceData_ClimateZones_Data(), Table_SourceData_ClimateZones[[#Headers],[Climate zone]], 0)</f>
        <v>1000</v>
      </c>
      <c r="Q90" s="19" cm="1">
        <f t="array" ref="Q90">Common_InputFunctions.Utility_DisplayArrayInTable(Common_SourceData.Common_SourceData_ClimateZones_Data(), Table_SourceData_ClimateZones[[#Headers],[Climate zone]], 0)</f>
        <v>999999</v>
      </c>
      <c r="R90" s="19" cm="1">
        <f t="array" ref="R90">Common_InputFunctions.Utility_DisplayArrayInTable(Common_SourceData.Common_SourceData_ClimateZones_Data(), Table_SourceData_ClimateZones[[#Headers],[Climate zone]], 0)</f>
        <v>-999999</v>
      </c>
      <c r="S90" s="19" cm="1">
        <f t="array" ref="S90">Common_InputFunctions.Utility_DisplayArrayInTable(Common_SourceData.Common_SourceData_ClimateZones_Data(), Table_SourceData_ClimateZones[[#Headers],[Climate zone]], 0)</f>
        <v>999999</v>
      </c>
      <c r="T90" s="19"/>
    </row>
    <row r="91" spans="1:20" ht="20.100000000000001" customHeight="1" x14ac:dyDescent="0.25">
      <c r="A91"/>
      <c r="D91" s="19" t="str" cm="1">
        <f t="array" ref="D91">Common_InputFunctions.Utility_DisplayArrayInTable(Common_SourceData.Common_SourceData_ClimateZones_Data(), Table_SourceData_ClimateZones[[#Headers],[Climate zone]], 0)</f>
        <v>Tropical wet</v>
      </c>
      <c r="E91" s="19" t="str" cm="1">
        <f t="array" ref="E91">Common_InputFunctions.Utility_DisplayArrayInTable(Common_SourceData.Common_SourceData_ClimateZones_Data(), Table_SourceData_ClimateZones[[#Headers],[Climate zone]], 0)</f>
        <v>&gt; 18 C</v>
      </c>
      <c r="F91" s="19" t="str" cm="1">
        <f t="array" ref="F91">Common_InputFunctions.Utility_DisplayArrayInTable(Common_SourceData.Common_SourceData_ClimateZones_Data(), Table_SourceData_ClimateZones[[#Headers],[Climate zone]], 0)</f>
        <v>&gt; 2000 mm</v>
      </c>
      <c r="G91" s="19" t="str" cm="1">
        <f t="array" ref="G91">Common_InputFunctions.Utility_DisplayArrayInTable(Common_SourceData.Common_SourceData_ClimateZones_Data(), Table_SourceData_ClimateZones[[#Headers],[Climate zone]], 0)</f>
        <v>≤ 7</v>
      </c>
      <c r="H91" s="19" t="str" cm="1">
        <f t="array" ref="H91">Common_InputFunctions.Utility_DisplayArrayInTable(Common_SourceData.Common_SourceData_ClimateZones_Data(), Table_SourceData_ClimateZones[[#Headers],[Climate zone]], 0)</f>
        <v>≤ 1000 m</v>
      </c>
      <c r="I91" s="19" t="str" cm="1">
        <f t="array" ref="I91">Common_InputFunctions.Utility_DisplayArrayInTable(Common_SourceData.Common_SourceData_ClimateZones_Data(), Table_SourceData_ClimateZones[[#Headers],[Climate zone]], 0)</f>
        <v>Any</v>
      </c>
      <c r="J91" s="19" cm="1">
        <f t="array" ref="J91">Common_InputFunctions.Utility_DisplayArrayInTable(Common_SourceData.Common_SourceData_ClimateZones_Data(), Table_SourceData_ClimateZones[[#Headers],[Climate zone]], 0)</f>
        <v>18.001000000000001</v>
      </c>
      <c r="K91" s="19" cm="1">
        <f t="array" ref="K91">Common_InputFunctions.Utility_DisplayArrayInTable(Common_SourceData.Common_SourceData_ClimateZones_Data(), Table_SourceData_ClimateZones[[#Headers],[Climate zone]], 0)</f>
        <v>999999</v>
      </c>
      <c r="L91" s="19" cm="1">
        <f t="array" ref="L91">Common_InputFunctions.Utility_DisplayArrayInTable(Common_SourceData.Common_SourceData_ClimateZones_Data(), Table_SourceData_ClimateZones[[#Headers],[Climate zone]], 0)</f>
        <v>2000.001</v>
      </c>
      <c r="M91" s="19" cm="1">
        <f t="array" ref="M91">Common_InputFunctions.Utility_DisplayArrayInTable(Common_SourceData.Common_SourceData_ClimateZones_Data(), Table_SourceData_ClimateZones[[#Headers],[Climate zone]], 0)</f>
        <v>999999</v>
      </c>
      <c r="N91" s="19" cm="1">
        <f t="array" ref="N91">Common_InputFunctions.Utility_DisplayArrayInTable(Common_SourceData.Common_SourceData_ClimateZones_Data(), Table_SourceData_ClimateZones[[#Headers],[Climate zone]], 0)</f>
        <v>-999999</v>
      </c>
      <c r="O91" s="19" cm="1">
        <f t="array" ref="O91">Common_InputFunctions.Utility_DisplayArrayInTable(Common_SourceData.Common_SourceData_ClimateZones_Data(), Table_SourceData_ClimateZones[[#Headers],[Climate zone]], 0)</f>
        <v>7</v>
      </c>
      <c r="P91" s="19" cm="1">
        <f t="array" ref="P91">Common_InputFunctions.Utility_DisplayArrayInTable(Common_SourceData.Common_SourceData_ClimateZones_Data(), Table_SourceData_ClimateZones[[#Headers],[Climate zone]], 0)</f>
        <v>-999999</v>
      </c>
      <c r="Q91" s="19" cm="1">
        <f t="array" ref="Q91">Common_InputFunctions.Utility_DisplayArrayInTable(Common_SourceData.Common_SourceData_ClimateZones_Data(), Table_SourceData_ClimateZones[[#Headers],[Climate zone]], 0)</f>
        <v>999.99900000000002</v>
      </c>
      <c r="R91" s="19" cm="1">
        <f t="array" ref="R91">Common_InputFunctions.Utility_DisplayArrayInTable(Common_SourceData.Common_SourceData_ClimateZones_Data(), Table_SourceData_ClimateZones[[#Headers],[Climate zone]], 0)</f>
        <v>-999999</v>
      </c>
      <c r="S91" s="19" cm="1">
        <f t="array" ref="S91">Common_InputFunctions.Utility_DisplayArrayInTable(Common_SourceData.Common_SourceData_ClimateZones_Data(), Table_SourceData_ClimateZones[[#Headers],[Climate zone]], 0)</f>
        <v>999999</v>
      </c>
      <c r="T91" s="19"/>
    </row>
    <row r="92" spans="1:20" ht="20.100000000000001" customHeight="1" x14ac:dyDescent="0.25">
      <c r="A92"/>
      <c r="D92" s="19" t="str" cm="1">
        <f t="array" ref="D92">Common_InputFunctions.Utility_DisplayArrayInTable(Common_SourceData.Common_SourceData_ClimateZones_Data(), Table_SourceData_ClimateZones[[#Headers],[Climate zone]], 0)</f>
        <v>Tropical moist</v>
      </c>
      <c r="E92" s="19" t="str" cm="1">
        <f t="array" ref="E92">Common_InputFunctions.Utility_DisplayArrayInTable(Common_SourceData.Common_SourceData_ClimateZones_Data(), Table_SourceData_ClimateZones[[#Headers],[Climate zone]], 0)</f>
        <v>&gt; 18 C</v>
      </c>
      <c r="F92" s="19" t="str" cm="1">
        <f t="array" ref="F92">Common_InputFunctions.Utility_DisplayArrayInTable(Common_SourceData.Common_SourceData_ClimateZones_Data(), Table_SourceData_ClimateZones[[#Headers],[Climate zone]], 0)</f>
        <v>&gt; 1000 mm - ≤ 2000 mm</v>
      </c>
      <c r="G92" s="19" t="str" cm="1">
        <f t="array" ref="G92">Common_InputFunctions.Utility_DisplayArrayInTable(Common_SourceData.Common_SourceData_ClimateZones_Data(), Table_SourceData_ClimateZones[[#Headers],[Climate zone]], 0)</f>
        <v>≤ 7</v>
      </c>
      <c r="H92" s="19" t="str" cm="1">
        <f t="array" ref="H92">Common_InputFunctions.Utility_DisplayArrayInTable(Common_SourceData.Common_SourceData_ClimateZones_Data(), Table_SourceData_ClimateZones[[#Headers],[Climate zone]], 0)</f>
        <v>≤ 1000 m</v>
      </c>
      <c r="I92" s="19" t="str" cm="1">
        <f t="array" ref="I92">Common_InputFunctions.Utility_DisplayArrayInTable(Common_SourceData.Common_SourceData_ClimateZones_Data(), Table_SourceData_ClimateZones[[#Headers],[Climate zone]], 0)</f>
        <v>Any</v>
      </c>
      <c r="J92" s="19" cm="1">
        <f t="array" ref="J92">Common_InputFunctions.Utility_DisplayArrayInTable(Common_SourceData.Common_SourceData_ClimateZones_Data(), Table_SourceData_ClimateZones[[#Headers],[Climate zone]], 0)</f>
        <v>18.001000000000001</v>
      </c>
      <c r="K92" s="19" cm="1">
        <f t="array" ref="K92">Common_InputFunctions.Utility_DisplayArrayInTable(Common_SourceData.Common_SourceData_ClimateZones_Data(), Table_SourceData_ClimateZones[[#Headers],[Climate zone]], 0)</f>
        <v>999999</v>
      </c>
      <c r="L92" s="19" cm="1">
        <f t="array" ref="L92">Common_InputFunctions.Utility_DisplayArrayInTable(Common_SourceData.Common_SourceData_ClimateZones_Data(), Table_SourceData_ClimateZones[[#Headers],[Climate zone]], 0)</f>
        <v>1000.001</v>
      </c>
      <c r="M92" s="19" cm="1">
        <f t="array" ref="M92">Common_InputFunctions.Utility_DisplayArrayInTable(Common_SourceData.Common_SourceData_ClimateZones_Data(), Table_SourceData_ClimateZones[[#Headers],[Climate zone]], 0)</f>
        <v>2000</v>
      </c>
      <c r="N92" s="19" cm="1">
        <f t="array" ref="N92">Common_InputFunctions.Utility_DisplayArrayInTable(Common_SourceData.Common_SourceData_ClimateZones_Data(), Table_SourceData_ClimateZones[[#Headers],[Climate zone]], 0)</f>
        <v>-999999</v>
      </c>
      <c r="O92" s="19" cm="1">
        <f t="array" ref="O92">Common_InputFunctions.Utility_DisplayArrayInTable(Common_SourceData.Common_SourceData_ClimateZones_Data(), Table_SourceData_ClimateZones[[#Headers],[Climate zone]], 0)</f>
        <v>7</v>
      </c>
      <c r="P92" s="19" cm="1">
        <f t="array" ref="P92">Common_InputFunctions.Utility_DisplayArrayInTable(Common_SourceData.Common_SourceData_ClimateZones_Data(), Table_SourceData_ClimateZones[[#Headers],[Climate zone]], 0)</f>
        <v>-999999</v>
      </c>
      <c r="Q92" s="19" cm="1">
        <f t="array" ref="Q92">Common_InputFunctions.Utility_DisplayArrayInTable(Common_SourceData.Common_SourceData_ClimateZones_Data(), Table_SourceData_ClimateZones[[#Headers],[Climate zone]], 0)</f>
        <v>999.99900000000002</v>
      </c>
      <c r="R92" s="19" cm="1">
        <f t="array" ref="R92">Common_InputFunctions.Utility_DisplayArrayInTable(Common_SourceData.Common_SourceData_ClimateZones_Data(), Table_SourceData_ClimateZones[[#Headers],[Climate zone]], 0)</f>
        <v>-999999</v>
      </c>
      <c r="S92" s="19" cm="1">
        <f t="array" ref="S92">Common_InputFunctions.Utility_DisplayArrayInTable(Common_SourceData.Common_SourceData_ClimateZones_Data(), Table_SourceData_ClimateZones[[#Headers],[Climate zone]], 0)</f>
        <v>999999</v>
      </c>
      <c r="T92" s="19"/>
    </row>
    <row r="93" spans="1:20" ht="20.100000000000001" customHeight="1" x14ac:dyDescent="0.25">
      <c r="A93"/>
      <c r="D93" s="19" t="str" cm="1">
        <f t="array" ref="D93">Common_InputFunctions.Utility_DisplayArrayInTable(Common_SourceData.Common_SourceData_ClimateZones_Data(), Table_SourceData_ClimateZones[[#Headers],[Climate zone]], 0)</f>
        <v>Tropical dry</v>
      </c>
      <c r="E93" s="19" t="str" cm="1">
        <f t="array" ref="E93">Common_InputFunctions.Utility_DisplayArrayInTable(Common_SourceData.Common_SourceData_ClimateZones_Data(), Table_SourceData_ClimateZones[[#Headers],[Climate zone]], 0)</f>
        <v>&gt; 18 C</v>
      </c>
      <c r="F93" s="19" t="str" cm="1">
        <f t="array" ref="F93">Common_InputFunctions.Utility_DisplayArrayInTable(Common_SourceData.Common_SourceData_ClimateZones_Data(), Table_SourceData_ClimateZones[[#Headers],[Climate zone]], 0)</f>
        <v>≤ 1000 mm</v>
      </c>
      <c r="G93" s="19" t="str" cm="1">
        <f t="array" ref="G93">Common_InputFunctions.Utility_DisplayArrayInTable(Common_SourceData.Common_SourceData_ClimateZones_Data(), Table_SourceData_ClimateZones[[#Headers],[Climate zone]], 0)</f>
        <v>≤ 7</v>
      </c>
      <c r="H93" s="19" t="str" cm="1">
        <f t="array" ref="H93">Common_InputFunctions.Utility_DisplayArrayInTable(Common_SourceData.Common_SourceData_ClimateZones_Data(), Table_SourceData_ClimateZones[[#Headers],[Climate zone]], 0)</f>
        <v>≤ 1000 m</v>
      </c>
      <c r="I93" s="19" t="str" cm="1">
        <f t="array" ref="I93">Common_InputFunctions.Utility_DisplayArrayInTable(Common_SourceData.Common_SourceData_ClimateZones_Data(), Table_SourceData_ClimateZones[[#Headers],[Climate zone]], 0)</f>
        <v>Any</v>
      </c>
      <c r="J93" s="19" cm="1">
        <f t="array" ref="J93">Common_InputFunctions.Utility_DisplayArrayInTable(Common_SourceData.Common_SourceData_ClimateZones_Data(), Table_SourceData_ClimateZones[[#Headers],[Climate zone]], 0)</f>
        <v>18.001000000000001</v>
      </c>
      <c r="K93" s="19" cm="1">
        <f t="array" ref="K93">Common_InputFunctions.Utility_DisplayArrayInTable(Common_SourceData.Common_SourceData_ClimateZones_Data(), Table_SourceData_ClimateZones[[#Headers],[Climate zone]], 0)</f>
        <v>999999</v>
      </c>
      <c r="L93" s="19" cm="1">
        <f t="array" ref="L93">Common_InputFunctions.Utility_DisplayArrayInTable(Common_SourceData.Common_SourceData_ClimateZones_Data(), Table_SourceData_ClimateZones[[#Headers],[Climate zone]], 0)</f>
        <v>-999999</v>
      </c>
      <c r="M93" s="19" cm="1">
        <f t="array" ref="M93">Common_InputFunctions.Utility_DisplayArrayInTable(Common_SourceData.Common_SourceData_ClimateZones_Data(), Table_SourceData_ClimateZones[[#Headers],[Climate zone]], 0)</f>
        <v>1000</v>
      </c>
      <c r="N93" s="19" cm="1">
        <f t="array" ref="N93">Common_InputFunctions.Utility_DisplayArrayInTable(Common_SourceData.Common_SourceData_ClimateZones_Data(), Table_SourceData_ClimateZones[[#Headers],[Climate zone]], 0)</f>
        <v>-999999</v>
      </c>
      <c r="O93" s="19" cm="1">
        <f t="array" ref="O93">Common_InputFunctions.Utility_DisplayArrayInTable(Common_SourceData.Common_SourceData_ClimateZones_Data(), Table_SourceData_ClimateZones[[#Headers],[Climate zone]], 0)</f>
        <v>7</v>
      </c>
      <c r="P93" s="19" cm="1">
        <f t="array" ref="P93">Common_InputFunctions.Utility_DisplayArrayInTable(Common_SourceData.Common_SourceData_ClimateZones_Data(), Table_SourceData_ClimateZones[[#Headers],[Climate zone]], 0)</f>
        <v>-999999</v>
      </c>
      <c r="Q93" s="19" cm="1">
        <f t="array" ref="Q93">Common_InputFunctions.Utility_DisplayArrayInTable(Common_SourceData.Common_SourceData_ClimateZones_Data(), Table_SourceData_ClimateZones[[#Headers],[Climate zone]], 0)</f>
        <v>999.99900000000002</v>
      </c>
      <c r="R93" s="19" cm="1">
        <f t="array" ref="R93">Common_InputFunctions.Utility_DisplayArrayInTable(Common_SourceData.Common_SourceData_ClimateZones_Data(), Table_SourceData_ClimateZones[[#Headers],[Climate zone]], 0)</f>
        <v>-999999</v>
      </c>
      <c r="S93" s="19" cm="1">
        <f t="array" ref="S93">Common_InputFunctions.Utility_DisplayArrayInTable(Common_SourceData.Common_SourceData_ClimateZones_Data(), Table_SourceData_ClimateZones[[#Headers],[Climate zone]], 0)</f>
        <v>999999</v>
      </c>
      <c r="T93" s="19"/>
    </row>
    <row r="94" spans="1:20" ht="20.100000000000001" customHeight="1" x14ac:dyDescent="0.25">
      <c r="A94"/>
      <c r="D94" s="19" t="str" cm="1">
        <f t="array" ref="D94">Common_InputFunctions.Utility_DisplayArrayInTable(Common_SourceData.Common_SourceData_ClimateZones_Data(), Table_SourceData_ClimateZones[[#Headers],[Climate zone]], 0)</f>
        <v>Warm temperate moist</v>
      </c>
      <c r="E94" s="19" t="str" cm="1">
        <f t="array" ref="E94">Common_InputFunctions.Utility_DisplayArrayInTable(Common_SourceData.Common_SourceData_ClimateZones_Data(), Table_SourceData_ClimateZones[[#Headers],[Climate zone]], 0)</f>
        <v>&gt; 10 C</v>
      </c>
      <c r="F94" s="19" t="str" cm="1">
        <f t="array" ref="F94">Common_InputFunctions.Utility_DisplayArrayInTable(Common_SourceData.Common_SourceData_ClimateZones_Data(), Table_SourceData_ClimateZones[[#Headers],[Climate zone]], 0)</f>
        <v>Any</v>
      </c>
      <c r="G94" s="19" t="str" cm="1">
        <f t="array" ref="G94">Common_InputFunctions.Utility_DisplayArrayInTable(Common_SourceData.Common_SourceData_ClimateZones_Data(), Table_SourceData_ClimateZones[[#Headers],[Climate zone]], 0)</f>
        <v>Any</v>
      </c>
      <c r="H94" s="19" t="str" cm="1">
        <f t="array" ref="H94">Common_InputFunctions.Utility_DisplayArrayInTable(Common_SourceData.Common_SourceData_ClimateZones_Data(), Table_SourceData_ClimateZones[[#Headers],[Climate zone]], 0)</f>
        <v>Any</v>
      </c>
      <c r="I94" s="19" t="str" cm="1">
        <f t="array" ref="I94">Common_InputFunctions.Utility_DisplayArrayInTable(Common_SourceData.Common_SourceData_ClimateZones_Data(), Table_SourceData_ClimateZones[[#Headers],[Climate zone]], 0)</f>
        <v>&gt; 1</v>
      </c>
      <c r="J94" s="19" cm="1">
        <f t="array" ref="J94">Common_InputFunctions.Utility_DisplayArrayInTable(Common_SourceData.Common_SourceData_ClimateZones_Data(), Table_SourceData_ClimateZones[[#Headers],[Climate zone]], 0)</f>
        <v>10.000999999999999</v>
      </c>
      <c r="K94" s="19" cm="1">
        <f t="array" ref="K94">Common_InputFunctions.Utility_DisplayArrayInTable(Common_SourceData.Common_SourceData_ClimateZones_Data(), Table_SourceData_ClimateZones[[#Headers],[Climate zone]], 0)</f>
        <v>999999</v>
      </c>
      <c r="L94" s="19" cm="1">
        <f t="array" ref="L94">Common_InputFunctions.Utility_DisplayArrayInTable(Common_SourceData.Common_SourceData_ClimateZones_Data(), Table_SourceData_ClimateZones[[#Headers],[Climate zone]], 0)</f>
        <v>-999999</v>
      </c>
      <c r="M94" s="19" cm="1">
        <f t="array" ref="M94">Common_InputFunctions.Utility_DisplayArrayInTable(Common_SourceData.Common_SourceData_ClimateZones_Data(), Table_SourceData_ClimateZones[[#Headers],[Climate zone]], 0)</f>
        <v>999999</v>
      </c>
      <c r="N94" s="19" cm="1">
        <f t="array" ref="N94">Common_InputFunctions.Utility_DisplayArrayInTable(Common_SourceData.Common_SourceData_ClimateZones_Data(), Table_SourceData_ClimateZones[[#Headers],[Climate zone]], 0)</f>
        <v>-999999</v>
      </c>
      <c r="O94" s="19" cm="1">
        <f t="array" ref="O94">Common_InputFunctions.Utility_DisplayArrayInTable(Common_SourceData.Common_SourceData_ClimateZones_Data(), Table_SourceData_ClimateZones[[#Headers],[Climate zone]], 0)</f>
        <v>999999</v>
      </c>
      <c r="P94" s="19" cm="1">
        <f t="array" ref="P94">Common_InputFunctions.Utility_DisplayArrayInTable(Common_SourceData.Common_SourceData_ClimateZones_Data(), Table_SourceData_ClimateZones[[#Headers],[Climate zone]], 0)</f>
        <v>-999999</v>
      </c>
      <c r="Q94" s="19" cm="1">
        <f t="array" ref="Q94">Common_InputFunctions.Utility_DisplayArrayInTable(Common_SourceData.Common_SourceData_ClimateZones_Data(), Table_SourceData_ClimateZones[[#Headers],[Climate zone]], 0)</f>
        <v>999999</v>
      </c>
      <c r="R94" s="19" cm="1">
        <f t="array" ref="R94">Common_InputFunctions.Utility_DisplayArrayInTable(Common_SourceData.Common_SourceData_ClimateZones_Data(), Table_SourceData_ClimateZones[[#Headers],[Climate zone]], 0)</f>
        <v>1.0009999999999999</v>
      </c>
      <c r="S94" s="19" cm="1">
        <f t="array" ref="S94">Common_InputFunctions.Utility_DisplayArrayInTable(Common_SourceData.Common_SourceData_ClimateZones_Data(), Table_SourceData_ClimateZones[[#Headers],[Climate zone]], 0)</f>
        <v>999999</v>
      </c>
      <c r="T94" s="19"/>
    </row>
    <row r="95" spans="1:20" ht="20.100000000000001" customHeight="1" x14ac:dyDescent="0.25">
      <c r="A95"/>
      <c r="D95" s="19" t="str" cm="1">
        <f t="array" ref="D95">Common_InputFunctions.Utility_DisplayArrayInTable(Common_SourceData.Common_SourceData_ClimateZones_Data(), Table_SourceData_ClimateZones[[#Headers],[Climate zone]], 0)</f>
        <v>Warm temperate dry</v>
      </c>
      <c r="E95" s="19" t="str" cm="1">
        <f t="array" ref="E95">Common_InputFunctions.Utility_DisplayArrayInTable(Common_SourceData.Common_SourceData_ClimateZones_Data(), Table_SourceData_ClimateZones[[#Headers],[Climate zone]], 0)</f>
        <v>&gt; 10 C</v>
      </c>
      <c r="F95" s="19" t="str" cm="1">
        <f t="array" ref="F95">Common_InputFunctions.Utility_DisplayArrayInTable(Common_SourceData.Common_SourceData_ClimateZones_Data(), Table_SourceData_ClimateZones[[#Headers],[Climate zone]], 0)</f>
        <v>Any</v>
      </c>
      <c r="G95" s="19" t="str" cm="1">
        <f t="array" ref="G95">Common_InputFunctions.Utility_DisplayArrayInTable(Common_SourceData.Common_SourceData_ClimateZones_Data(), Table_SourceData_ClimateZones[[#Headers],[Climate zone]], 0)</f>
        <v>Any</v>
      </c>
      <c r="H95" s="19" t="str" cm="1">
        <f t="array" ref="H95">Common_InputFunctions.Utility_DisplayArrayInTable(Common_SourceData.Common_SourceData_ClimateZones_Data(), Table_SourceData_ClimateZones[[#Headers],[Climate zone]], 0)</f>
        <v>Any</v>
      </c>
      <c r="I95" s="19" t="str" cm="1">
        <f t="array" ref="I95">Common_InputFunctions.Utility_DisplayArrayInTable(Common_SourceData.Common_SourceData_ClimateZones_Data(), Table_SourceData_ClimateZones[[#Headers],[Climate zone]], 0)</f>
        <v>≤ 1</v>
      </c>
      <c r="J95" s="19" cm="1">
        <f t="array" ref="J95">Common_InputFunctions.Utility_DisplayArrayInTable(Common_SourceData.Common_SourceData_ClimateZones_Data(), Table_SourceData_ClimateZones[[#Headers],[Climate zone]], 0)</f>
        <v>10.000999999999999</v>
      </c>
      <c r="K95" s="19" cm="1">
        <f t="array" ref="K95">Common_InputFunctions.Utility_DisplayArrayInTable(Common_SourceData.Common_SourceData_ClimateZones_Data(), Table_SourceData_ClimateZones[[#Headers],[Climate zone]], 0)</f>
        <v>999999</v>
      </c>
      <c r="L95" s="19" cm="1">
        <f t="array" ref="L95">Common_InputFunctions.Utility_DisplayArrayInTable(Common_SourceData.Common_SourceData_ClimateZones_Data(), Table_SourceData_ClimateZones[[#Headers],[Climate zone]], 0)</f>
        <v>-999999</v>
      </c>
      <c r="M95" s="19" cm="1">
        <f t="array" ref="M95">Common_InputFunctions.Utility_DisplayArrayInTable(Common_SourceData.Common_SourceData_ClimateZones_Data(), Table_SourceData_ClimateZones[[#Headers],[Climate zone]], 0)</f>
        <v>999999</v>
      </c>
      <c r="N95" s="19" cm="1">
        <f t="array" ref="N95">Common_InputFunctions.Utility_DisplayArrayInTable(Common_SourceData.Common_SourceData_ClimateZones_Data(), Table_SourceData_ClimateZones[[#Headers],[Climate zone]], 0)</f>
        <v>-999999</v>
      </c>
      <c r="O95" s="19" cm="1">
        <f t="array" ref="O95">Common_InputFunctions.Utility_DisplayArrayInTable(Common_SourceData.Common_SourceData_ClimateZones_Data(), Table_SourceData_ClimateZones[[#Headers],[Climate zone]], 0)</f>
        <v>999999</v>
      </c>
      <c r="P95" s="19" cm="1">
        <f t="array" ref="P95">Common_InputFunctions.Utility_DisplayArrayInTable(Common_SourceData.Common_SourceData_ClimateZones_Data(), Table_SourceData_ClimateZones[[#Headers],[Climate zone]], 0)</f>
        <v>-999999</v>
      </c>
      <c r="Q95" s="19" cm="1">
        <f t="array" ref="Q95">Common_InputFunctions.Utility_DisplayArrayInTable(Common_SourceData.Common_SourceData_ClimateZones_Data(), Table_SourceData_ClimateZones[[#Headers],[Climate zone]], 0)</f>
        <v>999999</v>
      </c>
      <c r="R95" s="19" cm="1">
        <f t="array" ref="R95">Common_InputFunctions.Utility_DisplayArrayInTable(Common_SourceData.Common_SourceData_ClimateZones_Data(), Table_SourceData_ClimateZones[[#Headers],[Climate zone]], 0)</f>
        <v>-999999</v>
      </c>
      <c r="S95" s="19" cm="1">
        <f t="array" ref="S95">Common_InputFunctions.Utility_DisplayArrayInTable(Common_SourceData.Common_SourceData_ClimateZones_Data(), Table_SourceData_ClimateZones[[#Headers],[Climate zone]], 0)</f>
        <v>1</v>
      </c>
      <c r="T95" s="19"/>
    </row>
    <row r="96" spans="1:20" ht="20.100000000000001" customHeight="1" x14ac:dyDescent="0.25">
      <c r="A96"/>
      <c r="D96" s="19" t="str" cm="1">
        <f t="array" ref="D96">Common_InputFunctions.Utility_DisplayArrayInTable(Common_SourceData.Common_SourceData_ClimateZones_Data(), Table_SourceData_ClimateZones[[#Headers],[Climate zone]], 0)</f>
        <v>Cool temperate moist</v>
      </c>
      <c r="E96" s="19" t="str" cm="1">
        <f t="array" ref="E96">Common_InputFunctions.Utility_DisplayArrayInTable(Common_SourceData.Common_SourceData_ClimateZones_Data(), Table_SourceData_ClimateZones[[#Headers],[Climate zone]], 0)</f>
        <v>&gt; 0 C - ≤ 10 C</v>
      </c>
      <c r="F96" s="19" t="str" cm="1">
        <f t="array" ref="F96">Common_InputFunctions.Utility_DisplayArrayInTable(Common_SourceData.Common_SourceData_ClimateZones_Data(), Table_SourceData_ClimateZones[[#Headers],[Climate zone]], 0)</f>
        <v>Any</v>
      </c>
      <c r="G96" s="19" t="str" cm="1">
        <f t="array" ref="G96">Common_InputFunctions.Utility_DisplayArrayInTable(Common_SourceData.Common_SourceData_ClimateZones_Data(), Table_SourceData_ClimateZones[[#Headers],[Climate zone]], 0)</f>
        <v>Any</v>
      </c>
      <c r="H96" s="19" t="str" cm="1">
        <f t="array" ref="H96">Common_InputFunctions.Utility_DisplayArrayInTable(Common_SourceData.Common_SourceData_ClimateZones_Data(), Table_SourceData_ClimateZones[[#Headers],[Climate zone]], 0)</f>
        <v>Any</v>
      </c>
      <c r="I96" s="19" t="str" cm="1">
        <f t="array" ref="I96">Common_InputFunctions.Utility_DisplayArrayInTable(Common_SourceData.Common_SourceData_ClimateZones_Data(), Table_SourceData_ClimateZones[[#Headers],[Climate zone]], 0)</f>
        <v>&gt; 1</v>
      </c>
      <c r="J96" s="19" cm="1">
        <f t="array" ref="J96">Common_InputFunctions.Utility_DisplayArrayInTable(Common_SourceData.Common_SourceData_ClimateZones_Data(), Table_SourceData_ClimateZones[[#Headers],[Climate zone]], 0)</f>
        <v>-999999</v>
      </c>
      <c r="K96" s="19" cm="1">
        <f t="array" ref="K96">Common_InputFunctions.Utility_DisplayArrayInTable(Common_SourceData.Common_SourceData_ClimateZones_Data(), Table_SourceData_ClimateZones[[#Headers],[Climate zone]], 0)</f>
        <v>10</v>
      </c>
      <c r="L96" s="19" cm="1">
        <f t="array" ref="L96">Common_InputFunctions.Utility_DisplayArrayInTable(Common_SourceData.Common_SourceData_ClimateZones_Data(), Table_SourceData_ClimateZones[[#Headers],[Climate zone]], 0)</f>
        <v>-999999</v>
      </c>
      <c r="M96" s="19" cm="1">
        <f t="array" ref="M96">Common_InputFunctions.Utility_DisplayArrayInTable(Common_SourceData.Common_SourceData_ClimateZones_Data(), Table_SourceData_ClimateZones[[#Headers],[Climate zone]], 0)</f>
        <v>999999</v>
      </c>
      <c r="N96" s="19" cm="1">
        <f t="array" ref="N96">Common_InputFunctions.Utility_DisplayArrayInTable(Common_SourceData.Common_SourceData_ClimateZones_Data(), Table_SourceData_ClimateZones[[#Headers],[Climate zone]], 0)</f>
        <v>-999999</v>
      </c>
      <c r="O96" s="19" cm="1">
        <f t="array" ref="O96">Common_InputFunctions.Utility_DisplayArrayInTable(Common_SourceData.Common_SourceData_ClimateZones_Data(), Table_SourceData_ClimateZones[[#Headers],[Climate zone]], 0)</f>
        <v>999999</v>
      </c>
      <c r="P96" s="19" cm="1">
        <f t="array" ref="P96">Common_InputFunctions.Utility_DisplayArrayInTable(Common_SourceData.Common_SourceData_ClimateZones_Data(), Table_SourceData_ClimateZones[[#Headers],[Climate zone]], 0)</f>
        <v>-999999</v>
      </c>
      <c r="Q96" s="19" cm="1">
        <f t="array" ref="Q96">Common_InputFunctions.Utility_DisplayArrayInTable(Common_SourceData.Common_SourceData_ClimateZones_Data(), Table_SourceData_ClimateZones[[#Headers],[Climate zone]], 0)</f>
        <v>999999</v>
      </c>
      <c r="R96" s="19" cm="1">
        <f t="array" ref="R96">Common_InputFunctions.Utility_DisplayArrayInTable(Common_SourceData.Common_SourceData_ClimateZones_Data(), Table_SourceData_ClimateZones[[#Headers],[Climate zone]], 0)</f>
        <v>1.0009999999999999</v>
      </c>
      <c r="S96" s="19" cm="1">
        <f t="array" ref="S96">Common_InputFunctions.Utility_DisplayArrayInTable(Common_SourceData.Common_SourceData_ClimateZones_Data(), Table_SourceData_ClimateZones[[#Headers],[Climate zone]], 0)</f>
        <v>999999</v>
      </c>
      <c r="T96" s="19"/>
    </row>
    <row r="97" spans="1:20" ht="20.100000000000001" customHeight="1" x14ac:dyDescent="0.25">
      <c r="A97"/>
      <c r="D97" s="19" t="str" cm="1">
        <f t="array" ref="D97">Common_InputFunctions.Utility_DisplayArrayInTable(Common_SourceData.Common_SourceData_ClimateZones_Data(), Table_SourceData_ClimateZones[[#Headers],[Climate zone]], 0)</f>
        <v>Cool temperate dry</v>
      </c>
      <c r="E97" s="19" t="str" cm="1">
        <f t="array" ref="E97">Common_InputFunctions.Utility_DisplayArrayInTable(Common_SourceData.Common_SourceData_ClimateZones_Data(), Table_SourceData_ClimateZones[[#Headers],[Climate zone]], 0)</f>
        <v>&gt; 0 C - ≤ 10 C</v>
      </c>
      <c r="F97" s="19" t="str" cm="1">
        <f t="array" ref="F97">Common_InputFunctions.Utility_DisplayArrayInTable(Common_SourceData.Common_SourceData_ClimateZones_Data(), Table_SourceData_ClimateZones[[#Headers],[Climate zone]], 0)</f>
        <v>Any</v>
      </c>
      <c r="G97" s="19" t="str" cm="1">
        <f t="array" ref="G97">Common_InputFunctions.Utility_DisplayArrayInTable(Common_SourceData.Common_SourceData_ClimateZones_Data(), Table_SourceData_ClimateZones[[#Headers],[Climate zone]], 0)</f>
        <v>Any</v>
      </c>
      <c r="H97" s="19" t="str" cm="1">
        <f t="array" ref="H97">Common_InputFunctions.Utility_DisplayArrayInTable(Common_SourceData.Common_SourceData_ClimateZones_Data(), Table_SourceData_ClimateZones[[#Headers],[Climate zone]], 0)</f>
        <v>Any</v>
      </c>
      <c r="I97" s="19" t="str" cm="1">
        <f t="array" ref="I97">Common_InputFunctions.Utility_DisplayArrayInTable(Common_SourceData.Common_SourceData_ClimateZones_Data(), Table_SourceData_ClimateZones[[#Headers],[Climate zone]], 0)</f>
        <v>≤ 1</v>
      </c>
      <c r="J97" s="19" cm="1">
        <f t="array" ref="J97">Common_InputFunctions.Utility_DisplayArrayInTable(Common_SourceData.Common_SourceData_ClimateZones_Data(), Table_SourceData_ClimateZones[[#Headers],[Climate zone]], 0)</f>
        <v>-999999</v>
      </c>
      <c r="K97" s="19" cm="1">
        <f t="array" ref="K97">Common_InputFunctions.Utility_DisplayArrayInTable(Common_SourceData.Common_SourceData_ClimateZones_Data(), Table_SourceData_ClimateZones[[#Headers],[Climate zone]], 0)</f>
        <v>10</v>
      </c>
      <c r="L97" s="19" cm="1">
        <f t="array" ref="L97">Common_InputFunctions.Utility_DisplayArrayInTable(Common_SourceData.Common_SourceData_ClimateZones_Data(), Table_SourceData_ClimateZones[[#Headers],[Climate zone]], 0)</f>
        <v>-999999</v>
      </c>
      <c r="M97" s="19" cm="1">
        <f t="array" ref="M97">Common_InputFunctions.Utility_DisplayArrayInTable(Common_SourceData.Common_SourceData_ClimateZones_Data(), Table_SourceData_ClimateZones[[#Headers],[Climate zone]], 0)</f>
        <v>999999</v>
      </c>
      <c r="N97" s="19" cm="1">
        <f t="array" ref="N97">Common_InputFunctions.Utility_DisplayArrayInTable(Common_SourceData.Common_SourceData_ClimateZones_Data(), Table_SourceData_ClimateZones[[#Headers],[Climate zone]], 0)</f>
        <v>-999999</v>
      </c>
      <c r="O97" s="19" cm="1">
        <f t="array" ref="O97">Common_InputFunctions.Utility_DisplayArrayInTable(Common_SourceData.Common_SourceData_ClimateZones_Data(), Table_SourceData_ClimateZones[[#Headers],[Climate zone]], 0)</f>
        <v>999999</v>
      </c>
      <c r="P97" s="19" cm="1">
        <f t="array" ref="P97">Common_InputFunctions.Utility_DisplayArrayInTable(Common_SourceData.Common_SourceData_ClimateZones_Data(), Table_SourceData_ClimateZones[[#Headers],[Climate zone]], 0)</f>
        <v>-999999</v>
      </c>
      <c r="Q97" s="19" cm="1">
        <f t="array" ref="Q97">Common_InputFunctions.Utility_DisplayArrayInTable(Common_SourceData.Common_SourceData_ClimateZones_Data(), Table_SourceData_ClimateZones[[#Headers],[Climate zone]], 0)</f>
        <v>999999</v>
      </c>
      <c r="R97" s="19" cm="1">
        <f t="array" ref="R97">Common_InputFunctions.Utility_DisplayArrayInTable(Common_SourceData.Common_SourceData_ClimateZones_Data(), Table_SourceData_ClimateZones[[#Headers],[Climate zone]], 0)</f>
        <v>-999999</v>
      </c>
      <c r="S97" s="19" cm="1">
        <f t="array" ref="S97">Common_InputFunctions.Utility_DisplayArrayInTable(Common_SourceData.Common_SourceData_ClimateZones_Data(), Table_SourceData_ClimateZones[[#Headers],[Climate zone]], 0)</f>
        <v>1</v>
      </c>
      <c r="T97" s="19"/>
    </row>
    <row r="98" spans="1:20" ht="20.100000000000001" customHeight="1" x14ac:dyDescent="0.25">
      <c r="A98"/>
    </row>
    <row r="99" spans="1:20" ht="20.100000000000001" customHeight="1" x14ac:dyDescent="0.25">
      <c r="A99"/>
      <c r="D99" s="9" t="str" cm="1">
        <f t="array" ref="D99:D102">Common_SourceData.Common_SourceData_ClimateZones_Appendices()</f>
        <v>Note:</v>
      </c>
    </row>
    <row r="100" spans="1:20" ht="20.100000000000001" customHeight="1" x14ac:dyDescent="0.25">
      <c r="A100"/>
      <c r="D100" s="9" t="str">
        <v>MAT = mean annual temperature</v>
      </c>
    </row>
    <row r="101" spans="1:20" ht="20.100000000000001" customHeight="1" x14ac:dyDescent="0.25">
      <c r="A101"/>
      <c r="D101" s="9" t="str">
        <v>MAP = mean annual precipitation</v>
      </c>
    </row>
    <row r="102" spans="1:20" ht="20.100000000000001" customHeight="1" x14ac:dyDescent="0.25">
      <c r="A102"/>
      <c r="D102" s="9" t="str">
        <v>PET = potential evapotranspiration</v>
      </c>
    </row>
    <row r="103" spans="1:20" ht="20.100000000000001" customHeight="1" x14ac:dyDescent="0.25">
      <c r="A103"/>
      <c r="D103" s="9"/>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17" t="str" cm="1">
        <f t="array" ref="D106">Common_SourceData.Common_SourceData_TemperatureZones_Source()</f>
        <v>VEERG 2026: Table 1.3: Climate and Rainfall zone classifications and definitions</v>
      </c>
    </row>
    <row r="107" spans="1:20" ht="20.100000000000001" customHeight="1" x14ac:dyDescent="0.25">
      <c r="A107"/>
      <c r="D107" s="25"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19" t="s">
        <v>48</v>
      </c>
      <c r="E109" s="19" t="s">
        <v>33</v>
      </c>
      <c r="F109" s="19" t="s">
        <v>49</v>
      </c>
      <c r="G109" s="19" t="s">
        <v>50</v>
      </c>
    </row>
    <row r="110" spans="1:20" ht="20.100000000000001" customHeight="1" x14ac:dyDescent="0.25">
      <c r="A110"/>
      <c r="D110" s="19" t="str" cm="1">
        <f t="array" ref="D110">Common_InputFunctions.Utility_DisplayArrayInTable(Common_SourceData.Common_SourceData_TemperatureZones_Data(),Table_SourceData_TemperatureZones[[#Headers],[Temperature Zone]],0)</f>
        <v>Warm</v>
      </c>
      <c r="E110" s="19" t="str" cm="1">
        <f t="array" ref="E110">Common_InputFunctions.Utility_DisplayArrayInTable(Common_SourceData.Common_SourceData_TemperatureZones_Data(),Table_SourceData_TemperatureZones[[#Headers],[Temperature Zone]],0)</f>
        <v>≥ 26 C</v>
      </c>
      <c r="F110" s="19" cm="1">
        <f t="array" ref="F110">Common_InputFunctions.Utility_DisplayArrayInTable(Common_SourceData.Common_SourceData_TemperatureZones_Data(),Table_SourceData_TemperatureZones[[#Headers],[Temperature Zone]],0)</f>
        <v>26</v>
      </c>
      <c r="G110" s="19"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19" t="str" cm="1">
        <f t="array" ref="D111">Common_InputFunctions.Utility_DisplayArrayInTable(Common_SourceData.Common_SourceData_TemperatureZones_Data(),Table_SourceData_TemperatureZones[[#Headers],[Temperature Zone]],0)</f>
        <v>Temperate</v>
      </c>
      <c r="E111" s="19" t="str" cm="1">
        <f t="array" ref="E111">Common_InputFunctions.Utility_DisplayArrayInTable(Common_SourceData.Common_SourceData_TemperatureZones_Data(),Table_SourceData_TemperatureZones[[#Headers],[Temperature Zone]],0)</f>
        <v>15 - 25 C</v>
      </c>
      <c r="F111" s="19" cm="1">
        <f t="array" ref="F111">Common_InputFunctions.Utility_DisplayArrayInTable(Common_SourceData.Common_SourceData_TemperatureZones_Data(),Table_SourceData_TemperatureZones[[#Headers],[Temperature Zone]],0)</f>
        <v>15</v>
      </c>
      <c r="G111" s="19"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19" t="str" cm="1">
        <f t="array" ref="D112">Common_InputFunctions.Utility_DisplayArrayInTable(Common_SourceData.Common_SourceData_TemperatureZones_Data(),Table_SourceData_TemperatureZones[[#Headers],[Temperature Zone]],0)</f>
        <v>Cool</v>
      </c>
      <c r="E112" s="19" t="str" cm="1">
        <f t="array" ref="E112">Common_InputFunctions.Utility_DisplayArrayInTable(Common_SourceData.Common_SourceData_TemperatureZones_Data(),Table_SourceData_TemperatureZones[[#Headers],[Temperature Zone]],0)</f>
        <v>≤ 14 C</v>
      </c>
      <c r="F112" s="19" cm="1">
        <f t="array" ref="F112">Common_InputFunctions.Utility_DisplayArrayInTable(Common_SourceData.Common_SourceData_TemperatureZones_Data(),Table_SourceData_TemperatureZones[[#Headers],[Temperature Zone]],0)</f>
        <v>-999999</v>
      </c>
      <c r="G112" s="19"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21"/>
    </row>
    <row r="116" spans="1:66" ht="20.100000000000001" customHeight="1" x14ac:dyDescent="0.25">
      <c r="A116"/>
      <c r="D116" s="17" t="str" cm="1">
        <f t="array" ref="D116">Common_SourceData.Common_SourceData_RainfallZones_Source()</f>
        <v>VEERG 2026: Table 1.3: Climate and Rainfall zone classifications and definitions</v>
      </c>
      <c r="BN116" s="21"/>
    </row>
    <row r="117" spans="1:66" ht="20.100000000000001" customHeight="1" x14ac:dyDescent="0.25">
      <c r="A117"/>
      <c r="D117" s="25" t="str" cm="1">
        <f t="array" ref="D117">"⚠️" &amp; Common_SourceData.Common_SourceData_RainfallZones_Variation()</f>
        <v>⚠️VARIATION OF SOURCE DATA: Added extra Rainfall min and Rainfall max columns to calculate zone from real rainfall data.</v>
      </c>
      <c r="BN117" s="21"/>
    </row>
    <row r="118" spans="1:66" ht="20.100000000000001" customHeight="1" x14ac:dyDescent="0.25">
      <c r="A118"/>
      <c r="BN118" s="21"/>
    </row>
    <row r="119" spans="1:66" ht="20.100000000000001" customHeight="1" x14ac:dyDescent="0.25">
      <c r="A119"/>
      <c r="D119" s="19" t="s">
        <v>51</v>
      </c>
      <c r="E119" s="19" t="s">
        <v>52</v>
      </c>
      <c r="F119" s="19" t="s">
        <v>40</v>
      </c>
      <c r="G119" s="19" t="s">
        <v>41</v>
      </c>
      <c r="BN119" s="21"/>
    </row>
    <row r="120" spans="1:66" ht="20.100000000000001" customHeight="1" x14ac:dyDescent="0.25">
      <c r="A120"/>
      <c r="D120" s="19" t="str" cm="1">
        <f t="array" ref="D120">Common_InputFunctions.Utility_DisplayArrayInTable(Common_SourceData.Common_SourceData_RainfallZones_Data(),Table_SourceData_RainfallZones[[#Headers],[Rainfall Zone]],0)</f>
        <v>High rainfall</v>
      </c>
      <c r="E120" s="19" t="str" cm="1">
        <f t="array" ref="E120">Common_InputFunctions.Utility_DisplayArrayInTable(Common_SourceData.Common_SourceData_RainfallZones_Data(),Table_SourceData_RainfallZones[[#Headers],[Rainfall Zone]],0)</f>
        <v>Annual rainfall &gt; 600mm</v>
      </c>
      <c r="F120" s="19" cm="1">
        <f t="array" ref="F120">Common_InputFunctions.Utility_DisplayArrayInTable(Common_SourceData.Common_SourceData_RainfallZones_Data(),Table_SourceData_RainfallZones[[#Headers],[Rainfall Zone]],0)</f>
        <v>600.00099999999998</v>
      </c>
      <c r="G120" s="19" cm="1">
        <f t="array" ref="G120">Common_InputFunctions.Utility_DisplayArrayInTable(Common_SourceData.Common_SourceData_RainfallZones_Data(),Table_SourceData_RainfallZones[[#Headers],[Rainfall Zone]],0)</f>
        <v>999999</v>
      </c>
      <c r="BN120" s="21"/>
    </row>
    <row r="121" spans="1:66" ht="20.100000000000001" customHeight="1" x14ac:dyDescent="0.25">
      <c r="A121"/>
      <c r="D121" s="19" t="str" cm="1">
        <f t="array" ref="D121">Common_InputFunctions.Utility_DisplayArrayInTable(Common_SourceData.Common_SourceData_RainfallZones_Data(),Table_SourceData_RainfallZones[[#Headers],[Rainfall Zone]],0)</f>
        <v>Low rainfall</v>
      </c>
      <c r="E121" s="19" t="str" cm="1">
        <f t="array" ref="E121">Common_InputFunctions.Utility_DisplayArrayInTable(Common_SourceData.Common_SourceData_RainfallZones_Data(),Table_SourceData_RainfallZones[[#Headers],[Rainfall Zone]],0)</f>
        <v>Annual rainfall ≤ 600mm</v>
      </c>
      <c r="F121" s="19" cm="1">
        <f t="array" ref="F121">Common_InputFunctions.Utility_DisplayArrayInTable(Common_SourceData.Common_SourceData_RainfallZones_Data(),Table_SourceData_RainfallZones[[#Headers],[Rainfall Zone]],0)</f>
        <v>-999999</v>
      </c>
      <c r="G121" s="19" cm="1">
        <f t="array" ref="G121">Common_InputFunctions.Utility_DisplayArrayInTable(Common_SourceData.Common_SourceData_RainfallZones_Data(),Table_SourceData_RainfallZones[[#Headers],[Rainfall Zone]],0)</f>
        <v>600</v>
      </c>
      <c r="BN121" s="21"/>
    </row>
    <row r="122" spans="1:66" ht="20.100000000000001" customHeight="1" x14ac:dyDescent="0.25">
      <c r="A122"/>
      <c r="BN122" s="21"/>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17"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19" t="s">
        <v>53</v>
      </c>
      <c r="E127" s="19" t="s">
        <v>54</v>
      </c>
    </row>
    <row r="128" spans="1:66" ht="20.100000000000001" customHeight="1" x14ac:dyDescent="0.25">
      <c r="A128"/>
      <c r="D128" s="19" t="str" cm="1">
        <f t="array" ref="D128">Common_InputFunctions.Utility_DisplayArrayInTable(Common_SourceData.Common_SourceData_LeachingZones_Data(), Table_SourceData_LeachingZones[[#Headers],[Leaching Zone]], 0)</f>
        <v>Leaching occurs</v>
      </c>
      <c r="E128" s="1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19" t="str" cm="1">
        <f t="array" ref="D129">Common_InputFunctions.Utility_DisplayArrayInTable(Common_SourceData.Common_SourceData_LeachingZones_Data(), Table_SourceData_LeachingZones[[#Headers],[Leaching Zone]], 0)</f>
        <v>Leaching does not occur</v>
      </c>
      <c r="E129" s="1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8"/>
    </row>
    <row r="133" spans="1:77" ht="20.100000000000001" customHeight="1" x14ac:dyDescent="0.25">
      <c r="A133"/>
      <c r="D133" s="17" t="str" cm="1">
        <f t="array" ref="D133">Common_SourceData.Common_SourceData_FracWET_Source()</f>
        <v>VEERG 2026:5.5.2.3 Constant Parameters</v>
      </c>
      <c r="E133" s="8"/>
    </row>
    <row r="134" spans="1:77" ht="20.100000000000001" customHeight="1" x14ac:dyDescent="0.25">
      <c r="A134"/>
      <c r="D134" t="s">
        <v>55</v>
      </c>
      <c r="E134" t="s">
        <v>56</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19"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21"/>
      <c r="BO138" s="21"/>
      <c r="BP138" s="21"/>
      <c r="BQ138" s="21"/>
      <c r="BR138" s="21"/>
      <c r="BS138" s="21"/>
      <c r="BT138" s="21"/>
      <c r="BU138" s="21"/>
      <c r="BV138" s="21"/>
      <c r="BW138" s="21"/>
      <c r="BX138" s="21"/>
      <c r="BY138" s="21"/>
    </row>
    <row r="139" spans="1:77" ht="20.100000000000001" customHeight="1" x14ac:dyDescent="0.25">
      <c r="A139"/>
      <c r="D139" s="2" t="str" cm="1">
        <f t="array" ref="D139">Common_SourceData.Common_SourceData_FracWETIrrigation_Title()</f>
        <v>FracWET for irrigation types</v>
      </c>
      <c r="BN139" s="21"/>
      <c r="BO139" s="21"/>
      <c r="BP139" s="21"/>
      <c r="BQ139" s="21"/>
      <c r="BR139" s="21"/>
      <c r="BS139" s="21"/>
      <c r="BT139" s="21"/>
      <c r="BU139" s="21"/>
      <c r="BV139" s="21"/>
      <c r="BW139" s="21"/>
      <c r="BX139" s="21"/>
      <c r="BY139" s="21"/>
    </row>
    <row r="140" spans="1:77" ht="20.100000000000001" customHeight="1" x14ac:dyDescent="0.25">
      <c r="A140"/>
      <c r="D140" s="17" t="str" cm="1">
        <f t="array" ref="D140">Common_SourceData.Common_SourceData_FracWETIrrigation_Source()</f>
        <v>VEERG 2026: Chapter 1, section 1.8.2 Leaching, climate and rainfall zones</v>
      </c>
      <c r="BN140" s="21"/>
      <c r="BO140" s="21"/>
      <c r="BP140" s="21"/>
      <c r="BQ140" s="21"/>
      <c r="BR140" s="21"/>
      <c r="BS140" s="21"/>
      <c r="BT140" s="21"/>
      <c r="BU140" s="21"/>
      <c r="BV140" s="21"/>
      <c r="BW140" s="21"/>
      <c r="BX140" s="21"/>
      <c r="BY140" s="21"/>
    </row>
    <row r="141" spans="1:77" ht="20.100000000000001" customHeight="1" x14ac:dyDescent="0.25">
      <c r="A141"/>
      <c r="D141" s="25" t="str" cm="1">
        <f t="array" ref="D141">Common_SourceData.Common_SourceData_FracWETIrrigation_Variation()</f>
        <v>VARIATION FROM SOURCE DATA: Table created based on VEERG text 'Areas are subject to leaching (i.e., in the leaching zone) when... the land is irrigated (except drip irrigation).'</v>
      </c>
      <c r="BN141" s="21"/>
    </row>
    <row r="142" spans="1:77" ht="20.100000000000001" customHeight="1" x14ac:dyDescent="0.25">
      <c r="A142"/>
      <c r="D142" s="19" t="s">
        <v>57</v>
      </c>
      <c r="E142" s="19" t="s">
        <v>56</v>
      </c>
      <c r="BN142" s="21"/>
    </row>
    <row r="143" spans="1:77" ht="20.100000000000001" customHeight="1" x14ac:dyDescent="0.25">
      <c r="A143"/>
      <c r="D143" s="19" t="str" cm="1">
        <f t="array" ref="D143">Common_InputFunctions.Utility_DisplayArrayInTable(Common_SourceData.Common_SourceData_FracWETIrrigation_Data(), Table_SourceData_FracWETIrrigation[[#Headers],[Irrigation type i]], 0)</f>
        <v>Not irrigated</v>
      </c>
      <c r="E143" s="19" cm="1">
        <f t="array" ref="E143">Common_InputFunctions.Utility_DisplayArrayInTable(Common_SourceData.Common_SourceData_FracWETIrrigation_Data(), Table_SourceData_FracWETIrrigation[[#Headers],[Irrigation type i]], 0)</f>
        <v>0</v>
      </c>
      <c r="BN143" s="21"/>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19" cm="1">
        <f t="array" ref="E144">Common_InputFunctions.Utility_DisplayArrayInTable(Common_SourceData.Common_SourceData_FracWETIrrigation_Data(), Table_SourceData_FracWETIrrigation[[#Headers],[Irrigation type i]], 0)</f>
        <v>0</v>
      </c>
      <c r="BN144" s="21"/>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19" cm="1">
        <f t="array" ref="E145">Common_InputFunctions.Utility_DisplayArrayInTable(Common_SourceData.Common_SourceData_FracWETIrrigation_Data(), Table_SourceData_FracWETIrrigation[[#Headers],[Irrigation type i]], 0)</f>
        <v>1</v>
      </c>
      <c r="BN145" s="21"/>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19" cm="1">
        <f t="array" ref="E146">Common_InputFunctions.Utility_DisplayArrayInTable(Common_SourceData.Common_SourceData_FracWETIrrigation_Data(), Table_SourceData_FracWETIrrigation[[#Headers],[Irrigation type i]], 0)</f>
        <v>1</v>
      </c>
      <c r="BN146" s="21"/>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19" cm="1">
        <f t="array" ref="E147">Common_InputFunctions.Utility_DisplayArrayInTable(Common_SourceData.Common_SourceData_FracWETIrrigation_Data(), Table_SourceData_FracWETIrrigation[[#Headers],[Irrigation type i]], 0)</f>
        <v>1</v>
      </c>
      <c r="BN147" s="21"/>
    </row>
    <row r="148" spans="1:66" ht="20.100000000000001" customHeight="1" x14ac:dyDescent="0.25">
      <c r="A148"/>
      <c r="BN148" s="21"/>
    </row>
    <row r="149" spans="1:66" ht="20.100000000000001" customHeight="1" x14ac:dyDescent="0.25">
      <c r="A149"/>
      <c r="BN149" s="21"/>
    </row>
    <row r="150" spans="1:66" ht="20.100000000000001" customHeight="1" x14ac:dyDescent="0.25">
      <c r="A150"/>
      <c r="D150" s="2" t="str" cm="1">
        <f t="array" ref="D150">Common_SourceData.Common_SourceData_DataScores_Scope3_Title()</f>
        <v>Australian data scores for scope 3</v>
      </c>
      <c r="BN150" s="21"/>
    </row>
    <row r="151" spans="1:66" ht="20.100000000000001" customHeight="1" x14ac:dyDescent="0.25">
      <c r="A151"/>
      <c r="D151" s="17" t="str" cm="1">
        <f t="array" ref="D151">Common_SourceData.Common_SourceData_DataScores_Scope3_Source()</f>
        <v>VEERG 2026: XXXXXXXX</v>
      </c>
      <c r="BN151" s="21"/>
    </row>
    <row r="152" spans="1:66" ht="20.100000000000001" customHeight="1" x14ac:dyDescent="0.25">
      <c r="A152"/>
      <c r="BN152" s="21"/>
    </row>
    <row r="153" spans="1:66" ht="20.100000000000001" customHeight="1" x14ac:dyDescent="0.25">
      <c r="A153"/>
      <c r="D153" s="19" t="s">
        <v>58</v>
      </c>
      <c r="E153" s="19" t="s">
        <v>59</v>
      </c>
      <c r="BC153" s="24"/>
      <c r="BD153" s="24"/>
      <c r="BE153" s="24"/>
      <c r="BF153" s="24"/>
      <c r="BG153" s="24"/>
      <c r="BH153" s="24"/>
      <c r="BI153" s="24"/>
      <c r="BJ153" s="24"/>
      <c r="BK153" s="24"/>
      <c r="BL153" s="24"/>
      <c r="BM153" s="24"/>
    </row>
    <row r="154" spans="1:66" ht="20.100000000000001" customHeight="1" x14ac:dyDescent="0.25">
      <c r="A154"/>
      <c r="D154" s="19" t="str" cm="1">
        <f t="array" ref="D154">Common_InputFunctions.Utility_DisplayArrayInTable(Common_SourceData.Common_SourceData_DataScores_Scope3_Data(), Table_SourceData_DataScores_Scope3[[#Headers],[Data source]], 0)</f>
        <v>International scope 3 database</v>
      </c>
      <c r="E154" s="19" cm="1">
        <f t="array" ref="E154">Common_InputFunctions.Utility_DisplayArrayInTable(Common_SourceData.Common_SourceData_DataScores_Scope3_Data(), Table_SourceData_DataScores_Scope3[[#Headers],[Data source]], 0)</f>
        <v>1</v>
      </c>
      <c r="BC154" s="24"/>
      <c r="BD154" s="24"/>
      <c r="BE154" s="24"/>
      <c r="BF154" s="24"/>
      <c r="BG154" s="24"/>
      <c r="BH154" s="24"/>
      <c r="BI154" s="24"/>
      <c r="BJ154" s="24"/>
      <c r="BK154" s="24"/>
      <c r="BL154" s="24"/>
      <c r="BM154" s="24"/>
    </row>
    <row r="155" spans="1:66" ht="20.100000000000001" customHeight="1" x14ac:dyDescent="0.25">
      <c r="A155"/>
      <c r="D155" s="19" t="str" cm="1">
        <f t="array" ref="D155">Common_InputFunctions.Utility_DisplayArrayInTable(Common_SourceData.Common_SourceData_DataScores_Scope3_Data(), Table_SourceData_DataScores_Scope3[[#Headers],[Data source]], 0)</f>
        <v>Australian scope 3 database</v>
      </c>
      <c r="E155" s="19" cm="1">
        <f t="array" ref="E155">Common_InputFunctions.Utility_DisplayArrayInTable(Common_SourceData.Common_SourceData_DataScores_Scope3_Data(), Table_SourceData_DataScores_Scope3[[#Headers],[Data source]], 0)</f>
        <v>2</v>
      </c>
      <c r="BC155" s="24"/>
      <c r="BD155" s="24"/>
      <c r="BE155" s="24"/>
      <c r="BF155" s="24"/>
      <c r="BG155" s="24"/>
      <c r="BH155" s="24"/>
      <c r="BI155" s="24"/>
      <c r="BJ155" s="24"/>
      <c r="BK155" s="24"/>
      <c r="BL155" s="24"/>
      <c r="BM155" s="24"/>
    </row>
    <row r="156" spans="1:66" ht="20.100000000000001" customHeight="1" x14ac:dyDescent="0.25">
      <c r="A156"/>
      <c r="D156" s="19" t="str" cm="1">
        <f t="array" ref="D156">Common_InputFunctions.Utility_DisplayArrayInTable(Common_SourceData.Common_SourceData_DataScores_Scope3_Data(), Table_SourceData_DataScores_Scope3[[#Headers],[Data source]], 0)</f>
        <v>State or regional scope 3 database</v>
      </c>
      <c r="E156" s="19"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19" t="str" cm="1">
        <f t="array" ref="D157">Common_InputFunctions.Utility_DisplayArrayInTable(Common_SourceData.Common_SourceData_DataScores_Scope3_Data(), Table_SourceData_DataScores_Scope3[[#Headers],[Data source]], 0)</f>
        <v>Emissions intensity calculated from approved method</v>
      </c>
      <c r="E157" s="19"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19" t="str" cm="1">
        <f t="array" ref="D158">Common_InputFunctions.Utility_DisplayArrayInTable(Common_SourceData.Common_SourceData_DataScores_Scope3_Data(), Table_SourceData_DataScores_Scope3[[#Headers],[Data source]], 0)</f>
        <v>Verified credential matching ISO14067</v>
      </c>
      <c r="E158" s="19"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8"/>
    </row>
    <row r="162" spans="4:68" ht="20.100000000000001" customHeight="1" x14ac:dyDescent="0.25">
      <c r="D162" s="17" t="str" cm="1">
        <f t="array" ref="D162">Common_SourceData.Common_SourceData_FracLEACH_Source()</f>
        <v>VEERG 2026:5.5.2.3 Constant Parameters</v>
      </c>
      <c r="E162" s="8"/>
    </row>
    <row r="163" spans="4:68" ht="20.100000000000001" customHeight="1" x14ac:dyDescent="0.25">
      <c r="D163" s="17" t="str" cm="1">
        <f t="array" ref="D163">Common_SourceData.Common_SourceData_FracLEACH_NIRReference()</f>
        <v>National Inventory Report Volume 1: Leaching and runoff (3.D.b.2)</v>
      </c>
      <c r="E163" s="8"/>
    </row>
    <row r="164" spans="4:68" ht="20.100000000000001" customHeight="1" x14ac:dyDescent="0.25">
      <c r="D164" s="8" t="str" cm="1">
        <f t="array" ref="D164:E164">Common_SourceData.Common_SourceData_FracLEACH_Data()</f>
        <v>FracLEACH</v>
      </c>
      <c r="E164" s="8">
        <v>0.24</v>
      </c>
    </row>
    <row r="165" spans="4:68" ht="20.100000000000001" customHeight="1" x14ac:dyDescent="0.25">
      <c r="BN165" s="21"/>
      <c r="BO165" s="21"/>
      <c r="BP165" s="21"/>
    </row>
    <row r="166" spans="4:68" ht="20.100000000000001" customHeight="1" x14ac:dyDescent="0.25">
      <c r="BN166" s="21"/>
      <c r="BO166" s="21"/>
      <c r="BP166" s="21"/>
    </row>
    <row r="167" spans="4:68" ht="20.100000000000001" customHeight="1" x14ac:dyDescent="0.25">
      <c r="D167" s="2" t="str" cm="1">
        <f t="array" ref="D167">Common_SourceData.Common_SourceData_EFleach_Title()</f>
        <v>Emission factor for nitrogen leaching and runoff</v>
      </c>
      <c r="BN167" s="21"/>
      <c r="BO167" s="21"/>
      <c r="BP167" s="21"/>
    </row>
    <row r="168" spans="4:68" ht="20.100000000000001" customHeight="1" x14ac:dyDescent="0.25">
      <c r="D168" s="17" t="str" cm="1">
        <f t="array" ref="D168">Common_SourceData.Common_SourceData_EFleach_Source()</f>
        <v>VEERG 2026:5.5.2.3 Constant Parameters</v>
      </c>
      <c r="BN168" s="21"/>
      <c r="BO168" s="21"/>
      <c r="BP168" s="21"/>
    </row>
    <row r="169" spans="4:68" ht="20.100000000000001" customHeight="1" x14ac:dyDescent="0.25">
      <c r="D169" s="17" t="str" cm="1">
        <f t="array" ref="D169">Common_SourceData.Common_SourceData_EFleach_NIRReference()</f>
        <v>National Inventory Report Volume 1: Equation 3.D.B_10</v>
      </c>
      <c r="BN169" s="21"/>
      <c r="BO169" s="21"/>
      <c r="BP169" s="21"/>
    </row>
    <row r="170" spans="4:68" ht="20.100000000000001" customHeight="1" x14ac:dyDescent="0.25">
      <c r="D170" s="1" t="str" cm="1">
        <f t="array" ref="D170:E170">Common_SourceData.Common_SourceData_EFleach_Data()</f>
        <v>EFleach</v>
      </c>
      <c r="E170" s="1">
        <v>1.0999999999999999E-2</v>
      </c>
      <c r="BN170" s="21"/>
      <c r="BO170" s="21"/>
      <c r="BP170" s="21"/>
    </row>
    <row r="171" spans="4:68" ht="20.100000000000001" customHeight="1" x14ac:dyDescent="0.25">
      <c r="BN171" s="21"/>
      <c r="BO171" s="21"/>
      <c r="BP171" s="21"/>
    </row>
    <row r="172" spans="4:68" ht="20.100000000000001" customHeight="1" x14ac:dyDescent="0.25">
      <c r="BN172" s="21"/>
      <c r="BO172" s="21"/>
      <c r="BP172" s="21"/>
    </row>
    <row r="173" spans="4:68" ht="20.100000000000001" customHeight="1" x14ac:dyDescent="0.25">
      <c r="D173" s="2" t="str" cm="1">
        <f t="array" ref="D173">Common_SourceData.Common_SourceData_DensityOfMethane_Title()</f>
        <v>p = density of methane</v>
      </c>
      <c r="BN173" s="21"/>
      <c r="BO173" s="21"/>
      <c r="BP173" s="21"/>
    </row>
    <row r="174" spans="4:68" ht="20.100000000000001" customHeight="1" x14ac:dyDescent="0.25">
      <c r="D174" s="17" t="str" cm="1">
        <f t="array" ref="D174">Common_SourceData.Common_SourceData_DensityOfMethane_Source()</f>
        <v>National Inventory Report 2023 Volume 1: Equations 3.B.1a_2, 3.B.1c_2, 3.B.3_1, 3.B.4g_2</v>
      </c>
      <c r="BN174" s="21"/>
      <c r="BO174" s="21"/>
      <c r="BP174" s="21"/>
    </row>
    <row r="175" spans="4:68" ht="20.100000000000001" customHeight="1" x14ac:dyDescent="0.25">
      <c r="D175" s="1" cm="1">
        <f t="array" ref="D175">Common_SourceData.Common_SourceData_DensityOfMethane_Data()</f>
        <v>0.6784</v>
      </c>
      <c r="E175" s="9" t="str" cm="1">
        <f t="array" ref="E175">Common_SourceData.Common_SourceData_DensityOfMethane_Unit()</f>
        <v>kg/m3</v>
      </c>
      <c r="BN175" s="21"/>
      <c r="BO175" s="21"/>
      <c r="BP175" s="21"/>
    </row>
    <row r="176" spans="4:68" ht="20.100000000000001" customHeight="1" x14ac:dyDescent="0.25">
      <c r="BN176" s="21"/>
      <c r="BO176" s="21"/>
      <c r="BP176" s="21"/>
    </row>
    <row r="177" spans="4:68" ht="20.100000000000001" customHeight="1" x14ac:dyDescent="0.25">
      <c r="BN177" s="21"/>
      <c r="BO177" s="21"/>
      <c r="BP177" s="21"/>
    </row>
    <row r="178" spans="4:68" ht="20.100000000000001" customHeight="1" x14ac:dyDescent="0.25">
      <c r="D178" s="2" t="str" cm="1">
        <f t="array" ref="D178">Common_SourceData.Common_SourceData_EFN2O_Title()</f>
        <v>Nitrous oxide emission factors for inorganic fertiliser application</v>
      </c>
      <c r="BN178" s="21"/>
      <c r="BO178" s="21"/>
      <c r="BP178" s="21"/>
    </row>
    <row r="179" spans="4:68" ht="20.100000000000001" customHeight="1" x14ac:dyDescent="0.25">
      <c r="D179" s="17" t="str" cm="1">
        <f t="array" ref="D179">Common_SourceData.Common_SourceData_EFN2O_Source()</f>
        <v>VEERG 2026: Table A.2.2.1</v>
      </c>
      <c r="BN179" s="21"/>
      <c r="BO179" s="21"/>
      <c r="BP179" s="21"/>
    </row>
    <row r="180" spans="4:68" ht="20.100000000000001" customHeight="1" x14ac:dyDescent="0.25">
      <c r="D180" s="9" t="str" cm="1">
        <f t="array" ref="D180">Common_SourceData.Common_SourceData_EFN2O_Unit()</f>
        <v>(kg N2O-N / kg N</v>
      </c>
    </row>
    <row r="181" spans="4:68" ht="20.100000000000001" customHeight="1" x14ac:dyDescent="0.25">
      <c r="D181" s="25" t="str" cm="1">
        <f t="array" ref="D181:D185">Common_SourceData.Common_SourceData_EFN2O_Variation()</f>
        <v>VARIATION OF SOURCE DATA:</v>
      </c>
    </row>
    <row r="182" spans="4:68" ht="20.100000000000001" customHeight="1" x14ac:dyDescent="0.25">
      <c r="D182" s="25" t="str">
        <v>Removed duplicate 'Aquaculture' row.</v>
      </c>
    </row>
    <row r="183" spans="4:68" ht="20.100000000000001" customHeight="1" x14ac:dyDescent="0.25">
      <c r="D183" s="25" t="str">
        <v>Removed asterisks to aid lookup.</v>
      </c>
    </row>
    <row r="184" spans="4:68" ht="20.100000000000001" customHeight="1" x14ac:dyDescent="0.25">
      <c r="D184" s="25" t="str">
        <v>Added 'production system only', 'rainfall zone' and 'irrigation method' columns to aid lookup.</v>
      </c>
    </row>
    <row r="185" spans="4:68" ht="20.100000000000001" customHeight="1" x14ac:dyDescent="0.25">
      <c r="D185" s="25" t="str">
        <v>Duplicated 'non-irrigated pasture' row with same EF for low and high rainfall zones to aid lookup.</v>
      </c>
    </row>
    <row r="186" spans="4:68" ht="20.100000000000001" customHeight="1" x14ac:dyDescent="0.25">
      <c r="D186" s="19" t="s">
        <v>60</v>
      </c>
      <c r="E186" s="19" t="s">
        <v>61</v>
      </c>
      <c r="F186" s="19" t="s">
        <v>62</v>
      </c>
      <c r="G186" s="19" t="s">
        <v>63</v>
      </c>
      <c r="H186" s="19" t="s">
        <v>64</v>
      </c>
    </row>
    <row r="187" spans="4:68" ht="20.100000000000001" customHeight="1" x14ac:dyDescent="0.25">
      <c r="D187" s="19" t="str" cm="1">
        <f t="array" ref="D187">Common_InputFunctions.Utility_DisplayArrayInTable(Common_SourceData.Common_SourceData_EFN2O_Data(), Table_SourceData_Common_EFN2O[[#Headers],[Production system j]], 0)</f>
        <v>Irrigated pasture</v>
      </c>
      <c r="E187" s="19" cm="1">
        <f t="array" ref="E187">Common_InputFunctions.Utility_DisplayArrayInTable(Common_SourceData.Common_SourceData_EFN2O_Data(), Table_SourceData_Common_EFN2O[[#Headers],[Production system j]], 0)</f>
        <v>5.8999999999999999E-3</v>
      </c>
      <c r="F187" s="19" t="str" cm="1">
        <f t="array" ref="F187">Common_InputFunctions.Utility_DisplayArrayInTable(Common_SourceData.Common_SourceData_EFN2O_Data(), Table_SourceData_Common_EFN2O[[#Headers],[Production system j]], 0)</f>
        <v>Pasture</v>
      </c>
      <c r="G187" s="19" t="str" cm="1">
        <f t="array" ref="G187">Common_InputFunctions.Utility_DisplayArrayInTable(Common_SourceData.Common_SourceData_EFN2O_Data(), Table_SourceData_Common_EFN2O[[#Headers],[Production system j]], 0)</f>
        <v>Any</v>
      </c>
      <c r="H187" s="19" t="str" cm="1">
        <f t="array" ref="H187">Common_InputFunctions.Utility_DisplayArrayInTable(Common_SourceData.Common_SourceData_EFN2O_Data(), Table_SourceData_Common_EFN2O[[#Headers],[Production system j]], 0)</f>
        <v>Any</v>
      </c>
    </row>
    <row r="188" spans="4:68" ht="20.100000000000001" customHeight="1" x14ac:dyDescent="0.25">
      <c r="D188" s="19" t="str" cm="1">
        <f t="array" ref="D188">Common_InputFunctions.Utility_DisplayArrayInTable(Common_SourceData.Common_SourceData_EFN2O_Data(), Table_SourceData_Common_EFN2O[[#Headers],[Production system j]], 0)</f>
        <v>Irrigated crop</v>
      </c>
      <c r="E188" s="19" cm="1">
        <f t="array" ref="E188">Common_InputFunctions.Utility_DisplayArrayInTable(Common_SourceData.Common_SourceData_EFN2O_Data(), Table_SourceData_Common_EFN2O[[#Headers],[Production system j]], 0)</f>
        <v>7.0000000000000001E-3</v>
      </c>
      <c r="F188" s="19" t="str" cm="1">
        <f t="array" ref="F188">Common_InputFunctions.Utility_DisplayArrayInTable(Common_SourceData.Common_SourceData_EFN2O_Data(), Table_SourceData_Common_EFN2O[[#Headers],[Production system j]], 0)</f>
        <v>Crop</v>
      </c>
      <c r="G188" s="19" t="str" cm="1">
        <f t="array" ref="G188">Common_InputFunctions.Utility_DisplayArrayInTable(Common_SourceData.Common_SourceData_EFN2O_Data(), Table_SourceData_Common_EFN2O[[#Headers],[Production system j]], 0)</f>
        <v>Any</v>
      </c>
      <c r="H188" s="19" t="str" cm="1">
        <f t="array" ref="H188">Common_InputFunctions.Utility_DisplayArrayInTable(Common_SourceData.Common_SourceData_EFN2O_Data(), Table_SourceData_Common_EFN2O[[#Headers],[Production system j]], 0)</f>
        <v>Any</v>
      </c>
    </row>
    <row r="189" spans="4:68" ht="20.100000000000001" customHeight="1" x14ac:dyDescent="0.25">
      <c r="D189" s="19" t="str" cm="1">
        <f t="array" ref="D189">Common_InputFunctions.Utility_DisplayArrayInTable(Common_SourceData.Common_SourceData_EFN2O_Data(), Table_SourceData_Common_EFN2O[[#Headers],[Production system j]], 0)</f>
        <v>Non-irrigated pasture</v>
      </c>
      <c r="E189" s="19" cm="1">
        <f t="array" ref="E189">Common_InputFunctions.Utility_DisplayArrayInTable(Common_SourceData.Common_SourceData_EFN2O_Data(), Table_SourceData_Common_EFN2O[[#Headers],[Production system j]], 0)</f>
        <v>1.8E-3</v>
      </c>
      <c r="F189" s="19" t="str" cm="1">
        <f t="array" ref="F189">Common_InputFunctions.Utility_DisplayArrayInTable(Common_SourceData.Common_SourceData_EFN2O_Data(), Table_SourceData_Common_EFN2O[[#Headers],[Production system j]], 0)</f>
        <v>Pasture</v>
      </c>
      <c r="G189" s="19" t="str" cm="1">
        <f t="array" ref="G189">Common_InputFunctions.Utility_DisplayArrayInTable(Common_SourceData.Common_SourceData_EFN2O_Data(), Table_SourceData_Common_EFN2O[[#Headers],[Production system j]], 0)</f>
        <v>Not irrigated</v>
      </c>
      <c r="H189" s="1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9" t="str" cm="1">
        <f t="array" ref="D190">Common_InputFunctions.Utility_DisplayArrayInTable(Common_SourceData.Common_SourceData_EFN2O_Data(), Table_SourceData_Common_EFN2O[[#Headers],[Production system j]], 0)</f>
        <v>Non-irrigated pasture</v>
      </c>
      <c r="E190" s="19" cm="1">
        <f t="array" ref="E190">Common_InputFunctions.Utility_DisplayArrayInTable(Common_SourceData.Common_SourceData_EFN2O_Data(), Table_SourceData_Common_EFN2O[[#Headers],[Production system j]], 0)</f>
        <v>1.8E-3</v>
      </c>
      <c r="F190" s="19" t="str" cm="1">
        <f t="array" ref="F190">Common_InputFunctions.Utility_DisplayArrayInTable(Common_SourceData.Common_SourceData_EFN2O_Data(), Table_SourceData_Common_EFN2O[[#Headers],[Production system j]], 0)</f>
        <v>Pasture</v>
      </c>
      <c r="G190" s="19" t="str" cm="1">
        <f t="array" ref="G190">Common_InputFunctions.Utility_DisplayArrayInTable(Common_SourceData.Common_SourceData_EFN2O_Data(), Table_SourceData_Common_EFN2O[[#Headers],[Production system j]], 0)</f>
        <v>Not irrigated</v>
      </c>
      <c r="H190" s="1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9" t="str" cm="1">
        <f t="array" ref="D191">Common_InputFunctions.Utility_DisplayArrayInTable(Common_SourceData.Common_SourceData_EFN2O_Data(), Table_SourceData_Common_EFN2O[[#Headers],[Production system j]], 0)</f>
        <v>Non-irrigated crop (low rainfall)</v>
      </c>
      <c r="E191" s="19" cm="1">
        <f t="array" ref="E191">Common_InputFunctions.Utility_DisplayArrayInTable(Common_SourceData.Common_SourceData_EFN2O_Data(), Table_SourceData_Common_EFN2O[[#Headers],[Production system j]], 0)</f>
        <v>2.8999999999999998E-3</v>
      </c>
      <c r="F191" s="19" t="str" cm="1">
        <f t="array" ref="F191">Common_InputFunctions.Utility_DisplayArrayInTable(Common_SourceData.Common_SourceData_EFN2O_Data(), Table_SourceData_Common_EFN2O[[#Headers],[Production system j]], 0)</f>
        <v>Crop</v>
      </c>
      <c r="G191" s="19" t="str" cm="1">
        <f t="array" ref="G191">Common_InputFunctions.Utility_DisplayArrayInTable(Common_SourceData.Common_SourceData_EFN2O_Data(), Table_SourceData_Common_EFN2O[[#Headers],[Production system j]], 0)</f>
        <v>Not irrigated</v>
      </c>
      <c r="H191" s="1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9" t="str" cm="1">
        <f t="array" ref="D192">Common_InputFunctions.Utility_DisplayArrayInTable(Common_SourceData.Common_SourceData_EFN2O_Data(), Table_SourceData_Common_EFN2O[[#Headers],[Production system j]], 0)</f>
        <v>Non-irrigated crop (high rainfall)</v>
      </c>
      <c r="E192" s="19" cm="1">
        <f t="array" ref="E192">Common_InputFunctions.Utility_DisplayArrayInTable(Common_SourceData.Common_SourceData_EFN2O_Data(), Table_SourceData_Common_EFN2O[[#Headers],[Production system j]], 0)</f>
        <v>8.0000000000000002E-3</v>
      </c>
      <c r="F192" s="19" t="str" cm="1">
        <f t="array" ref="F192">Common_InputFunctions.Utility_DisplayArrayInTable(Common_SourceData.Common_SourceData_EFN2O_Data(), Table_SourceData_Common_EFN2O[[#Headers],[Production system j]], 0)</f>
        <v>Crop</v>
      </c>
      <c r="G192" s="19" t="str" cm="1">
        <f t="array" ref="G192">Common_InputFunctions.Utility_DisplayArrayInTable(Common_SourceData.Common_SourceData_EFN2O_Data(), Table_SourceData_Common_EFN2O[[#Headers],[Production system j]], 0)</f>
        <v>Not irrigated</v>
      </c>
      <c r="H192" s="1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9" t="str" cm="1">
        <f t="array" ref="D193">Common_InputFunctions.Utility_DisplayArrayInTable(Common_SourceData.Common_SourceData_EFN2O_Data(), Table_SourceData_Common_EFN2O[[#Headers],[Production system j]], 0)</f>
        <v>Sugar</v>
      </c>
      <c r="E193" s="19" cm="1">
        <f t="array" ref="E193">Common_InputFunctions.Utility_DisplayArrayInTable(Common_SourceData.Common_SourceData_EFN2O_Data(), Table_SourceData_Common_EFN2O[[#Headers],[Production system j]], 0)</f>
        <v>1.9900000000000001E-2</v>
      </c>
      <c r="F193" s="19" t="str" cm="1">
        <f t="array" ref="F193">Common_InputFunctions.Utility_DisplayArrayInTable(Common_SourceData.Common_SourceData_EFN2O_Data(), Table_SourceData_Common_EFN2O[[#Headers],[Production system j]], 0)</f>
        <v>Sugar</v>
      </c>
      <c r="G193" s="19" t="str" cm="1">
        <f t="array" ref="G193">Common_InputFunctions.Utility_DisplayArrayInTable(Common_SourceData.Common_SourceData_EFN2O_Data(), Table_SourceData_Common_EFN2O[[#Headers],[Production system j]], 0)</f>
        <v>Any</v>
      </c>
      <c r="H193" s="19" t="str" cm="1">
        <f t="array" ref="H193">Common_InputFunctions.Utility_DisplayArrayInTable(Common_SourceData.Common_SourceData_EFN2O_Data(), Table_SourceData_Common_EFN2O[[#Headers],[Production system j]], 0)</f>
        <v>Any</v>
      </c>
    </row>
    <row r="194" spans="4:8" ht="20.100000000000001" customHeight="1" x14ac:dyDescent="0.25">
      <c r="D194" s="19" t="str" cm="1">
        <f t="array" ref="D194">Common_InputFunctions.Utility_DisplayArrayInTable(Common_SourceData.Common_SourceData_EFN2O_Data(), Table_SourceData_Common_EFN2O[[#Headers],[Production system j]], 0)</f>
        <v>Cotton</v>
      </c>
      <c r="E194" s="19" cm="1">
        <f t="array" ref="E194">Common_InputFunctions.Utility_DisplayArrayInTable(Common_SourceData.Common_SourceData_EFN2O_Data(), Table_SourceData_Common_EFN2O[[#Headers],[Production system j]], 0)</f>
        <v>5.3E-3</v>
      </c>
      <c r="F194" s="19" t="str" cm="1">
        <f t="array" ref="F194">Common_InputFunctions.Utility_DisplayArrayInTable(Common_SourceData.Common_SourceData_EFN2O_Data(), Table_SourceData_Common_EFN2O[[#Headers],[Production system j]], 0)</f>
        <v>Cotton</v>
      </c>
      <c r="G194" s="19" t="str" cm="1">
        <f t="array" ref="G194">Common_InputFunctions.Utility_DisplayArrayInTable(Common_SourceData.Common_SourceData_EFN2O_Data(), Table_SourceData_Common_EFN2O[[#Headers],[Production system j]], 0)</f>
        <v>Any</v>
      </c>
      <c r="H194" s="19" t="str" cm="1">
        <f t="array" ref="H194">Common_InputFunctions.Utility_DisplayArrayInTable(Common_SourceData.Common_SourceData_EFN2O_Data(), Table_SourceData_Common_EFN2O[[#Headers],[Production system j]], 0)</f>
        <v>Any</v>
      </c>
    </row>
    <row r="195" spans="4:8" ht="20.100000000000001" customHeight="1" x14ac:dyDescent="0.25">
      <c r="D195" s="19" t="str" cm="1">
        <f t="array" ref="D195">Common_InputFunctions.Utility_DisplayArrayInTable(Common_SourceData.Common_SourceData_EFN2O_Data(), Table_SourceData_Common_EFN2O[[#Headers],[Production system j]], 0)</f>
        <v>Horticultural crops</v>
      </c>
      <c r="E195" s="19" cm="1">
        <f t="array" ref="E195">Common_InputFunctions.Utility_DisplayArrayInTable(Common_SourceData.Common_SourceData_EFN2O_Data(), Table_SourceData_Common_EFN2O[[#Headers],[Production system j]], 0)</f>
        <v>6.4000000000000003E-3</v>
      </c>
      <c r="F195" s="19" t="str" cm="1">
        <f t="array" ref="F195">Common_InputFunctions.Utility_DisplayArrayInTable(Common_SourceData.Common_SourceData_EFN2O_Data(), Table_SourceData_Common_EFN2O[[#Headers],[Production system j]], 0)</f>
        <v>Horticultural crops</v>
      </c>
      <c r="G195" s="19" t="str" cm="1">
        <f t="array" ref="G195">Common_InputFunctions.Utility_DisplayArrayInTable(Common_SourceData.Common_SourceData_EFN2O_Data(), Table_SourceData_Common_EFN2O[[#Headers],[Production system j]], 0)</f>
        <v>Any</v>
      </c>
      <c r="H195" s="19" t="str" cm="1">
        <f t="array" ref="H195">Common_InputFunctions.Utility_DisplayArrayInTable(Common_SourceData.Common_SourceData_EFN2O_Data(), Table_SourceData_Common_EFN2O[[#Headers],[Production system j]], 0)</f>
        <v>Any</v>
      </c>
    </row>
    <row r="196" spans="4:8" ht="20.100000000000001" customHeight="1" x14ac:dyDescent="0.25">
      <c r="D196" s="19" t="str" cm="1">
        <f t="array" ref="D196">Common_InputFunctions.Utility_DisplayArrayInTable(Common_SourceData.Common_SourceData_EFN2O_Data(), Table_SourceData_Common_EFN2O[[#Headers],[Production system j]], 0)</f>
        <v>Rice (continuous flooding)</v>
      </c>
      <c r="E196" s="19" cm="1">
        <f t="array" ref="E196">Common_InputFunctions.Utility_DisplayArrayInTable(Common_SourceData.Common_SourceData_EFN2O_Data(), Table_SourceData_Common_EFN2O[[#Headers],[Production system j]], 0)</f>
        <v>3.0000000000000001E-3</v>
      </c>
      <c r="F196" s="19" t="str" cm="1">
        <f t="array" ref="F196">Common_InputFunctions.Utility_DisplayArrayInTable(Common_SourceData.Common_SourceData_EFN2O_Data(), Table_SourceData_Common_EFN2O[[#Headers],[Production system j]], 0)</f>
        <v>Rice</v>
      </c>
      <c r="G196" s="19" t="str" cm="1">
        <f t="array" ref="G196">Common_InputFunctions.Utility_DisplayArrayInTable(Common_SourceData.Common_SourceData_EFN2O_Data(), Table_SourceData_Common_EFN2O[[#Headers],[Production system j]], 0)</f>
        <v>Continuous flooding</v>
      </c>
      <c r="H196" s="19" t="str" cm="1">
        <f t="array" ref="H196">Common_InputFunctions.Utility_DisplayArrayInTable(Common_SourceData.Common_SourceData_EFN2O_Data(), Table_SourceData_Common_EFN2O[[#Headers],[Production system j]], 0)</f>
        <v>Any</v>
      </c>
    </row>
    <row r="197" spans="4:8" x14ac:dyDescent="0.25">
      <c r="D197" s="19" t="str" cm="1">
        <f t="array" ref="D197">Common_InputFunctions.Utility_DisplayArrayInTable(Common_SourceData.Common_SourceData_EFN2O_Data(), Table_SourceData_Common_EFN2O[[#Headers],[Production system j]], 0)</f>
        <v>Rice (single and multiple drainage, or alternate wetting and drying)</v>
      </c>
      <c r="E197" s="19" cm="1">
        <f t="array" ref="E197">Common_InputFunctions.Utility_DisplayArrayInTable(Common_SourceData.Common_SourceData_EFN2O_Data(), Table_SourceData_Common_EFN2O[[#Headers],[Production system j]], 0)</f>
        <v>5.0000000000000001E-3</v>
      </c>
      <c r="F197" s="19" t="str" cm="1">
        <f t="array" ref="F197">Common_InputFunctions.Utility_DisplayArrayInTable(Common_SourceData.Common_SourceData_EFN2O_Data(), Table_SourceData_Common_EFN2O[[#Headers],[Production system j]], 0)</f>
        <v>Rice</v>
      </c>
      <c r="G197" s="19" t="str" cm="1">
        <f t="array" ref="G197">Common_InputFunctions.Utility_DisplayArrayInTable(Common_SourceData.Common_SourceData_EFN2O_Data(), Table_SourceData_Common_EFN2O[[#Headers],[Production system j]], 0)</f>
        <v>Single and multiple drainage, or alternate wetting and drying</v>
      </c>
      <c r="H197" s="19" t="str" cm="1">
        <f t="array" ref="H197">Common_InputFunctions.Utility_DisplayArrayInTable(Common_SourceData.Common_SourceData_EFN2O_Data(), Table_SourceData_Common_EFN2O[[#Headers],[Production system j]], 0)</f>
        <v>Any</v>
      </c>
    </row>
    <row r="198" spans="4:8" x14ac:dyDescent="0.25">
      <c r="D198" s="19" t="str" cm="1">
        <f t="array" ref="D198">Common_InputFunctions.Utility_DisplayArrayInTable(Common_SourceData.Common_SourceData_EFN2O_Data(), Table_SourceData_Common_EFN2O[[#Headers],[Production system j]], 0)</f>
        <v>Aquaculture</v>
      </c>
      <c r="E198" s="19" cm="1">
        <f t="array" ref="E198">Common_InputFunctions.Utility_DisplayArrayInTable(Common_SourceData.Common_SourceData_EFN2O_Data(), Table_SourceData_Common_EFN2O[[#Headers],[Production system j]], 0)</f>
        <v>2.5999999999999999E-3</v>
      </c>
      <c r="F198" s="19" t="str" cm="1">
        <f t="array" ref="F198">Common_InputFunctions.Utility_DisplayArrayInTable(Common_SourceData.Common_SourceData_EFN2O_Data(), Table_SourceData_Common_EFN2O[[#Headers],[Production system j]], 0)</f>
        <v>Aquaculture</v>
      </c>
      <c r="G198" s="19" t="str" cm="1">
        <f t="array" ref="G198">Common_InputFunctions.Utility_DisplayArrayInTable(Common_SourceData.Common_SourceData_EFN2O_Data(), Table_SourceData_Common_EFN2O[[#Headers],[Production system j]], 0)</f>
        <v>Any</v>
      </c>
      <c r="H198" s="19" t="str" cm="1">
        <f t="array" ref="H198">Common_InputFunctions.Utility_DisplayArrayInTable(Common_SourceData.Common_SourceData_EFN2O_Data(), Table_SourceData_Common_EFN2O[[#Headers],[Production system j]], 0)</f>
        <v>Any</v>
      </c>
    </row>
    <row r="199" spans="4:8" x14ac:dyDescent="0.25">
      <c r="D199" s="19" t="str" cm="1">
        <f t="array" ref="D199">Common_InputFunctions.Utility_DisplayArrayInTable(Common_SourceData.Common_SourceData_EFN2O_Data(), Table_SourceData_Common_EFN2O[[#Headers],[Production system j]], 0)</f>
        <v>Forestry</v>
      </c>
      <c r="E199" s="19" cm="1">
        <f t="array" ref="E199">Common_InputFunctions.Utility_DisplayArrayInTable(Common_SourceData.Common_SourceData_EFN2O_Data(), Table_SourceData_Common_EFN2O[[#Headers],[Production system j]], 0)</f>
        <v>1.8E-3</v>
      </c>
      <c r="F199" s="19" t="str" cm="1">
        <f t="array" ref="F199">Common_InputFunctions.Utility_DisplayArrayInTable(Common_SourceData.Common_SourceData_EFN2O_Data(), Table_SourceData_Common_EFN2O[[#Headers],[Production system j]], 0)</f>
        <v>Forestry</v>
      </c>
      <c r="G199" s="19" t="str" cm="1">
        <f t="array" ref="G199">Common_InputFunctions.Utility_DisplayArrayInTable(Common_SourceData.Common_SourceData_EFN2O_Data(), Table_SourceData_Common_EFN2O[[#Headers],[Production system j]], 0)</f>
        <v>Any</v>
      </c>
      <c r="H199" s="19"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17" t="str" cm="1">
        <f t="array" ref="D203">Common_SourceData.Common_SourceData_EFPastureRangeAndPaddock_Source()</f>
        <v>VEERG 2026: Table A.2.2.2</v>
      </c>
    </row>
    <row r="204" spans="4:8" x14ac:dyDescent="0.25">
      <c r="D204" s="25" t="str" cm="1">
        <f t="array" ref="D204">Common_SourceData.Common_SourceData_EFPastureRangeAndPaddock_Variation()</f>
        <v>VARIATION FROM SOURCE DATA: Changed 'Dry climate zones' to singular 'Dry climate zone' to aid lookup.</v>
      </c>
    </row>
    <row r="205" spans="4:8" x14ac:dyDescent="0.25">
      <c r="D205" s="9" t="str" cm="1">
        <f t="array" ref="D205">Common_SourceData.Common_SourceData_EFPastureRangeAndPaddock_Unit()</f>
        <v>kg N2O - N / kg N</v>
      </c>
    </row>
    <row r="206" spans="4:8" x14ac:dyDescent="0.25">
      <c r="D206" s="19" t="s">
        <v>31</v>
      </c>
      <c r="E206" s="19" t="s">
        <v>65</v>
      </c>
    </row>
    <row r="207" spans="4:8" x14ac:dyDescent="0.25">
      <c r="D207" s="19" t="str" cm="1">
        <f t="array" ref="D207">Common_InputFunctions.Utility_DisplayArrayInTable(Common_SourceData.Common_SourceData_EFPastureRangeAndPaddock_Data(), Table_SourceData_EFPastureRangeAndPaddock[[#Headers],[Climate zone]], 0)</f>
        <v>Wet climate zone</v>
      </c>
      <c r="E207" s="1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1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19" t="s">
        <v>66</v>
      </c>
      <c r="E212" s="19" t="s">
        <v>67</v>
      </c>
    </row>
    <row r="213" spans="4:5" x14ac:dyDescent="0.25">
      <c r="D213" s="19" t="str" cm="1">
        <f t="array" ref="D213">Common_InputFunctions.Utility_DisplayArrayInTable(Common_SourceData.Common_SourceData_MonthsToSeasons_Data(), Table_SourceData_Common_MonthToSeason[[#Headers],[Month]], 0)</f>
        <v>January</v>
      </c>
      <c r="E213" s="1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1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1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1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1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1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1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1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1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1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1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19"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17" t="str" cm="1">
        <f t="array" ref="D228">Common_SourceData.Common_SourceData_MCFTemperatureZone_Source()</f>
        <v>VEERG 2026: Table A.1.8.1</v>
      </c>
    </row>
    <row r="229" spans="4:19" x14ac:dyDescent="0.25">
      <c r="D229" s="2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9" t="s">
        <v>68</v>
      </c>
      <c r="E231" s="19" t="s">
        <v>69</v>
      </c>
      <c r="F231" s="26" t="s">
        <v>70</v>
      </c>
      <c r="G231" s="19" t="s">
        <v>71</v>
      </c>
      <c r="H231" s="19" t="s">
        <v>72</v>
      </c>
      <c r="I231" s="19" t="s">
        <v>73</v>
      </c>
      <c r="J231" s="19" t="s">
        <v>74</v>
      </c>
      <c r="K231" s="19" t="s">
        <v>75</v>
      </c>
      <c r="L231" s="19" t="s">
        <v>76</v>
      </c>
      <c r="M231" s="19" t="s">
        <v>77</v>
      </c>
      <c r="N231" s="19" t="s">
        <v>78</v>
      </c>
      <c r="O231" s="19" t="s">
        <v>79</v>
      </c>
      <c r="P231" s="19" t="s">
        <v>80</v>
      </c>
      <c r="Q231" s="19" t="s">
        <v>81</v>
      </c>
      <c r="R231" s="19" t="s">
        <v>82</v>
      </c>
      <c r="S231" s="19" t="s">
        <v>83</v>
      </c>
    </row>
    <row r="232" spans="4:19" x14ac:dyDescent="0.25">
      <c r="D232" s="19" t="str" cm="1">
        <f t="array" ref="D232">Common_InputFunctions.Utility_DisplayArrayInTable(Common_SourceData.Common_SourceData_MCFTemperatureZone_Data(),Table_SourceData_Common_MCFTemperatureZone[[#Headers],[Temperature zone]],0)</f>
        <v>Cool</v>
      </c>
      <c r="E232" s="19" t="str" cm="1">
        <f t="array" ref="E232">Common_InputFunctions.Utility_DisplayArrayInTable(Common_SourceData.Common_SourceData_MCFTemperatureZone_Data(),Table_SourceData_Common_MCFTemperatureZone[[#Headers],[Temperature zone]],0)</f>
        <v>≤10</v>
      </c>
      <c r="F232" s="19" cm="1">
        <f t="array" ref="F232">Common_InputFunctions.Utility_DisplayArrayInTable(Common_SourceData.Common_SourceData_MCFTemperatureZone_Data(),Table_SourceData_Common_MCFTemperatureZone[[#Headers],[Temperature zone]],0)</f>
        <v>0.66</v>
      </c>
      <c r="G232" s="19" cm="1">
        <f t="array" ref="G232">Common_InputFunctions.Utility_DisplayArrayInTable(Common_SourceData.Common_SourceData_MCFTemperatureZone_Data(),Table_SourceData_Common_MCFTemperatureZone[[#Headers],[Temperature zone]],0)</f>
        <v>0.1</v>
      </c>
      <c r="H232" s="19" cm="1">
        <f t="array" ref="H232">Common_InputFunctions.Utility_DisplayArrayInTable(Common_SourceData.Common_SourceData_MCFTemperatureZone_Data(),Table_SourceData_Common_MCFTemperatureZone[[#Headers],[Temperature zone]],0)</f>
        <v>0.1</v>
      </c>
      <c r="I232" s="19" cm="1">
        <f t="array" ref="I232">Common_InputFunctions.Utility_DisplayArrayInTable(Common_SourceData.Common_SourceData_MCFTemperatureZone_Data(),Table_SourceData_Common_MCFTemperatureZone[[#Headers],[Temperature zone]],0)</f>
        <v>1E-3</v>
      </c>
      <c r="J232" s="19" cm="1">
        <f t="array" ref="J232">Common_InputFunctions.Utility_DisplayArrayInTable(Common_SourceData.Common_SourceData_MCFTemperatureZone_Data(),Table_SourceData_Common_MCFTemperatureZone[[#Headers],[Temperature zone]],0)</f>
        <v>5.0000000000000001E-3</v>
      </c>
      <c r="K232" s="19" cm="1">
        <f t="array" ref="K232">Common_InputFunctions.Utility_DisplayArrayInTable(Common_SourceData.Common_SourceData_MCFTemperatureZone_Data(),Table_SourceData_Common_MCFTemperatureZone[[#Headers],[Temperature zone]],0)</f>
        <v>0.02</v>
      </c>
      <c r="L232" s="19" cm="1">
        <f t="array" ref="L232">Common_InputFunctions.Utility_DisplayArrayInTable(Common_SourceData.Common_SourceData_MCFTemperatureZone_Data(),Table_SourceData_Common_MCFTemperatureZone[[#Headers],[Temperature zone]],0)</f>
        <v>0.03</v>
      </c>
      <c r="M232" s="19" cm="1">
        <f t="array" ref="M232">Common_InputFunctions.Utility_DisplayArrayInTable(Common_SourceData.Common_SourceData_MCFTemperatureZone_Data(),Table_SourceData_Common_MCFTemperatureZone[[#Headers],[Temperature zone]],0)</f>
        <v>0.04</v>
      </c>
      <c r="N232" s="19" cm="1">
        <f t="array" ref="N232">Common_InputFunctions.Utility_DisplayArrayInTable(Common_SourceData.Common_SourceData_MCFTemperatureZone_Data(),Table_SourceData_Common_MCFTemperatureZone[[#Headers],[Temperature zone]],0)</f>
        <v>1.4999999999999999E-2</v>
      </c>
      <c r="O232" s="19" cm="1">
        <f t="array" ref="O232">Common_InputFunctions.Utility_DisplayArrayInTable(Common_SourceData.Common_SourceData_MCFTemperatureZone_Data(),Table_SourceData_Common_MCFTemperatureZone[[#Headers],[Temperature zone]],0)</f>
        <v>1.4999999999999999E-2</v>
      </c>
      <c r="P232" s="19" cm="1">
        <f t="array" ref="P232">Common_InputFunctions.Utility_DisplayArrayInTable(Common_SourceData.Common_SourceData_MCFTemperatureZone_Data(),Table_SourceData_Common_MCFTemperatureZone[[#Headers],[Temperature zone]],0)</f>
        <v>0</v>
      </c>
      <c r="Q232" s="19" cm="1">
        <f t="array" ref="Q232">Common_InputFunctions.Utility_DisplayArrayInTable(Common_SourceData.Common_SourceData_MCFTemperatureZone_Data(),Table_SourceData_Common_MCFTemperatureZone[[#Headers],[Temperature zone]],0)</f>
        <v>0</v>
      </c>
      <c r="R232" s="19" cm="1">
        <f t="array" ref="R232">Common_InputFunctions.Utility_DisplayArrayInTable(Common_SourceData.Common_SourceData_MCFTemperatureZone_Data(),Table_SourceData_Common_MCFTemperatureZone[[#Headers],[Temperature zone]],0)</f>
        <v>4.7000000000000002E-3</v>
      </c>
      <c r="S232" s="1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19" cm="1">
        <f t="array" ref="E233">Common_InputFunctions.Utility_DisplayArrayInTable(Common_SourceData.Common_SourceData_MCFTemperatureZone_Data(),Table_SourceData_Common_MCFTemperatureZone[[#Headers],[Temperature zone]],0)</f>
        <v>11</v>
      </c>
      <c r="F233" s="19" cm="1">
        <f t="array" ref="F233">Common_InputFunctions.Utility_DisplayArrayInTable(Common_SourceData.Common_SourceData_MCFTemperatureZone_Data(),Table_SourceData_Common_MCFTemperatureZone[[#Headers],[Temperature zone]],0)</f>
        <v>0.68</v>
      </c>
      <c r="G233" s="19" cm="1">
        <f t="array" ref="G233">Common_InputFunctions.Utility_DisplayArrayInTable(Common_SourceData.Common_SourceData_MCFTemperatureZone_Data(),Table_SourceData_Common_MCFTemperatureZone[[#Headers],[Temperature zone]],0)</f>
        <v>0.1</v>
      </c>
      <c r="H233" s="19" cm="1">
        <f t="array" ref="H233">Common_InputFunctions.Utility_DisplayArrayInTable(Common_SourceData.Common_SourceData_MCFTemperatureZone_Data(),Table_SourceData_Common_MCFTemperatureZone[[#Headers],[Temperature zone]],0)</f>
        <v>0.11</v>
      </c>
      <c r="I233" s="19" cm="1">
        <f t="array" ref="I233">Common_InputFunctions.Utility_DisplayArrayInTable(Common_SourceData.Common_SourceData_MCFTemperatureZone_Data(),Table_SourceData_Common_MCFTemperatureZone[[#Headers],[Temperature zone]],0)</f>
        <v>1E-3</v>
      </c>
      <c r="J233" s="19" cm="1">
        <f t="array" ref="J233">Common_InputFunctions.Utility_DisplayArrayInTable(Common_SourceData.Common_SourceData_MCFTemperatureZone_Data(),Table_SourceData_Common_MCFTemperatureZone[[#Headers],[Temperature zone]],0)</f>
        <v>5.0000000000000001E-3</v>
      </c>
      <c r="K233" s="19" cm="1">
        <f t="array" ref="K233">Common_InputFunctions.Utility_DisplayArrayInTable(Common_SourceData.Common_SourceData_MCFTemperatureZone_Data(),Table_SourceData_Common_MCFTemperatureZone[[#Headers],[Temperature zone]],0)</f>
        <v>0.02</v>
      </c>
      <c r="L233" s="19" cm="1">
        <f t="array" ref="L233">Common_InputFunctions.Utility_DisplayArrayInTable(Common_SourceData.Common_SourceData_MCFTemperatureZone_Data(),Table_SourceData_Common_MCFTemperatureZone[[#Headers],[Temperature zone]],0)</f>
        <v>0.03</v>
      </c>
      <c r="M233" s="19" cm="1">
        <f t="array" ref="M233">Common_InputFunctions.Utility_DisplayArrayInTable(Common_SourceData.Common_SourceData_MCFTemperatureZone_Data(),Table_SourceData_Common_MCFTemperatureZone[[#Headers],[Temperature zone]],0)</f>
        <v>0.04</v>
      </c>
      <c r="N233" s="19" cm="1">
        <f t="array" ref="N233">Common_InputFunctions.Utility_DisplayArrayInTable(Common_SourceData.Common_SourceData_MCFTemperatureZone_Data(),Table_SourceData_Common_MCFTemperatureZone[[#Headers],[Temperature zone]],0)</f>
        <v>1.4999999999999999E-2</v>
      </c>
      <c r="O233" s="19" cm="1">
        <f t="array" ref="O233">Common_InputFunctions.Utility_DisplayArrayInTable(Common_SourceData.Common_SourceData_MCFTemperatureZone_Data(),Table_SourceData_Common_MCFTemperatureZone[[#Headers],[Temperature zone]],0)</f>
        <v>1.4999999999999999E-2</v>
      </c>
      <c r="P233" s="19" cm="1">
        <f t="array" ref="P233">Common_InputFunctions.Utility_DisplayArrayInTable(Common_SourceData.Common_SourceData_MCFTemperatureZone_Data(),Table_SourceData_Common_MCFTemperatureZone[[#Headers],[Temperature zone]],0)</f>
        <v>0</v>
      </c>
      <c r="Q233" s="19" cm="1">
        <f t="array" ref="Q233">Common_InputFunctions.Utility_DisplayArrayInTable(Common_SourceData.Common_SourceData_MCFTemperatureZone_Data(),Table_SourceData_Common_MCFTemperatureZone[[#Headers],[Temperature zone]],0)</f>
        <v>0</v>
      </c>
      <c r="R233" s="19" cm="1">
        <f t="array" ref="R233">Common_InputFunctions.Utility_DisplayArrayInTable(Common_SourceData.Common_SourceData_MCFTemperatureZone_Data(),Table_SourceData_Common_MCFTemperatureZone[[#Headers],[Temperature zone]],0)</f>
        <v>4.7000000000000002E-3</v>
      </c>
      <c r="S233" s="1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19" cm="1">
        <f t="array" ref="E234">Common_InputFunctions.Utility_DisplayArrayInTable(Common_SourceData.Common_SourceData_MCFTemperatureZone_Data(),Table_SourceData_Common_MCFTemperatureZone[[#Headers],[Temperature zone]],0)</f>
        <v>12</v>
      </c>
      <c r="F234" s="19" cm="1">
        <f t="array" ref="F234">Common_InputFunctions.Utility_DisplayArrayInTable(Common_SourceData.Common_SourceData_MCFTemperatureZone_Data(),Table_SourceData_Common_MCFTemperatureZone[[#Headers],[Temperature zone]],0)</f>
        <v>0.7</v>
      </c>
      <c r="G234" s="19" cm="1">
        <f t="array" ref="G234">Common_InputFunctions.Utility_DisplayArrayInTable(Common_SourceData.Common_SourceData_MCFTemperatureZone_Data(),Table_SourceData_Common_MCFTemperatureZone[[#Headers],[Temperature zone]],0)</f>
        <v>0.1</v>
      </c>
      <c r="H234" s="19" cm="1">
        <f t="array" ref="H234">Common_InputFunctions.Utility_DisplayArrayInTable(Common_SourceData.Common_SourceData_MCFTemperatureZone_Data(),Table_SourceData_Common_MCFTemperatureZone[[#Headers],[Temperature zone]],0)</f>
        <v>0.13</v>
      </c>
      <c r="I234" s="19" cm="1">
        <f t="array" ref="I234">Common_InputFunctions.Utility_DisplayArrayInTable(Common_SourceData.Common_SourceData_MCFTemperatureZone_Data(),Table_SourceData_Common_MCFTemperatureZone[[#Headers],[Temperature zone]],0)</f>
        <v>1E-3</v>
      </c>
      <c r="J234" s="19" cm="1">
        <f t="array" ref="J234">Common_InputFunctions.Utility_DisplayArrayInTable(Common_SourceData.Common_SourceData_MCFTemperatureZone_Data(),Table_SourceData_Common_MCFTemperatureZone[[#Headers],[Temperature zone]],0)</f>
        <v>5.0000000000000001E-3</v>
      </c>
      <c r="K234" s="19" cm="1">
        <f t="array" ref="K234">Common_InputFunctions.Utility_DisplayArrayInTable(Common_SourceData.Common_SourceData_MCFTemperatureZone_Data(),Table_SourceData_Common_MCFTemperatureZone[[#Headers],[Temperature zone]],0)</f>
        <v>0.02</v>
      </c>
      <c r="L234" s="19" cm="1">
        <f t="array" ref="L234">Common_InputFunctions.Utility_DisplayArrayInTable(Common_SourceData.Common_SourceData_MCFTemperatureZone_Data(),Table_SourceData_Common_MCFTemperatureZone[[#Headers],[Temperature zone]],0)</f>
        <v>0.03</v>
      </c>
      <c r="M234" s="19" cm="1">
        <f t="array" ref="M234">Common_InputFunctions.Utility_DisplayArrayInTable(Common_SourceData.Common_SourceData_MCFTemperatureZone_Data(),Table_SourceData_Common_MCFTemperatureZone[[#Headers],[Temperature zone]],0)</f>
        <v>0.04</v>
      </c>
      <c r="N234" s="19" cm="1">
        <f t="array" ref="N234">Common_InputFunctions.Utility_DisplayArrayInTable(Common_SourceData.Common_SourceData_MCFTemperatureZone_Data(),Table_SourceData_Common_MCFTemperatureZone[[#Headers],[Temperature zone]],0)</f>
        <v>1.4999999999999999E-2</v>
      </c>
      <c r="O234" s="19" cm="1">
        <f t="array" ref="O234">Common_InputFunctions.Utility_DisplayArrayInTable(Common_SourceData.Common_SourceData_MCFTemperatureZone_Data(),Table_SourceData_Common_MCFTemperatureZone[[#Headers],[Temperature zone]],0)</f>
        <v>1.4999999999999999E-2</v>
      </c>
      <c r="P234" s="19" cm="1">
        <f t="array" ref="P234">Common_InputFunctions.Utility_DisplayArrayInTable(Common_SourceData.Common_SourceData_MCFTemperatureZone_Data(),Table_SourceData_Common_MCFTemperatureZone[[#Headers],[Temperature zone]],0)</f>
        <v>0</v>
      </c>
      <c r="Q234" s="19" cm="1">
        <f t="array" ref="Q234">Common_InputFunctions.Utility_DisplayArrayInTable(Common_SourceData.Common_SourceData_MCFTemperatureZone_Data(),Table_SourceData_Common_MCFTemperatureZone[[#Headers],[Temperature zone]],0)</f>
        <v>0</v>
      </c>
      <c r="R234" s="19" cm="1">
        <f t="array" ref="R234">Common_InputFunctions.Utility_DisplayArrayInTable(Common_SourceData.Common_SourceData_MCFTemperatureZone_Data(),Table_SourceData_Common_MCFTemperatureZone[[#Headers],[Temperature zone]],0)</f>
        <v>4.7000000000000002E-3</v>
      </c>
      <c r="S234" s="1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19" cm="1">
        <f t="array" ref="E235">Common_InputFunctions.Utility_DisplayArrayInTable(Common_SourceData.Common_SourceData_MCFTemperatureZone_Data(),Table_SourceData_Common_MCFTemperatureZone[[#Headers],[Temperature zone]],0)</f>
        <v>13</v>
      </c>
      <c r="F235" s="19" cm="1">
        <f t="array" ref="F235">Common_InputFunctions.Utility_DisplayArrayInTable(Common_SourceData.Common_SourceData_MCFTemperatureZone_Data(),Table_SourceData_Common_MCFTemperatureZone[[#Headers],[Temperature zone]],0)</f>
        <v>0.71</v>
      </c>
      <c r="G235" s="19" cm="1">
        <f t="array" ref="G235">Common_InputFunctions.Utility_DisplayArrayInTable(Common_SourceData.Common_SourceData_MCFTemperatureZone_Data(),Table_SourceData_Common_MCFTemperatureZone[[#Headers],[Temperature zone]],0)</f>
        <v>0.1</v>
      </c>
      <c r="H235" s="19" cm="1">
        <f t="array" ref="H235">Common_InputFunctions.Utility_DisplayArrayInTable(Common_SourceData.Common_SourceData_MCFTemperatureZone_Data(),Table_SourceData_Common_MCFTemperatureZone[[#Headers],[Temperature zone]],0)</f>
        <v>0.14000000000000001</v>
      </c>
      <c r="I235" s="19" cm="1">
        <f t="array" ref="I235">Common_InputFunctions.Utility_DisplayArrayInTable(Common_SourceData.Common_SourceData_MCFTemperatureZone_Data(),Table_SourceData_Common_MCFTemperatureZone[[#Headers],[Temperature zone]],0)</f>
        <v>1E-3</v>
      </c>
      <c r="J235" s="19" cm="1">
        <f t="array" ref="J235">Common_InputFunctions.Utility_DisplayArrayInTable(Common_SourceData.Common_SourceData_MCFTemperatureZone_Data(),Table_SourceData_Common_MCFTemperatureZone[[#Headers],[Temperature zone]],0)</f>
        <v>5.0000000000000001E-3</v>
      </c>
      <c r="K235" s="19" cm="1">
        <f t="array" ref="K235">Common_InputFunctions.Utility_DisplayArrayInTable(Common_SourceData.Common_SourceData_MCFTemperatureZone_Data(),Table_SourceData_Common_MCFTemperatureZone[[#Headers],[Temperature zone]],0)</f>
        <v>0.02</v>
      </c>
      <c r="L235" s="19" cm="1">
        <f t="array" ref="L235">Common_InputFunctions.Utility_DisplayArrayInTable(Common_SourceData.Common_SourceData_MCFTemperatureZone_Data(),Table_SourceData_Common_MCFTemperatureZone[[#Headers],[Temperature zone]],0)</f>
        <v>0.03</v>
      </c>
      <c r="M235" s="19" cm="1">
        <f t="array" ref="M235">Common_InputFunctions.Utility_DisplayArrayInTable(Common_SourceData.Common_SourceData_MCFTemperatureZone_Data(),Table_SourceData_Common_MCFTemperatureZone[[#Headers],[Temperature zone]],0)</f>
        <v>0.04</v>
      </c>
      <c r="N235" s="19" cm="1">
        <f t="array" ref="N235">Common_InputFunctions.Utility_DisplayArrayInTable(Common_SourceData.Common_SourceData_MCFTemperatureZone_Data(),Table_SourceData_Common_MCFTemperatureZone[[#Headers],[Temperature zone]],0)</f>
        <v>1.4999999999999999E-2</v>
      </c>
      <c r="O235" s="19" cm="1">
        <f t="array" ref="O235">Common_InputFunctions.Utility_DisplayArrayInTable(Common_SourceData.Common_SourceData_MCFTemperatureZone_Data(),Table_SourceData_Common_MCFTemperatureZone[[#Headers],[Temperature zone]],0)</f>
        <v>1.4999999999999999E-2</v>
      </c>
      <c r="P235" s="19" cm="1">
        <f t="array" ref="P235">Common_InputFunctions.Utility_DisplayArrayInTable(Common_SourceData.Common_SourceData_MCFTemperatureZone_Data(),Table_SourceData_Common_MCFTemperatureZone[[#Headers],[Temperature zone]],0)</f>
        <v>0</v>
      </c>
      <c r="Q235" s="19" cm="1">
        <f t="array" ref="Q235">Common_InputFunctions.Utility_DisplayArrayInTable(Common_SourceData.Common_SourceData_MCFTemperatureZone_Data(),Table_SourceData_Common_MCFTemperatureZone[[#Headers],[Temperature zone]],0)</f>
        <v>0</v>
      </c>
      <c r="R235" s="19" cm="1">
        <f t="array" ref="R235">Common_InputFunctions.Utility_DisplayArrayInTable(Common_SourceData.Common_SourceData_MCFTemperatureZone_Data(),Table_SourceData_Common_MCFTemperatureZone[[#Headers],[Temperature zone]],0)</f>
        <v>4.7000000000000002E-3</v>
      </c>
      <c r="S235" s="1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19" cm="1">
        <f t="array" ref="E236">Common_InputFunctions.Utility_DisplayArrayInTable(Common_SourceData.Common_SourceData_MCFTemperatureZone_Data(),Table_SourceData_Common_MCFTemperatureZone[[#Headers],[Temperature zone]],0)</f>
        <v>14</v>
      </c>
      <c r="F236" s="19" cm="1">
        <f t="array" ref="F236">Common_InputFunctions.Utility_DisplayArrayInTable(Common_SourceData.Common_SourceData_MCFTemperatureZone_Data(),Table_SourceData_Common_MCFTemperatureZone[[#Headers],[Temperature zone]],0)</f>
        <v>0.73</v>
      </c>
      <c r="G236" s="19" cm="1">
        <f t="array" ref="G236">Common_InputFunctions.Utility_DisplayArrayInTable(Common_SourceData.Common_SourceData_MCFTemperatureZone_Data(),Table_SourceData_Common_MCFTemperatureZone[[#Headers],[Temperature zone]],0)</f>
        <v>0.1</v>
      </c>
      <c r="H236" s="19" cm="1">
        <f t="array" ref="H236">Common_InputFunctions.Utility_DisplayArrayInTable(Common_SourceData.Common_SourceData_MCFTemperatureZone_Data(),Table_SourceData_Common_MCFTemperatureZone[[#Headers],[Temperature zone]],0)</f>
        <v>0.15</v>
      </c>
      <c r="I236" s="19" cm="1">
        <f t="array" ref="I236">Common_InputFunctions.Utility_DisplayArrayInTable(Common_SourceData.Common_SourceData_MCFTemperatureZone_Data(),Table_SourceData_Common_MCFTemperatureZone[[#Headers],[Temperature zone]],0)</f>
        <v>1E-3</v>
      </c>
      <c r="J236" s="19" cm="1">
        <f t="array" ref="J236">Common_InputFunctions.Utility_DisplayArrayInTable(Common_SourceData.Common_SourceData_MCFTemperatureZone_Data(),Table_SourceData_Common_MCFTemperatureZone[[#Headers],[Temperature zone]],0)</f>
        <v>5.0000000000000001E-3</v>
      </c>
      <c r="K236" s="19" cm="1">
        <f t="array" ref="K236">Common_InputFunctions.Utility_DisplayArrayInTable(Common_SourceData.Common_SourceData_MCFTemperatureZone_Data(),Table_SourceData_Common_MCFTemperatureZone[[#Headers],[Temperature zone]],0)</f>
        <v>0.02</v>
      </c>
      <c r="L236" s="19" cm="1">
        <f t="array" ref="L236">Common_InputFunctions.Utility_DisplayArrayInTable(Common_SourceData.Common_SourceData_MCFTemperatureZone_Data(),Table_SourceData_Common_MCFTemperatureZone[[#Headers],[Temperature zone]],0)</f>
        <v>0.03</v>
      </c>
      <c r="M236" s="19" cm="1">
        <f t="array" ref="M236">Common_InputFunctions.Utility_DisplayArrayInTable(Common_SourceData.Common_SourceData_MCFTemperatureZone_Data(),Table_SourceData_Common_MCFTemperatureZone[[#Headers],[Temperature zone]],0)</f>
        <v>0.04</v>
      </c>
      <c r="N236" s="19" cm="1">
        <f t="array" ref="N236">Common_InputFunctions.Utility_DisplayArrayInTable(Common_SourceData.Common_SourceData_MCFTemperatureZone_Data(),Table_SourceData_Common_MCFTemperatureZone[[#Headers],[Temperature zone]],0)</f>
        <v>1.4999999999999999E-2</v>
      </c>
      <c r="O236" s="19" cm="1">
        <f t="array" ref="O236">Common_InputFunctions.Utility_DisplayArrayInTable(Common_SourceData.Common_SourceData_MCFTemperatureZone_Data(),Table_SourceData_Common_MCFTemperatureZone[[#Headers],[Temperature zone]],0)</f>
        <v>1.4999999999999999E-2</v>
      </c>
      <c r="P236" s="19" cm="1">
        <f t="array" ref="P236">Common_InputFunctions.Utility_DisplayArrayInTable(Common_SourceData.Common_SourceData_MCFTemperatureZone_Data(),Table_SourceData_Common_MCFTemperatureZone[[#Headers],[Temperature zone]],0)</f>
        <v>0</v>
      </c>
      <c r="Q236" s="19" cm="1">
        <f t="array" ref="Q236">Common_InputFunctions.Utility_DisplayArrayInTable(Common_SourceData.Common_SourceData_MCFTemperatureZone_Data(),Table_SourceData_Common_MCFTemperatureZone[[#Headers],[Temperature zone]],0)</f>
        <v>0</v>
      </c>
      <c r="R236" s="19" cm="1">
        <f t="array" ref="R236">Common_InputFunctions.Utility_DisplayArrayInTable(Common_SourceData.Common_SourceData_MCFTemperatureZone_Data(),Table_SourceData_Common_MCFTemperatureZone[[#Headers],[Temperature zone]],0)</f>
        <v>4.7000000000000002E-3</v>
      </c>
      <c r="S236" s="1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19" cm="1">
        <f t="array" ref="E237">Common_InputFunctions.Utility_DisplayArrayInTable(Common_SourceData.Common_SourceData_MCFTemperatureZone_Data(),Table_SourceData_Common_MCFTemperatureZone[[#Headers],[Temperature zone]],0)</f>
        <v>15</v>
      </c>
      <c r="F237" s="19" cm="1">
        <f t="array" ref="F237">Common_InputFunctions.Utility_DisplayArrayInTable(Common_SourceData.Common_SourceData_MCFTemperatureZone_Data(),Table_SourceData_Common_MCFTemperatureZone[[#Headers],[Temperature zone]],0)</f>
        <v>0.74</v>
      </c>
      <c r="G237" s="19" cm="1">
        <f t="array" ref="G237">Common_InputFunctions.Utility_DisplayArrayInTable(Common_SourceData.Common_SourceData_MCFTemperatureZone_Data(),Table_SourceData_Common_MCFTemperatureZone[[#Headers],[Temperature zone]],0)</f>
        <v>0.1</v>
      </c>
      <c r="H237" s="19" cm="1">
        <f t="array" ref="H237">Common_InputFunctions.Utility_DisplayArrayInTable(Common_SourceData.Common_SourceData_MCFTemperatureZone_Data(),Table_SourceData_Common_MCFTemperatureZone[[#Headers],[Temperature zone]],0)</f>
        <v>0.17</v>
      </c>
      <c r="I237" s="19" cm="1">
        <f t="array" ref="I237">Common_InputFunctions.Utility_DisplayArrayInTable(Common_SourceData.Common_SourceData_MCFTemperatureZone_Data(),Table_SourceData_Common_MCFTemperatureZone[[#Headers],[Temperature zone]],0)</f>
        <v>5.0000000000000001E-3</v>
      </c>
      <c r="J237" s="19" cm="1">
        <f t="array" ref="J237">Common_InputFunctions.Utility_DisplayArrayInTable(Common_SourceData.Common_SourceData_MCFTemperatureZone_Data(),Table_SourceData_Common_MCFTemperatureZone[[#Headers],[Temperature zone]],0)</f>
        <v>0.01</v>
      </c>
      <c r="K237" s="19" cm="1">
        <f t="array" ref="K237">Common_InputFunctions.Utility_DisplayArrayInTable(Common_SourceData.Common_SourceData_MCFTemperatureZone_Data(),Table_SourceData_Common_MCFTemperatureZone[[#Headers],[Temperature zone]],0)</f>
        <v>0.02</v>
      </c>
      <c r="L237" s="19" cm="1">
        <f t="array" ref="L237">Common_InputFunctions.Utility_DisplayArrayInTable(Common_SourceData.Common_SourceData_MCFTemperatureZone_Data(),Table_SourceData_Common_MCFTemperatureZone[[#Headers],[Temperature zone]],0)</f>
        <v>0.03</v>
      </c>
      <c r="M237" s="19" cm="1">
        <f t="array" ref="M237">Common_InputFunctions.Utility_DisplayArrayInTable(Common_SourceData.Common_SourceData_MCFTemperatureZone_Data(),Table_SourceData_Common_MCFTemperatureZone[[#Headers],[Temperature zone]],0)</f>
        <v>0.04</v>
      </c>
      <c r="N237" s="19" cm="1">
        <f t="array" ref="N237">Common_InputFunctions.Utility_DisplayArrayInTable(Common_SourceData.Common_SourceData_MCFTemperatureZone_Data(),Table_SourceData_Common_MCFTemperatureZone[[#Headers],[Temperature zone]],0)</f>
        <v>1.4999999999999999E-2</v>
      </c>
      <c r="O237" s="19" cm="1">
        <f t="array" ref="O237">Common_InputFunctions.Utility_DisplayArrayInTable(Common_SourceData.Common_SourceData_MCFTemperatureZone_Data(),Table_SourceData_Common_MCFTemperatureZone[[#Headers],[Temperature zone]],0)</f>
        <v>1.4999999999999999E-2</v>
      </c>
      <c r="P237" s="19" cm="1">
        <f t="array" ref="P237">Common_InputFunctions.Utility_DisplayArrayInTable(Common_SourceData.Common_SourceData_MCFTemperatureZone_Data(),Table_SourceData_Common_MCFTemperatureZone[[#Headers],[Temperature zone]],0)</f>
        <v>0</v>
      </c>
      <c r="Q237" s="19" cm="1">
        <f t="array" ref="Q237">Common_InputFunctions.Utility_DisplayArrayInTable(Common_SourceData.Common_SourceData_MCFTemperatureZone_Data(),Table_SourceData_Common_MCFTemperatureZone[[#Headers],[Temperature zone]],0)</f>
        <v>0</v>
      </c>
      <c r="R237" s="19" cm="1">
        <f t="array" ref="R237">Common_InputFunctions.Utility_DisplayArrayInTable(Common_SourceData.Common_SourceData_MCFTemperatureZone_Data(),Table_SourceData_Common_MCFTemperatureZone[[#Headers],[Temperature zone]],0)</f>
        <v>4.7000000000000002E-3</v>
      </c>
      <c r="S237" s="1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19" cm="1">
        <f t="array" ref="E238">Common_InputFunctions.Utility_DisplayArrayInTable(Common_SourceData.Common_SourceData_MCFTemperatureZone_Data(),Table_SourceData_Common_MCFTemperatureZone[[#Headers],[Temperature zone]],0)</f>
        <v>16</v>
      </c>
      <c r="F238" s="19" cm="1">
        <f t="array" ref="F238">Common_InputFunctions.Utility_DisplayArrayInTable(Common_SourceData.Common_SourceData_MCFTemperatureZone_Data(),Table_SourceData_Common_MCFTemperatureZone[[#Headers],[Temperature zone]],0)</f>
        <v>0.75</v>
      </c>
      <c r="G238" s="19" cm="1">
        <f t="array" ref="G238">Common_InputFunctions.Utility_DisplayArrayInTable(Common_SourceData.Common_SourceData_MCFTemperatureZone_Data(),Table_SourceData_Common_MCFTemperatureZone[[#Headers],[Temperature zone]],0)</f>
        <v>0.1</v>
      </c>
      <c r="H238" s="19" cm="1">
        <f t="array" ref="H238">Common_InputFunctions.Utility_DisplayArrayInTable(Common_SourceData.Common_SourceData_MCFTemperatureZone_Data(),Table_SourceData_Common_MCFTemperatureZone[[#Headers],[Temperature zone]],0)</f>
        <v>0.18</v>
      </c>
      <c r="I238" s="19" cm="1">
        <f t="array" ref="I238">Common_InputFunctions.Utility_DisplayArrayInTable(Common_SourceData.Common_SourceData_MCFTemperatureZone_Data(),Table_SourceData_Common_MCFTemperatureZone[[#Headers],[Temperature zone]],0)</f>
        <v>5.0000000000000001E-3</v>
      </c>
      <c r="J238" s="19" cm="1">
        <f t="array" ref="J238">Common_InputFunctions.Utility_DisplayArrayInTable(Common_SourceData.Common_SourceData_MCFTemperatureZone_Data(),Table_SourceData_Common_MCFTemperatureZone[[#Headers],[Temperature zone]],0)</f>
        <v>0.01</v>
      </c>
      <c r="K238" s="19" cm="1">
        <f t="array" ref="K238">Common_InputFunctions.Utility_DisplayArrayInTable(Common_SourceData.Common_SourceData_MCFTemperatureZone_Data(),Table_SourceData_Common_MCFTemperatureZone[[#Headers],[Temperature zone]],0)</f>
        <v>0.02</v>
      </c>
      <c r="L238" s="19" cm="1">
        <f t="array" ref="L238">Common_InputFunctions.Utility_DisplayArrayInTable(Common_SourceData.Common_SourceData_MCFTemperatureZone_Data(),Table_SourceData_Common_MCFTemperatureZone[[#Headers],[Temperature zone]],0)</f>
        <v>0.03</v>
      </c>
      <c r="M238" s="19" cm="1">
        <f t="array" ref="M238">Common_InputFunctions.Utility_DisplayArrayInTable(Common_SourceData.Common_SourceData_MCFTemperatureZone_Data(),Table_SourceData_Common_MCFTemperatureZone[[#Headers],[Temperature zone]],0)</f>
        <v>0.04</v>
      </c>
      <c r="N238" s="19" cm="1">
        <f t="array" ref="N238">Common_InputFunctions.Utility_DisplayArrayInTable(Common_SourceData.Common_SourceData_MCFTemperatureZone_Data(),Table_SourceData_Common_MCFTemperatureZone[[#Headers],[Temperature zone]],0)</f>
        <v>1.4999999999999999E-2</v>
      </c>
      <c r="O238" s="19" cm="1">
        <f t="array" ref="O238">Common_InputFunctions.Utility_DisplayArrayInTable(Common_SourceData.Common_SourceData_MCFTemperatureZone_Data(),Table_SourceData_Common_MCFTemperatureZone[[#Headers],[Temperature zone]],0)</f>
        <v>1.4999999999999999E-2</v>
      </c>
      <c r="P238" s="19" cm="1">
        <f t="array" ref="P238">Common_InputFunctions.Utility_DisplayArrayInTable(Common_SourceData.Common_SourceData_MCFTemperatureZone_Data(),Table_SourceData_Common_MCFTemperatureZone[[#Headers],[Temperature zone]],0)</f>
        <v>0</v>
      </c>
      <c r="Q238" s="19" cm="1">
        <f t="array" ref="Q238">Common_InputFunctions.Utility_DisplayArrayInTable(Common_SourceData.Common_SourceData_MCFTemperatureZone_Data(),Table_SourceData_Common_MCFTemperatureZone[[#Headers],[Temperature zone]],0)</f>
        <v>0</v>
      </c>
      <c r="R238" s="19" cm="1">
        <f t="array" ref="R238">Common_InputFunctions.Utility_DisplayArrayInTable(Common_SourceData.Common_SourceData_MCFTemperatureZone_Data(),Table_SourceData_Common_MCFTemperatureZone[[#Headers],[Temperature zone]],0)</f>
        <v>4.7000000000000002E-3</v>
      </c>
      <c r="S238" s="1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19" cm="1">
        <f t="array" ref="E239">Common_InputFunctions.Utility_DisplayArrayInTable(Common_SourceData.Common_SourceData_MCFTemperatureZone_Data(),Table_SourceData_Common_MCFTemperatureZone[[#Headers],[Temperature zone]],0)</f>
        <v>17</v>
      </c>
      <c r="F239" s="19" cm="1">
        <f t="array" ref="F239">Common_InputFunctions.Utility_DisplayArrayInTable(Common_SourceData.Common_SourceData_MCFTemperatureZone_Data(),Table_SourceData_Common_MCFTemperatureZone[[#Headers],[Temperature zone]],0)</f>
        <v>0.76</v>
      </c>
      <c r="G239" s="19" cm="1">
        <f t="array" ref="G239">Common_InputFunctions.Utility_DisplayArrayInTable(Common_SourceData.Common_SourceData_MCFTemperatureZone_Data(),Table_SourceData_Common_MCFTemperatureZone[[#Headers],[Temperature zone]],0)</f>
        <v>0.1</v>
      </c>
      <c r="H239" s="19" cm="1">
        <f t="array" ref="H239">Common_InputFunctions.Utility_DisplayArrayInTable(Common_SourceData.Common_SourceData_MCFTemperatureZone_Data(),Table_SourceData_Common_MCFTemperatureZone[[#Headers],[Temperature zone]],0)</f>
        <v>0.2</v>
      </c>
      <c r="I239" s="19" cm="1">
        <f t="array" ref="I239">Common_InputFunctions.Utility_DisplayArrayInTable(Common_SourceData.Common_SourceData_MCFTemperatureZone_Data(),Table_SourceData_Common_MCFTemperatureZone[[#Headers],[Temperature zone]],0)</f>
        <v>5.0000000000000001E-3</v>
      </c>
      <c r="J239" s="19" cm="1">
        <f t="array" ref="J239">Common_InputFunctions.Utility_DisplayArrayInTable(Common_SourceData.Common_SourceData_MCFTemperatureZone_Data(),Table_SourceData_Common_MCFTemperatureZone[[#Headers],[Temperature zone]],0)</f>
        <v>0.01</v>
      </c>
      <c r="K239" s="19" cm="1">
        <f t="array" ref="K239">Common_InputFunctions.Utility_DisplayArrayInTable(Common_SourceData.Common_SourceData_MCFTemperatureZone_Data(),Table_SourceData_Common_MCFTemperatureZone[[#Headers],[Temperature zone]],0)</f>
        <v>0.02</v>
      </c>
      <c r="L239" s="19" cm="1">
        <f t="array" ref="L239">Common_InputFunctions.Utility_DisplayArrayInTable(Common_SourceData.Common_SourceData_MCFTemperatureZone_Data(),Table_SourceData_Common_MCFTemperatureZone[[#Headers],[Temperature zone]],0)</f>
        <v>0.03</v>
      </c>
      <c r="M239" s="19" cm="1">
        <f t="array" ref="M239">Common_InputFunctions.Utility_DisplayArrayInTable(Common_SourceData.Common_SourceData_MCFTemperatureZone_Data(),Table_SourceData_Common_MCFTemperatureZone[[#Headers],[Temperature zone]],0)</f>
        <v>0.04</v>
      </c>
      <c r="N239" s="19" cm="1">
        <f t="array" ref="N239">Common_InputFunctions.Utility_DisplayArrayInTable(Common_SourceData.Common_SourceData_MCFTemperatureZone_Data(),Table_SourceData_Common_MCFTemperatureZone[[#Headers],[Temperature zone]],0)</f>
        <v>1.4999999999999999E-2</v>
      </c>
      <c r="O239" s="19" cm="1">
        <f t="array" ref="O239">Common_InputFunctions.Utility_DisplayArrayInTable(Common_SourceData.Common_SourceData_MCFTemperatureZone_Data(),Table_SourceData_Common_MCFTemperatureZone[[#Headers],[Temperature zone]],0)</f>
        <v>1.4999999999999999E-2</v>
      </c>
      <c r="P239" s="19" cm="1">
        <f t="array" ref="P239">Common_InputFunctions.Utility_DisplayArrayInTable(Common_SourceData.Common_SourceData_MCFTemperatureZone_Data(),Table_SourceData_Common_MCFTemperatureZone[[#Headers],[Temperature zone]],0)</f>
        <v>0</v>
      </c>
      <c r="Q239" s="19" cm="1">
        <f t="array" ref="Q239">Common_InputFunctions.Utility_DisplayArrayInTable(Common_SourceData.Common_SourceData_MCFTemperatureZone_Data(),Table_SourceData_Common_MCFTemperatureZone[[#Headers],[Temperature zone]],0)</f>
        <v>0</v>
      </c>
      <c r="R239" s="19" cm="1">
        <f t="array" ref="R239">Common_InputFunctions.Utility_DisplayArrayInTable(Common_SourceData.Common_SourceData_MCFTemperatureZone_Data(),Table_SourceData_Common_MCFTemperatureZone[[#Headers],[Temperature zone]],0)</f>
        <v>4.7000000000000002E-3</v>
      </c>
      <c r="S239" s="1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19" cm="1">
        <f t="array" ref="E240">Common_InputFunctions.Utility_DisplayArrayInTable(Common_SourceData.Common_SourceData_MCFTemperatureZone_Data(),Table_SourceData_Common_MCFTemperatureZone[[#Headers],[Temperature zone]],0)</f>
        <v>18</v>
      </c>
      <c r="F240" s="19" cm="1">
        <f t="array" ref="F240">Common_InputFunctions.Utility_DisplayArrayInTable(Common_SourceData.Common_SourceData_MCFTemperatureZone_Data(),Table_SourceData_Common_MCFTemperatureZone[[#Headers],[Temperature zone]],0)</f>
        <v>0.77</v>
      </c>
      <c r="G240" s="19" cm="1">
        <f t="array" ref="G240">Common_InputFunctions.Utility_DisplayArrayInTable(Common_SourceData.Common_SourceData_MCFTemperatureZone_Data(),Table_SourceData_Common_MCFTemperatureZone[[#Headers],[Temperature zone]],0)</f>
        <v>0.1</v>
      </c>
      <c r="H240" s="19" cm="1">
        <f t="array" ref="H240">Common_InputFunctions.Utility_DisplayArrayInTable(Common_SourceData.Common_SourceData_MCFTemperatureZone_Data(),Table_SourceData_Common_MCFTemperatureZone[[#Headers],[Temperature zone]],0)</f>
        <v>0.22</v>
      </c>
      <c r="I240" s="19" cm="1">
        <f t="array" ref="I240">Common_InputFunctions.Utility_DisplayArrayInTable(Common_SourceData.Common_SourceData_MCFTemperatureZone_Data(),Table_SourceData_Common_MCFTemperatureZone[[#Headers],[Temperature zone]],0)</f>
        <v>5.0000000000000001E-3</v>
      </c>
      <c r="J240" s="19" cm="1">
        <f t="array" ref="J240">Common_InputFunctions.Utility_DisplayArrayInTable(Common_SourceData.Common_SourceData_MCFTemperatureZone_Data(),Table_SourceData_Common_MCFTemperatureZone[[#Headers],[Temperature zone]],0)</f>
        <v>0.01</v>
      </c>
      <c r="K240" s="19" cm="1">
        <f t="array" ref="K240">Common_InputFunctions.Utility_DisplayArrayInTable(Common_SourceData.Common_SourceData_MCFTemperatureZone_Data(),Table_SourceData_Common_MCFTemperatureZone[[#Headers],[Temperature zone]],0)</f>
        <v>0.02</v>
      </c>
      <c r="L240" s="19" cm="1">
        <f t="array" ref="L240">Common_InputFunctions.Utility_DisplayArrayInTable(Common_SourceData.Common_SourceData_MCFTemperatureZone_Data(),Table_SourceData_Common_MCFTemperatureZone[[#Headers],[Temperature zone]],0)</f>
        <v>0.03</v>
      </c>
      <c r="M240" s="19" cm="1">
        <f t="array" ref="M240">Common_InputFunctions.Utility_DisplayArrayInTable(Common_SourceData.Common_SourceData_MCFTemperatureZone_Data(),Table_SourceData_Common_MCFTemperatureZone[[#Headers],[Temperature zone]],0)</f>
        <v>0.04</v>
      </c>
      <c r="N240" s="19" cm="1">
        <f t="array" ref="N240">Common_InputFunctions.Utility_DisplayArrayInTable(Common_SourceData.Common_SourceData_MCFTemperatureZone_Data(),Table_SourceData_Common_MCFTemperatureZone[[#Headers],[Temperature zone]],0)</f>
        <v>1.4999999999999999E-2</v>
      </c>
      <c r="O240" s="19" cm="1">
        <f t="array" ref="O240">Common_InputFunctions.Utility_DisplayArrayInTable(Common_SourceData.Common_SourceData_MCFTemperatureZone_Data(),Table_SourceData_Common_MCFTemperatureZone[[#Headers],[Temperature zone]],0)</f>
        <v>1.4999999999999999E-2</v>
      </c>
      <c r="P240" s="19" cm="1">
        <f t="array" ref="P240">Common_InputFunctions.Utility_DisplayArrayInTable(Common_SourceData.Common_SourceData_MCFTemperatureZone_Data(),Table_SourceData_Common_MCFTemperatureZone[[#Headers],[Temperature zone]],0)</f>
        <v>0</v>
      </c>
      <c r="Q240" s="19" cm="1">
        <f t="array" ref="Q240">Common_InputFunctions.Utility_DisplayArrayInTable(Common_SourceData.Common_SourceData_MCFTemperatureZone_Data(),Table_SourceData_Common_MCFTemperatureZone[[#Headers],[Temperature zone]],0)</f>
        <v>0</v>
      </c>
      <c r="R240" s="19" cm="1">
        <f t="array" ref="R240">Common_InputFunctions.Utility_DisplayArrayInTable(Common_SourceData.Common_SourceData_MCFTemperatureZone_Data(),Table_SourceData_Common_MCFTemperatureZone[[#Headers],[Temperature zone]],0)</f>
        <v>4.7000000000000002E-3</v>
      </c>
      <c r="S240" s="1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19" cm="1">
        <f t="array" ref="E241">Common_InputFunctions.Utility_DisplayArrayInTable(Common_SourceData.Common_SourceData_MCFTemperatureZone_Data(),Table_SourceData_Common_MCFTemperatureZone[[#Headers],[Temperature zone]],0)</f>
        <v>19</v>
      </c>
      <c r="F241" s="19" cm="1">
        <f t="array" ref="F241">Common_InputFunctions.Utility_DisplayArrayInTable(Common_SourceData.Common_SourceData_MCFTemperatureZone_Data(),Table_SourceData_Common_MCFTemperatureZone[[#Headers],[Temperature zone]],0)</f>
        <v>0.77</v>
      </c>
      <c r="G241" s="19" cm="1">
        <f t="array" ref="G241">Common_InputFunctions.Utility_DisplayArrayInTable(Common_SourceData.Common_SourceData_MCFTemperatureZone_Data(),Table_SourceData_Common_MCFTemperatureZone[[#Headers],[Temperature zone]],0)</f>
        <v>0.1</v>
      </c>
      <c r="H241" s="19" cm="1">
        <f t="array" ref="H241">Common_InputFunctions.Utility_DisplayArrayInTable(Common_SourceData.Common_SourceData_MCFTemperatureZone_Data(),Table_SourceData_Common_MCFTemperatureZone[[#Headers],[Temperature zone]],0)</f>
        <v>0.24</v>
      </c>
      <c r="I241" s="19" cm="1">
        <f t="array" ref="I241">Common_InputFunctions.Utility_DisplayArrayInTable(Common_SourceData.Common_SourceData_MCFTemperatureZone_Data(),Table_SourceData_Common_MCFTemperatureZone[[#Headers],[Temperature zone]],0)</f>
        <v>5.0000000000000001E-3</v>
      </c>
      <c r="J241" s="19" cm="1">
        <f t="array" ref="J241">Common_InputFunctions.Utility_DisplayArrayInTable(Common_SourceData.Common_SourceData_MCFTemperatureZone_Data(),Table_SourceData_Common_MCFTemperatureZone[[#Headers],[Temperature zone]],0)</f>
        <v>0.01</v>
      </c>
      <c r="K241" s="19" cm="1">
        <f t="array" ref="K241">Common_InputFunctions.Utility_DisplayArrayInTable(Common_SourceData.Common_SourceData_MCFTemperatureZone_Data(),Table_SourceData_Common_MCFTemperatureZone[[#Headers],[Temperature zone]],0)</f>
        <v>0.02</v>
      </c>
      <c r="L241" s="19" cm="1">
        <f t="array" ref="L241">Common_InputFunctions.Utility_DisplayArrayInTable(Common_SourceData.Common_SourceData_MCFTemperatureZone_Data(),Table_SourceData_Common_MCFTemperatureZone[[#Headers],[Temperature zone]],0)</f>
        <v>0.03</v>
      </c>
      <c r="M241" s="19" cm="1">
        <f t="array" ref="M241">Common_InputFunctions.Utility_DisplayArrayInTable(Common_SourceData.Common_SourceData_MCFTemperatureZone_Data(),Table_SourceData_Common_MCFTemperatureZone[[#Headers],[Temperature zone]],0)</f>
        <v>0.04</v>
      </c>
      <c r="N241" s="19" cm="1">
        <f t="array" ref="N241">Common_InputFunctions.Utility_DisplayArrayInTable(Common_SourceData.Common_SourceData_MCFTemperatureZone_Data(),Table_SourceData_Common_MCFTemperatureZone[[#Headers],[Temperature zone]],0)</f>
        <v>1.4999999999999999E-2</v>
      </c>
      <c r="O241" s="19" cm="1">
        <f t="array" ref="O241">Common_InputFunctions.Utility_DisplayArrayInTable(Common_SourceData.Common_SourceData_MCFTemperatureZone_Data(),Table_SourceData_Common_MCFTemperatureZone[[#Headers],[Temperature zone]],0)</f>
        <v>1.4999999999999999E-2</v>
      </c>
      <c r="P241" s="19" cm="1">
        <f t="array" ref="P241">Common_InputFunctions.Utility_DisplayArrayInTable(Common_SourceData.Common_SourceData_MCFTemperatureZone_Data(),Table_SourceData_Common_MCFTemperatureZone[[#Headers],[Temperature zone]],0)</f>
        <v>0</v>
      </c>
      <c r="Q241" s="19" cm="1">
        <f t="array" ref="Q241">Common_InputFunctions.Utility_DisplayArrayInTable(Common_SourceData.Common_SourceData_MCFTemperatureZone_Data(),Table_SourceData_Common_MCFTemperatureZone[[#Headers],[Temperature zone]],0)</f>
        <v>0</v>
      </c>
      <c r="R241" s="19" cm="1">
        <f t="array" ref="R241">Common_InputFunctions.Utility_DisplayArrayInTable(Common_SourceData.Common_SourceData_MCFTemperatureZone_Data(),Table_SourceData_Common_MCFTemperatureZone[[#Headers],[Temperature zone]],0)</f>
        <v>4.7000000000000002E-3</v>
      </c>
      <c r="S241" s="1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19" cm="1">
        <f t="array" ref="E242">Common_InputFunctions.Utility_DisplayArrayInTable(Common_SourceData.Common_SourceData_MCFTemperatureZone_Data(),Table_SourceData_Common_MCFTemperatureZone[[#Headers],[Temperature zone]],0)</f>
        <v>20</v>
      </c>
      <c r="F242" s="19" cm="1">
        <f t="array" ref="F242">Common_InputFunctions.Utility_DisplayArrayInTable(Common_SourceData.Common_SourceData_MCFTemperatureZone_Data(),Table_SourceData_Common_MCFTemperatureZone[[#Headers],[Temperature zone]],0)</f>
        <v>0.78</v>
      </c>
      <c r="G242" s="19" cm="1">
        <f t="array" ref="G242">Common_InputFunctions.Utility_DisplayArrayInTable(Common_SourceData.Common_SourceData_MCFTemperatureZone_Data(),Table_SourceData_Common_MCFTemperatureZone[[#Headers],[Temperature zone]],0)</f>
        <v>0.1</v>
      </c>
      <c r="H242" s="19" cm="1">
        <f t="array" ref="H242">Common_InputFunctions.Utility_DisplayArrayInTable(Common_SourceData.Common_SourceData_MCFTemperatureZone_Data(),Table_SourceData_Common_MCFTemperatureZone[[#Headers],[Temperature zone]],0)</f>
        <v>0.26</v>
      </c>
      <c r="I242" s="19" cm="1">
        <f t="array" ref="I242">Common_InputFunctions.Utility_DisplayArrayInTable(Common_SourceData.Common_SourceData_MCFTemperatureZone_Data(),Table_SourceData_Common_MCFTemperatureZone[[#Headers],[Temperature zone]],0)</f>
        <v>5.0000000000000001E-3</v>
      </c>
      <c r="J242" s="19" cm="1">
        <f t="array" ref="J242">Common_InputFunctions.Utility_DisplayArrayInTable(Common_SourceData.Common_SourceData_MCFTemperatureZone_Data(),Table_SourceData_Common_MCFTemperatureZone[[#Headers],[Temperature zone]],0)</f>
        <v>0.01</v>
      </c>
      <c r="K242" s="19" cm="1">
        <f t="array" ref="K242">Common_InputFunctions.Utility_DisplayArrayInTable(Common_SourceData.Common_SourceData_MCFTemperatureZone_Data(),Table_SourceData_Common_MCFTemperatureZone[[#Headers],[Temperature zone]],0)</f>
        <v>0.02</v>
      </c>
      <c r="L242" s="19" cm="1">
        <f t="array" ref="L242">Common_InputFunctions.Utility_DisplayArrayInTable(Common_SourceData.Common_SourceData_MCFTemperatureZone_Data(),Table_SourceData_Common_MCFTemperatureZone[[#Headers],[Temperature zone]],0)</f>
        <v>0.03</v>
      </c>
      <c r="M242" s="19" cm="1">
        <f t="array" ref="M242">Common_InputFunctions.Utility_DisplayArrayInTable(Common_SourceData.Common_SourceData_MCFTemperatureZone_Data(),Table_SourceData_Common_MCFTemperatureZone[[#Headers],[Temperature zone]],0)</f>
        <v>0.04</v>
      </c>
      <c r="N242" s="19" cm="1">
        <f t="array" ref="N242">Common_InputFunctions.Utility_DisplayArrayInTable(Common_SourceData.Common_SourceData_MCFTemperatureZone_Data(),Table_SourceData_Common_MCFTemperatureZone[[#Headers],[Temperature zone]],0)</f>
        <v>1.4999999999999999E-2</v>
      </c>
      <c r="O242" s="19" cm="1">
        <f t="array" ref="O242">Common_InputFunctions.Utility_DisplayArrayInTable(Common_SourceData.Common_SourceData_MCFTemperatureZone_Data(),Table_SourceData_Common_MCFTemperatureZone[[#Headers],[Temperature zone]],0)</f>
        <v>1.4999999999999999E-2</v>
      </c>
      <c r="P242" s="19" cm="1">
        <f t="array" ref="P242">Common_InputFunctions.Utility_DisplayArrayInTable(Common_SourceData.Common_SourceData_MCFTemperatureZone_Data(),Table_SourceData_Common_MCFTemperatureZone[[#Headers],[Temperature zone]],0)</f>
        <v>0</v>
      </c>
      <c r="Q242" s="19" cm="1">
        <f t="array" ref="Q242">Common_InputFunctions.Utility_DisplayArrayInTable(Common_SourceData.Common_SourceData_MCFTemperatureZone_Data(),Table_SourceData_Common_MCFTemperatureZone[[#Headers],[Temperature zone]],0)</f>
        <v>0</v>
      </c>
      <c r="R242" s="19" cm="1">
        <f t="array" ref="R242">Common_InputFunctions.Utility_DisplayArrayInTable(Common_SourceData.Common_SourceData_MCFTemperatureZone_Data(),Table_SourceData_Common_MCFTemperatureZone[[#Headers],[Temperature zone]],0)</f>
        <v>4.7000000000000002E-3</v>
      </c>
      <c r="S242" s="1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19" cm="1">
        <f t="array" ref="E243">Common_InputFunctions.Utility_DisplayArrayInTable(Common_SourceData.Common_SourceData_MCFTemperatureZone_Data(),Table_SourceData_Common_MCFTemperatureZone[[#Headers],[Temperature zone]],0)</f>
        <v>21</v>
      </c>
      <c r="F243" s="19" cm="1">
        <f t="array" ref="F243">Common_InputFunctions.Utility_DisplayArrayInTable(Common_SourceData.Common_SourceData_MCFTemperatureZone_Data(),Table_SourceData_Common_MCFTemperatureZone[[#Headers],[Temperature zone]],0)</f>
        <v>0.78</v>
      </c>
      <c r="G243" s="19" cm="1">
        <f t="array" ref="G243">Common_InputFunctions.Utility_DisplayArrayInTable(Common_SourceData.Common_SourceData_MCFTemperatureZone_Data(),Table_SourceData_Common_MCFTemperatureZone[[#Headers],[Temperature zone]],0)</f>
        <v>0.1</v>
      </c>
      <c r="H243" s="19" cm="1">
        <f t="array" ref="H243">Common_InputFunctions.Utility_DisplayArrayInTable(Common_SourceData.Common_SourceData_MCFTemperatureZone_Data(),Table_SourceData_Common_MCFTemperatureZone[[#Headers],[Temperature zone]],0)</f>
        <v>0.28999999999999998</v>
      </c>
      <c r="I243" s="19" cm="1">
        <f t="array" ref="I243">Common_InputFunctions.Utility_DisplayArrayInTable(Common_SourceData.Common_SourceData_MCFTemperatureZone_Data(),Table_SourceData_Common_MCFTemperatureZone[[#Headers],[Temperature zone]],0)</f>
        <v>5.0000000000000001E-3</v>
      </c>
      <c r="J243" s="19" cm="1">
        <f t="array" ref="J243">Common_InputFunctions.Utility_DisplayArrayInTable(Common_SourceData.Common_SourceData_MCFTemperatureZone_Data(),Table_SourceData_Common_MCFTemperatureZone[[#Headers],[Temperature zone]],0)</f>
        <v>0.01</v>
      </c>
      <c r="K243" s="19" cm="1">
        <f t="array" ref="K243">Common_InputFunctions.Utility_DisplayArrayInTable(Common_SourceData.Common_SourceData_MCFTemperatureZone_Data(),Table_SourceData_Common_MCFTemperatureZone[[#Headers],[Temperature zone]],0)</f>
        <v>0.02</v>
      </c>
      <c r="L243" s="19" cm="1">
        <f t="array" ref="L243">Common_InputFunctions.Utility_DisplayArrayInTable(Common_SourceData.Common_SourceData_MCFTemperatureZone_Data(),Table_SourceData_Common_MCFTemperatureZone[[#Headers],[Temperature zone]],0)</f>
        <v>0.03</v>
      </c>
      <c r="M243" s="19" cm="1">
        <f t="array" ref="M243">Common_InputFunctions.Utility_DisplayArrayInTable(Common_SourceData.Common_SourceData_MCFTemperatureZone_Data(),Table_SourceData_Common_MCFTemperatureZone[[#Headers],[Temperature zone]],0)</f>
        <v>0.04</v>
      </c>
      <c r="N243" s="19" cm="1">
        <f t="array" ref="N243">Common_InputFunctions.Utility_DisplayArrayInTable(Common_SourceData.Common_SourceData_MCFTemperatureZone_Data(),Table_SourceData_Common_MCFTemperatureZone[[#Headers],[Temperature zone]],0)</f>
        <v>1.4999999999999999E-2</v>
      </c>
      <c r="O243" s="19" cm="1">
        <f t="array" ref="O243">Common_InputFunctions.Utility_DisplayArrayInTable(Common_SourceData.Common_SourceData_MCFTemperatureZone_Data(),Table_SourceData_Common_MCFTemperatureZone[[#Headers],[Temperature zone]],0)</f>
        <v>1.4999999999999999E-2</v>
      </c>
      <c r="P243" s="19" cm="1">
        <f t="array" ref="P243">Common_InputFunctions.Utility_DisplayArrayInTable(Common_SourceData.Common_SourceData_MCFTemperatureZone_Data(),Table_SourceData_Common_MCFTemperatureZone[[#Headers],[Temperature zone]],0)</f>
        <v>0</v>
      </c>
      <c r="Q243" s="19" cm="1">
        <f t="array" ref="Q243">Common_InputFunctions.Utility_DisplayArrayInTable(Common_SourceData.Common_SourceData_MCFTemperatureZone_Data(),Table_SourceData_Common_MCFTemperatureZone[[#Headers],[Temperature zone]],0)</f>
        <v>0</v>
      </c>
      <c r="R243" s="19" cm="1">
        <f t="array" ref="R243">Common_InputFunctions.Utility_DisplayArrayInTable(Common_SourceData.Common_SourceData_MCFTemperatureZone_Data(),Table_SourceData_Common_MCFTemperatureZone[[#Headers],[Temperature zone]],0)</f>
        <v>4.7000000000000002E-3</v>
      </c>
      <c r="S243" s="1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19" cm="1">
        <f t="array" ref="E244">Common_InputFunctions.Utility_DisplayArrayInTable(Common_SourceData.Common_SourceData_MCFTemperatureZone_Data(),Table_SourceData_Common_MCFTemperatureZone[[#Headers],[Temperature zone]],0)</f>
        <v>22</v>
      </c>
      <c r="F244" s="19" cm="1">
        <f t="array" ref="F244">Common_InputFunctions.Utility_DisplayArrayInTable(Common_SourceData.Common_SourceData_MCFTemperatureZone_Data(),Table_SourceData_Common_MCFTemperatureZone[[#Headers],[Temperature zone]],0)</f>
        <v>0.78</v>
      </c>
      <c r="G244" s="19" cm="1">
        <f t="array" ref="G244">Common_InputFunctions.Utility_DisplayArrayInTable(Common_SourceData.Common_SourceData_MCFTemperatureZone_Data(),Table_SourceData_Common_MCFTemperatureZone[[#Headers],[Temperature zone]],0)</f>
        <v>0.1</v>
      </c>
      <c r="H244" s="19" cm="1">
        <f t="array" ref="H244">Common_InputFunctions.Utility_DisplayArrayInTable(Common_SourceData.Common_SourceData_MCFTemperatureZone_Data(),Table_SourceData_Common_MCFTemperatureZone[[#Headers],[Temperature zone]],0)</f>
        <v>0.31</v>
      </c>
      <c r="I244" s="19" cm="1">
        <f t="array" ref="I244">Common_InputFunctions.Utility_DisplayArrayInTable(Common_SourceData.Common_SourceData_MCFTemperatureZone_Data(),Table_SourceData_Common_MCFTemperatureZone[[#Headers],[Temperature zone]],0)</f>
        <v>5.0000000000000001E-3</v>
      </c>
      <c r="J244" s="19" cm="1">
        <f t="array" ref="J244">Common_InputFunctions.Utility_DisplayArrayInTable(Common_SourceData.Common_SourceData_MCFTemperatureZone_Data(),Table_SourceData_Common_MCFTemperatureZone[[#Headers],[Temperature zone]],0)</f>
        <v>0.01</v>
      </c>
      <c r="K244" s="19" cm="1">
        <f t="array" ref="K244">Common_InputFunctions.Utility_DisplayArrayInTable(Common_SourceData.Common_SourceData_MCFTemperatureZone_Data(),Table_SourceData_Common_MCFTemperatureZone[[#Headers],[Temperature zone]],0)</f>
        <v>0.02</v>
      </c>
      <c r="L244" s="19" cm="1">
        <f t="array" ref="L244">Common_InputFunctions.Utility_DisplayArrayInTable(Common_SourceData.Common_SourceData_MCFTemperatureZone_Data(),Table_SourceData_Common_MCFTemperatureZone[[#Headers],[Temperature zone]],0)</f>
        <v>0.03</v>
      </c>
      <c r="M244" s="19" cm="1">
        <f t="array" ref="M244">Common_InputFunctions.Utility_DisplayArrayInTable(Common_SourceData.Common_SourceData_MCFTemperatureZone_Data(),Table_SourceData_Common_MCFTemperatureZone[[#Headers],[Temperature zone]],0)</f>
        <v>0.04</v>
      </c>
      <c r="N244" s="19" cm="1">
        <f t="array" ref="N244">Common_InputFunctions.Utility_DisplayArrayInTable(Common_SourceData.Common_SourceData_MCFTemperatureZone_Data(),Table_SourceData_Common_MCFTemperatureZone[[#Headers],[Temperature zone]],0)</f>
        <v>1.4999999999999999E-2</v>
      </c>
      <c r="O244" s="19" cm="1">
        <f t="array" ref="O244">Common_InputFunctions.Utility_DisplayArrayInTable(Common_SourceData.Common_SourceData_MCFTemperatureZone_Data(),Table_SourceData_Common_MCFTemperatureZone[[#Headers],[Temperature zone]],0)</f>
        <v>1.4999999999999999E-2</v>
      </c>
      <c r="P244" s="19" cm="1">
        <f t="array" ref="P244">Common_InputFunctions.Utility_DisplayArrayInTable(Common_SourceData.Common_SourceData_MCFTemperatureZone_Data(),Table_SourceData_Common_MCFTemperatureZone[[#Headers],[Temperature zone]],0)</f>
        <v>0</v>
      </c>
      <c r="Q244" s="19" cm="1">
        <f t="array" ref="Q244">Common_InputFunctions.Utility_DisplayArrayInTable(Common_SourceData.Common_SourceData_MCFTemperatureZone_Data(),Table_SourceData_Common_MCFTemperatureZone[[#Headers],[Temperature zone]],0)</f>
        <v>0</v>
      </c>
      <c r="R244" s="19" cm="1">
        <f t="array" ref="R244">Common_InputFunctions.Utility_DisplayArrayInTable(Common_SourceData.Common_SourceData_MCFTemperatureZone_Data(),Table_SourceData_Common_MCFTemperatureZone[[#Headers],[Temperature zone]],0)</f>
        <v>4.7000000000000002E-3</v>
      </c>
      <c r="S244" s="1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19" cm="1">
        <f t="array" ref="E245">Common_InputFunctions.Utility_DisplayArrayInTable(Common_SourceData.Common_SourceData_MCFTemperatureZone_Data(),Table_SourceData_Common_MCFTemperatureZone[[#Headers],[Temperature zone]],0)</f>
        <v>23</v>
      </c>
      <c r="F245" s="19" cm="1">
        <f t="array" ref="F245">Common_InputFunctions.Utility_DisplayArrayInTable(Common_SourceData.Common_SourceData_MCFTemperatureZone_Data(),Table_SourceData_Common_MCFTemperatureZone[[#Headers],[Temperature zone]],0)</f>
        <v>0.79</v>
      </c>
      <c r="G245" s="19" cm="1">
        <f t="array" ref="G245">Common_InputFunctions.Utility_DisplayArrayInTable(Common_SourceData.Common_SourceData_MCFTemperatureZone_Data(),Table_SourceData_Common_MCFTemperatureZone[[#Headers],[Temperature zone]],0)</f>
        <v>0.1</v>
      </c>
      <c r="H245" s="19" cm="1">
        <f t="array" ref="H245">Common_InputFunctions.Utility_DisplayArrayInTable(Common_SourceData.Common_SourceData_MCFTemperatureZone_Data(),Table_SourceData_Common_MCFTemperatureZone[[#Headers],[Temperature zone]],0)</f>
        <v>0.34</v>
      </c>
      <c r="I245" s="19" cm="1">
        <f t="array" ref="I245">Common_InputFunctions.Utility_DisplayArrayInTable(Common_SourceData.Common_SourceData_MCFTemperatureZone_Data(),Table_SourceData_Common_MCFTemperatureZone[[#Headers],[Temperature zone]],0)</f>
        <v>5.0000000000000001E-3</v>
      </c>
      <c r="J245" s="19" cm="1">
        <f t="array" ref="J245">Common_InputFunctions.Utility_DisplayArrayInTable(Common_SourceData.Common_SourceData_MCFTemperatureZone_Data(),Table_SourceData_Common_MCFTemperatureZone[[#Headers],[Temperature zone]],0)</f>
        <v>0.01</v>
      </c>
      <c r="K245" s="19" cm="1">
        <f t="array" ref="K245">Common_InputFunctions.Utility_DisplayArrayInTable(Common_SourceData.Common_SourceData_MCFTemperatureZone_Data(),Table_SourceData_Common_MCFTemperatureZone[[#Headers],[Temperature zone]],0)</f>
        <v>0.02</v>
      </c>
      <c r="L245" s="19" cm="1">
        <f t="array" ref="L245">Common_InputFunctions.Utility_DisplayArrayInTable(Common_SourceData.Common_SourceData_MCFTemperatureZone_Data(),Table_SourceData_Common_MCFTemperatureZone[[#Headers],[Temperature zone]],0)</f>
        <v>0.03</v>
      </c>
      <c r="M245" s="19" cm="1">
        <f t="array" ref="M245">Common_InputFunctions.Utility_DisplayArrayInTable(Common_SourceData.Common_SourceData_MCFTemperatureZone_Data(),Table_SourceData_Common_MCFTemperatureZone[[#Headers],[Temperature zone]],0)</f>
        <v>0.04</v>
      </c>
      <c r="N245" s="19" cm="1">
        <f t="array" ref="N245">Common_InputFunctions.Utility_DisplayArrayInTable(Common_SourceData.Common_SourceData_MCFTemperatureZone_Data(),Table_SourceData_Common_MCFTemperatureZone[[#Headers],[Temperature zone]],0)</f>
        <v>1.4999999999999999E-2</v>
      </c>
      <c r="O245" s="19" cm="1">
        <f t="array" ref="O245">Common_InputFunctions.Utility_DisplayArrayInTable(Common_SourceData.Common_SourceData_MCFTemperatureZone_Data(),Table_SourceData_Common_MCFTemperatureZone[[#Headers],[Temperature zone]],0)</f>
        <v>1.4999999999999999E-2</v>
      </c>
      <c r="P245" s="19" cm="1">
        <f t="array" ref="P245">Common_InputFunctions.Utility_DisplayArrayInTable(Common_SourceData.Common_SourceData_MCFTemperatureZone_Data(),Table_SourceData_Common_MCFTemperatureZone[[#Headers],[Temperature zone]],0)</f>
        <v>0</v>
      </c>
      <c r="Q245" s="19" cm="1">
        <f t="array" ref="Q245">Common_InputFunctions.Utility_DisplayArrayInTable(Common_SourceData.Common_SourceData_MCFTemperatureZone_Data(),Table_SourceData_Common_MCFTemperatureZone[[#Headers],[Temperature zone]],0)</f>
        <v>0</v>
      </c>
      <c r="R245" s="19" cm="1">
        <f t="array" ref="R245">Common_InputFunctions.Utility_DisplayArrayInTable(Common_SourceData.Common_SourceData_MCFTemperatureZone_Data(),Table_SourceData_Common_MCFTemperatureZone[[#Headers],[Temperature zone]],0)</f>
        <v>4.7000000000000002E-3</v>
      </c>
      <c r="S245" s="1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19" cm="1">
        <f t="array" ref="E246">Common_InputFunctions.Utility_DisplayArrayInTable(Common_SourceData.Common_SourceData_MCFTemperatureZone_Data(),Table_SourceData_Common_MCFTemperatureZone[[#Headers],[Temperature zone]],0)</f>
        <v>24</v>
      </c>
      <c r="F246" s="19" cm="1">
        <f t="array" ref="F246">Common_InputFunctions.Utility_DisplayArrayInTable(Common_SourceData.Common_SourceData_MCFTemperatureZone_Data(),Table_SourceData_Common_MCFTemperatureZone[[#Headers],[Temperature zone]],0)</f>
        <v>0.79</v>
      </c>
      <c r="G246" s="19" cm="1">
        <f t="array" ref="G246">Common_InputFunctions.Utility_DisplayArrayInTable(Common_SourceData.Common_SourceData_MCFTemperatureZone_Data(),Table_SourceData_Common_MCFTemperatureZone[[#Headers],[Temperature zone]],0)</f>
        <v>0.1</v>
      </c>
      <c r="H246" s="19" cm="1">
        <f t="array" ref="H246">Common_InputFunctions.Utility_DisplayArrayInTable(Common_SourceData.Common_SourceData_MCFTemperatureZone_Data(),Table_SourceData_Common_MCFTemperatureZone[[#Headers],[Temperature zone]],0)</f>
        <v>0.37</v>
      </c>
      <c r="I246" s="19" cm="1">
        <f t="array" ref="I246">Common_InputFunctions.Utility_DisplayArrayInTable(Common_SourceData.Common_SourceData_MCFTemperatureZone_Data(),Table_SourceData_Common_MCFTemperatureZone[[#Headers],[Temperature zone]],0)</f>
        <v>5.0000000000000001E-3</v>
      </c>
      <c r="J246" s="19" cm="1">
        <f t="array" ref="J246">Common_InputFunctions.Utility_DisplayArrayInTable(Common_SourceData.Common_SourceData_MCFTemperatureZone_Data(),Table_SourceData_Common_MCFTemperatureZone[[#Headers],[Temperature zone]],0)</f>
        <v>0.01</v>
      </c>
      <c r="K246" s="19" cm="1">
        <f t="array" ref="K246">Common_InputFunctions.Utility_DisplayArrayInTable(Common_SourceData.Common_SourceData_MCFTemperatureZone_Data(),Table_SourceData_Common_MCFTemperatureZone[[#Headers],[Temperature zone]],0)</f>
        <v>0.02</v>
      </c>
      <c r="L246" s="19" cm="1">
        <f t="array" ref="L246">Common_InputFunctions.Utility_DisplayArrayInTable(Common_SourceData.Common_SourceData_MCFTemperatureZone_Data(),Table_SourceData_Common_MCFTemperatureZone[[#Headers],[Temperature zone]],0)</f>
        <v>0.03</v>
      </c>
      <c r="M246" s="19" cm="1">
        <f t="array" ref="M246">Common_InputFunctions.Utility_DisplayArrayInTable(Common_SourceData.Common_SourceData_MCFTemperatureZone_Data(),Table_SourceData_Common_MCFTemperatureZone[[#Headers],[Temperature zone]],0)</f>
        <v>0.04</v>
      </c>
      <c r="N246" s="19" cm="1">
        <f t="array" ref="N246">Common_InputFunctions.Utility_DisplayArrayInTable(Common_SourceData.Common_SourceData_MCFTemperatureZone_Data(),Table_SourceData_Common_MCFTemperatureZone[[#Headers],[Temperature zone]],0)</f>
        <v>1.4999999999999999E-2</v>
      </c>
      <c r="O246" s="19" cm="1">
        <f t="array" ref="O246">Common_InputFunctions.Utility_DisplayArrayInTable(Common_SourceData.Common_SourceData_MCFTemperatureZone_Data(),Table_SourceData_Common_MCFTemperatureZone[[#Headers],[Temperature zone]],0)</f>
        <v>1.4999999999999999E-2</v>
      </c>
      <c r="P246" s="19" cm="1">
        <f t="array" ref="P246">Common_InputFunctions.Utility_DisplayArrayInTable(Common_SourceData.Common_SourceData_MCFTemperatureZone_Data(),Table_SourceData_Common_MCFTemperatureZone[[#Headers],[Temperature zone]],0)</f>
        <v>0</v>
      </c>
      <c r="Q246" s="19" cm="1">
        <f t="array" ref="Q246">Common_InputFunctions.Utility_DisplayArrayInTable(Common_SourceData.Common_SourceData_MCFTemperatureZone_Data(),Table_SourceData_Common_MCFTemperatureZone[[#Headers],[Temperature zone]],0)</f>
        <v>0</v>
      </c>
      <c r="R246" s="19" cm="1">
        <f t="array" ref="R246">Common_InputFunctions.Utility_DisplayArrayInTable(Common_SourceData.Common_SourceData_MCFTemperatureZone_Data(),Table_SourceData_Common_MCFTemperatureZone[[#Headers],[Temperature zone]],0)</f>
        <v>4.7000000000000002E-3</v>
      </c>
      <c r="S246" s="1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19" cm="1">
        <f t="array" ref="E247">Common_InputFunctions.Utility_DisplayArrayInTable(Common_SourceData.Common_SourceData_MCFTemperatureZone_Data(),Table_SourceData_Common_MCFTemperatureZone[[#Headers],[Temperature zone]],0)</f>
        <v>25</v>
      </c>
      <c r="F247" s="19" cm="1">
        <f t="array" ref="F247">Common_InputFunctions.Utility_DisplayArrayInTable(Common_SourceData.Common_SourceData_MCFTemperatureZone_Data(),Table_SourceData_Common_MCFTemperatureZone[[#Headers],[Temperature zone]],0)</f>
        <v>0.79</v>
      </c>
      <c r="G247" s="19" cm="1">
        <f t="array" ref="G247">Common_InputFunctions.Utility_DisplayArrayInTable(Common_SourceData.Common_SourceData_MCFTemperatureZone_Data(),Table_SourceData_Common_MCFTemperatureZone[[#Headers],[Temperature zone]],0)</f>
        <v>0.1</v>
      </c>
      <c r="H247" s="19" cm="1">
        <f t="array" ref="H247">Common_InputFunctions.Utility_DisplayArrayInTable(Common_SourceData.Common_SourceData_MCFTemperatureZone_Data(),Table_SourceData_Common_MCFTemperatureZone[[#Headers],[Temperature zone]],0)</f>
        <v>0.41</v>
      </c>
      <c r="I247" s="19" cm="1">
        <f t="array" ref="I247">Common_InputFunctions.Utility_DisplayArrayInTable(Common_SourceData.Common_SourceData_MCFTemperatureZone_Data(),Table_SourceData_Common_MCFTemperatureZone[[#Headers],[Temperature zone]],0)</f>
        <v>5.0000000000000001E-3</v>
      </c>
      <c r="J247" s="19" cm="1">
        <f t="array" ref="J247">Common_InputFunctions.Utility_DisplayArrayInTable(Common_SourceData.Common_SourceData_MCFTemperatureZone_Data(),Table_SourceData_Common_MCFTemperatureZone[[#Headers],[Temperature zone]],0)</f>
        <v>0.01</v>
      </c>
      <c r="K247" s="19" cm="1">
        <f t="array" ref="K247">Common_InputFunctions.Utility_DisplayArrayInTable(Common_SourceData.Common_SourceData_MCFTemperatureZone_Data(),Table_SourceData_Common_MCFTemperatureZone[[#Headers],[Temperature zone]],0)</f>
        <v>0.02</v>
      </c>
      <c r="L247" s="19" cm="1">
        <f t="array" ref="L247">Common_InputFunctions.Utility_DisplayArrayInTable(Common_SourceData.Common_SourceData_MCFTemperatureZone_Data(),Table_SourceData_Common_MCFTemperatureZone[[#Headers],[Temperature zone]],0)</f>
        <v>0.03</v>
      </c>
      <c r="M247" s="19" cm="1">
        <f t="array" ref="M247">Common_InputFunctions.Utility_DisplayArrayInTable(Common_SourceData.Common_SourceData_MCFTemperatureZone_Data(),Table_SourceData_Common_MCFTemperatureZone[[#Headers],[Temperature zone]],0)</f>
        <v>0.04</v>
      </c>
      <c r="N247" s="19" cm="1">
        <f t="array" ref="N247">Common_InputFunctions.Utility_DisplayArrayInTable(Common_SourceData.Common_SourceData_MCFTemperatureZone_Data(),Table_SourceData_Common_MCFTemperatureZone[[#Headers],[Temperature zone]],0)</f>
        <v>1.4999999999999999E-2</v>
      </c>
      <c r="O247" s="19" cm="1">
        <f t="array" ref="O247">Common_InputFunctions.Utility_DisplayArrayInTable(Common_SourceData.Common_SourceData_MCFTemperatureZone_Data(),Table_SourceData_Common_MCFTemperatureZone[[#Headers],[Temperature zone]],0)</f>
        <v>1.4999999999999999E-2</v>
      </c>
      <c r="P247" s="19" cm="1">
        <f t="array" ref="P247">Common_InputFunctions.Utility_DisplayArrayInTable(Common_SourceData.Common_SourceData_MCFTemperatureZone_Data(),Table_SourceData_Common_MCFTemperatureZone[[#Headers],[Temperature zone]],0)</f>
        <v>0</v>
      </c>
      <c r="Q247" s="19" cm="1">
        <f t="array" ref="Q247">Common_InputFunctions.Utility_DisplayArrayInTable(Common_SourceData.Common_SourceData_MCFTemperatureZone_Data(),Table_SourceData_Common_MCFTemperatureZone[[#Headers],[Temperature zone]],0)</f>
        <v>0</v>
      </c>
      <c r="R247" s="19" cm="1">
        <f t="array" ref="R247">Common_InputFunctions.Utility_DisplayArrayInTable(Common_SourceData.Common_SourceData_MCFTemperatureZone_Data(),Table_SourceData_Common_MCFTemperatureZone[[#Headers],[Temperature zone]],0)</f>
        <v>4.7000000000000002E-3</v>
      </c>
      <c r="S247" s="1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19" cm="1">
        <f t="array" ref="E248">Common_InputFunctions.Utility_DisplayArrayInTable(Common_SourceData.Common_SourceData_MCFTemperatureZone_Data(),Table_SourceData_Common_MCFTemperatureZone[[#Headers],[Temperature zone]],0)</f>
        <v>26</v>
      </c>
      <c r="F248" s="19" cm="1">
        <f t="array" ref="F248">Common_InputFunctions.Utility_DisplayArrayInTable(Common_SourceData.Common_SourceData_MCFTemperatureZone_Data(),Table_SourceData_Common_MCFTemperatureZone[[#Headers],[Temperature zone]],0)</f>
        <v>0.79</v>
      </c>
      <c r="G248" s="19" cm="1">
        <f t="array" ref="G248">Common_InputFunctions.Utility_DisplayArrayInTable(Common_SourceData.Common_SourceData_MCFTemperatureZone_Data(),Table_SourceData_Common_MCFTemperatureZone[[#Headers],[Temperature zone]],0)</f>
        <v>0.1</v>
      </c>
      <c r="H248" s="19" cm="1">
        <f t="array" ref="H248">Common_InputFunctions.Utility_DisplayArrayInTable(Common_SourceData.Common_SourceData_MCFTemperatureZone_Data(),Table_SourceData_Common_MCFTemperatureZone[[#Headers],[Temperature zone]],0)</f>
        <v>0.44</v>
      </c>
      <c r="I248" s="19" cm="1">
        <f t="array" ref="I248">Common_InputFunctions.Utility_DisplayArrayInTable(Common_SourceData.Common_SourceData_MCFTemperatureZone_Data(),Table_SourceData_Common_MCFTemperatureZone[[#Headers],[Temperature zone]],0)</f>
        <v>0.01</v>
      </c>
      <c r="J248" s="19" cm="1">
        <f t="array" ref="J248">Common_InputFunctions.Utility_DisplayArrayInTable(Common_SourceData.Common_SourceData_MCFTemperatureZone_Data(),Table_SourceData_Common_MCFTemperatureZone[[#Headers],[Temperature zone]],0)</f>
        <v>1.4999999999999999E-2</v>
      </c>
      <c r="K248" s="19" cm="1">
        <f t="array" ref="K248">Common_InputFunctions.Utility_DisplayArrayInTable(Common_SourceData.Common_SourceData_MCFTemperatureZone_Data(),Table_SourceData_Common_MCFTemperatureZone[[#Headers],[Temperature zone]],0)</f>
        <v>0.02</v>
      </c>
      <c r="L248" s="19" cm="1">
        <f t="array" ref="L248">Common_InputFunctions.Utility_DisplayArrayInTable(Common_SourceData.Common_SourceData_MCFTemperatureZone_Data(),Table_SourceData_Common_MCFTemperatureZone[[#Headers],[Temperature zone]],0)</f>
        <v>0.03</v>
      </c>
      <c r="M248" s="19" cm="1">
        <f t="array" ref="M248">Common_InputFunctions.Utility_DisplayArrayInTable(Common_SourceData.Common_SourceData_MCFTemperatureZone_Data(),Table_SourceData_Common_MCFTemperatureZone[[#Headers],[Temperature zone]],0)</f>
        <v>0.04</v>
      </c>
      <c r="N248" s="19" cm="1">
        <f t="array" ref="N248">Common_InputFunctions.Utility_DisplayArrayInTable(Common_SourceData.Common_SourceData_MCFTemperatureZone_Data(),Table_SourceData_Common_MCFTemperatureZone[[#Headers],[Temperature zone]],0)</f>
        <v>1.4999999999999999E-2</v>
      </c>
      <c r="O248" s="19" cm="1">
        <f t="array" ref="O248">Common_InputFunctions.Utility_DisplayArrayInTable(Common_SourceData.Common_SourceData_MCFTemperatureZone_Data(),Table_SourceData_Common_MCFTemperatureZone[[#Headers],[Temperature zone]],0)</f>
        <v>1.4999999999999999E-2</v>
      </c>
      <c r="P248" s="19" cm="1">
        <f t="array" ref="P248">Common_InputFunctions.Utility_DisplayArrayInTable(Common_SourceData.Common_SourceData_MCFTemperatureZone_Data(),Table_SourceData_Common_MCFTemperatureZone[[#Headers],[Temperature zone]],0)</f>
        <v>0</v>
      </c>
      <c r="Q248" s="19" cm="1">
        <f t="array" ref="Q248">Common_InputFunctions.Utility_DisplayArrayInTable(Common_SourceData.Common_SourceData_MCFTemperatureZone_Data(),Table_SourceData_Common_MCFTemperatureZone[[#Headers],[Temperature zone]],0)</f>
        <v>0</v>
      </c>
      <c r="R248" s="19" cm="1">
        <f t="array" ref="R248">Common_InputFunctions.Utility_DisplayArrayInTable(Common_SourceData.Common_SourceData_MCFTemperatureZone_Data(),Table_SourceData_Common_MCFTemperatureZone[[#Headers],[Temperature zone]],0)</f>
        <v>4.7000000000000002E-3</v>
      </c>
      <c r="S248" s="1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19" cm="1">
        <f t="array" ref="E249">Common_InputFunctions.Utility_DisplayArrayInTable(Common_SourceData.Common_SourceData_MCFTemperatureZone_Data(),Table_SourceData_Common_MCFTemperatureZone[[#Headers],[Temperature zone]],0)</f>
        <v>27</v>
      </c>
      <c r="F249" s="19" cm="1">
        <f t="array" ref="F249">Common_InputFunctions.Utility_DisplayArrayInTable(Common_SourceData.Common_SourceData_MCFTemperatureZone_Data(),Table_SourceData_Common_MCFTemperatureZone[[#Headers],[Temperature zone]],0)</f>
        <v>0.8</v>
      </c>
      <c r="G249" s="19" cm="1">
        <f t="array" ref="G249">Common_InputFunctions.Utility_DisplayArrayInTable(Common_SourceData.Common_SourceData_MCFTemperatureZone_Data(),Table_SourceData_Common_MCFTemperatureZone[[#Headers],[Temperature zone]],0)</f>
        <v>0.1</v>
      </c>
      <c r="H249" s="19" cm="1">
        <f t="array" ref="H249">Common_InputFunctions.Utility_DisplayArrayInTable(Common_SourceData.Common_SourceData_MCFTemperatureZone_Data(),Table_SourceData_Common_MCFTemperatureZone[[#Headers],[Temperature zone]],0)</f>
        <v>0.48</v>
      </c>
      <c r="I249" s="19" cm="1">
        <f t="array" ref="I249">Common_InputFunctions.Utility_DisplayArrayInTable(Common_SourceData.Common_SourceData_MCFTemperatureZone_Data(),Table_SourceData_Common_MCFTemperatureZone[[#Headers],[Temperature zone]],0)</f>
        <v>0.01</v>
      </c>
      <c r="J249" s="19" cm="1">
        <f t="array" ref="J249">Common_InputFunctions.Utility_DisplayArrayInTable(Common_SourceData.Common_SourceData_MCFTemperatureZone_Data(),Table_SourceData_Common_MCFTemperatureZone[[#Headers],[Temperature zone]],0)</f>
        <v>1.4999999999999999E-2</v>
      </c>
      <c r="K249" s="19" cm="1">
        <f t="array" ref="K249">Common_InputFunctions.Utility_DisplayArrayInTable(Common_SourceData.Common_SourceData_MCFTemperatureZone_Data(),Table_SourceData_Common_MCFTemperatureZone[[#Headers],[Temperature zone]],0)</f>
        <v>0.02</v>
      </c>
      <c r="L249" s="19" cm="1">
        <f t="array" ref="L249">Common_InputFunctions.Utility_DisplayArrayInTable(Common_SourceData.Common_SourceData_MCFTemperatureZone_Data(),Table_SourceData_Common_MCFTemperatureZone[[#Headers],[Temperature zone]],0)</f>
        <v>0.03</v>
      </c>
      <c r="M249" s="19" cm="1">
        <f t="array" ref="M249">Common_InputFunctions.Utility_DisplayArrayInTable(Common_SourceData.Common_SourceData_MCFTemperatureZone_Data(),Table_SourceData_Common_MCFTemperatureZone[[#Headers],[Temperature zone]],0)</f>
        <v>0.04</v>
      </c>
      <c r="N249" s="19" cm="1">
        <f t="array" ref="N249">Common_InputFunctions.Utility_DisplayArrayInTable(Common_SourceData.Common_SourceData_MCFTemperatureZone_Data(),Table_SourceData_Common_MCFTemperatureZone[[#Headers],[Temperature zone]],0)</f>
        <v>1.4999999999999999E-2</v>
      </c>
      <c r="O249" s="19" cm="1">
        <f t="array" ref="O249">Common_InputFunctions.Utility_DisplayArrayInTable(Common_SourceData.Common_SourceData_MCFTemperatureZone_Data(),Table_SourceData_Common_MCFTemperatureZone[[#Headers],[Temperature zone]],0)</f>
        <v>1.4999999999999999E-2</v>
      </c>
      <c r="P249" s="19" cm="1">
        <f t="array" ref="P249">Common_InputFunctions.Utility_DisplayArrayInTable(Common_SourceData.Common_SourceData_MCFTemperatureZone_Data(),Table_SourceData_Common_MCFTemperatureZone[[#Headers],[Temperature zone]],0)</f>
        <v>0</v>
      </c>
      <c r="Q249" s="19" cm="1">
        <f t="array" ref="Q249">Common_InputFunctions.Utility_DisplayArrayInTable(Common_SourceData.Common_SourceData_MCFTemperatureZone_Data(),Table_SourceData_Common_MCFTemperatureZone[[#Headers],[Temperature zone]],0)</f>
        <v>0</v>
      </c>
      <c r="R249" s="19" cm="1">
        <f t="array" ref="R249">Common_InputFunctions.Utility_DisplayArrayInTable(Common_SourceData.Common_SourceData_MCFTemperatureZone_Data(),Table_SourceData_Common_MCFTemperatureZone[[#Headers],[Temperature zone]],0)</f>
        <v>4.7000000000000002E-3</v>
      </c>
      <c r="S249" s="1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19" t="str" cm="1">
        <f t="array" ref="E250">Common_InputFunctions.Utility_DisplayArrayInTable(Common_SourceData.Common_SourceData_MCFTemperatureZone_Data(),Table_SourceData_Common_MCFTemperatureZone[[#Headers],[Temperature zone]],0)</f>
        <v>≥28</v>
      </c>
      <c r="F250" s="19" cm="1">
        <f t="array" ref="F250">Common_InputFunctions.Utility_DisplayArrayInTable(Common_SourceData.Common_SourceData_MCFTemperatureZone_Data(),Table_SourceData_Common_MCFTemperatureZone[[#Headers],[Temperature zone]],0)</f>
        <v>0.8</v>
      </c>
      <c r="G250" s="19" cm="1">
        <f t="array" ref="G250">Common_InputFunctions.Utility_DisplayArrayInTable(Common_SourceData.Common_SourceData_MCFTemperatureZone_Data(),Table_SourceData_Common_MCFTemperatureZone[[#Headers],[Temperature zone]],0)</f>
        <v>0.1</v>
      </c>
      <c r="H250" s="19" cm="1">
        <f t="array" ref="H250">Common_InputFunctions.Utility_DisplayArrayInTable(Common_SourceData.Common_SourceData_MCFTemperatureZone_Data(),Table_SourceData_Common_MCFTemperatureZone[[#Headers],[Temperature zone]],0)</f>
        <v>0.5</v>
      </c>
      <c r="I250" s="19" cm="1">
        <f t="array" ref="I250">Common_InputFunctions.Utility_DisplayArrayInTable(Common_SourceData.Common_SourceData_MCFTemperatureZone_Data(),Table_SourceData_Common_MCFTemperatureZone[[#Headers],[Temperature zone]],0)</f>
        <v>0.01</v>
      </c>
      <c r="J250" s="19" cm="1">
        <f t="array" ref="J250">Common_InputFunctions.Utility_DisplayArrayInTable(Common_SourceData.Common_SourceData_MCFTemperatureZone_Data(),Table_SourceData_Common_MCFTemperatureZone[[#Headers],[Temperature zone]],0)</f>
        <v>1.4999999999999999E-2</v>
      </c>
      <c r="K250" s="19" cm="1">
        <f t="array" ref="K250">Common_InputFunctions.Utility_DisplayArrayInTable(Common_SourceData.Common_SourceData_MCFTemperatureZone_Data(),Table_SourceData_Common_MCFTemperatureZone[[#Headers],[Temperature zone]],0)</f>
        <v>0.02</v>
      </c>
      <c r="L250" s="19" cm="1">
        <f t="array" ref="L250">Common_InputFunctions.Utility_DisplayArrayInTable(Common_SourceData.Common_SourceData_MCFTemperatureZone_Data(),Table_SourceData_Common_MCFTemperatureZone[[#Headers],[Temperature zone]],0)</f>
        <v>0.03</v>
      </c>
      <c r="M250" s="19" cm="1">
        <f t="array" ref="M250">Common_InputFunctions.Utility_DisplayArrayInTable(Common_SourceData.Common_SourceData_MCFTemperatureZone_Data(),Table_SourceData_Common_MCFTemperatureZone[[#Headers],[Temperature zone]],0)</f>
        <v>0.04</v>
      </c>
      <c r="N250" s="19" cm="1">
        <f t="array" ref="N250">Common_InputFunctions.Utility_DisplayArrayInTable(Common_SourceData.Common_SourceData_MCFTemperatureZone_Data(),Table_SourceData_Common_MCFTemperatureZone[[#Headers],[Temperature zone]],0)</f>
        <v>1.4999999999999999E-2</v>
      </c>
      <c r="O250" s="19" cm="1">
        <f t="array" ref="O250">Common_InputFunctions.Utility_DisplayArrayInTable(Common_SourceData.Common_SourceData_MCFTemperatureZone_Data(),Table_SourceData_Common_MCFTemperatureZone[[#Headers],[Temperature zone]],0)</f>
        <v>1.4999999999999999E-2</v>
      </c>
      <c r="P250" s="19" cm="1">
        <f t="array" ref="P250">Common_InputFunctions.Utility_DisplayArrayInTable(Common_SourceData.Common_SourceData_MCFTemperatureZone_Data(),Table_SourceData_Common_MCFTemperatureZone[[#Headers],[Temperature zone]],0)</f>
        <v>0</v>
      </c>
      <c r="Q250" s="19" cm="1">
        <f t="array" ref="Q250">Common_InputFunctions.Utility_DisplayArrayInTable(Common_SourceData.Common_SourceData_MCFTemperatureZone_Data(),Table_SourceData_Common_MCFTemperatureZone[[#Headers],[Temperature zone]],0)</f>
        <v>0</v>
      </c>
      <c r="R250" s="19" cm="1">
        <f t="array" ref="R250">Common_InputFunctions.Utility_DisplayArrayInTable(Common_SourceData.Common_SourceData_MCFTemperatureZone_Data(),Table_SourceData_Common_MCFTemperatureZone[[#Headers],[Temperature zone]],0)</f>
        <v>4.7000000000000002E-3</v>
      </c>
      <c r="S250" s="19"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17"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9" t="str" cm="1">
        <f t="array" ref="D256">Common_SourceData.Common_SourceData_EFOrganicFertiliserAndCropResidues_Unit()</f>
        <v>kg N2O - N / kg N</v>
      </c>
    </row>
    <row r="257" spans="4:66" x14ac:dyDescent="0.25">
      <c r="D257" s="19" t="s">
        <v>84</v>
      </c>
      <c r="E257" s="19" t="s">
        <v>85</v>
      </c>
    </row>
    <row r="258" spans="4:66" x14ac:dyDescent="0.25">
      <c r="D258" s="19" t="str" cm="1">
        <f t="array" ref="D258">Common_InputFunctions.Utility_DisplayArrayInTable(Common_SourceData.Common_SourceData_EFOrganicFertiliserAndCropResidues_Data(), Table_SourceData_Common_EFOrganicFertCropResidues[[#Headers],[Climate Zone]], 0)</f>
        <v>Wet climate zone</v>
      </c>
      <c r="E258" s="19" cm="1">
        <f t="array" ref="E258">Common_InputFunctions.Utility_DisplayArrayInTable(Common_SourceData.Common_SourceData_EFOrganicFertiliserAndCropResidues_Data(), Table_SourceData_Common_EFOrganicFertCropResidues[[#Headers],[Climate Zone]], 0)</f>
        <v>6.0000000000000001E-3</v>
      </c>
    </row>
    <row r="259" spans="4:6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19" cm="1">
        <f t="array" ref="E259">Common_InputFunctions.Utility_DisplayArrayInTable(Common_SourceData.Common_SourceData_EFOrganicFertiliserAndCropResidues_Data(), Table_SourceData_Common_EFOrganicFertCropResidues[[#Headers],[Climate Zone]], 0)</f>
        <v>5.0000000000000001E-3</v>
      </c>
    </row>
    <row r="263" spans="4:66" ht="23.25" x14ac:dyDescent="0.25">
      <c r="D263" s="2" t="s">
        <v>193</v>
      </c>
    </row>
    <row r="264" spans="4:66" x14ac:dyDescent="0.25">
      <c r="D264" s="1" t="s">
        <v>194</v>
      </c>
    </row>
    <row r="265" spans="4:66" x14ac:dyDescent="0.25">
      <c r="D265" s="19" t="s">
        <v>312</v>
      </c>
      <c r="E265" s="19" t="s">
        <v>195</v>
      </c>
      <c r="F265" s="19" t="s">
        <v>196</v>
      </c>
      <c r="G265" s="19" t="s">
        <v>189</v>
      </c>
      <c r="V265" s="1"/>
      <c r="BN265" s="21"/>
    </row>
    <row r="266" spans="4:66" x14ac:dyDescent="0.25">
      <c r="D266" s="19" t="s">
        <v>287</v>
      </c>
      <c r="E266" s="19" t="s">
        <v>197</v>
      </c>
      <c r="F266" s="19" t="s">
        <v>198</v>
      </c>
      <c r="G266" s="19">
        <v>5</v>
      </c>
      <c r="V266" s="1"/>
      <c r="BN266" s="21"/>
    </row>
    <row r="267" spans="4:66" x14ac:dyDescent="0.25">
      <c r="D267" s="19" t="s">
        <v>290</v>
      </c>
      <c r="E267" s="19" t="s">
        <v>199</v>
      </c>
      <c r="F267" s="19" t="s">
        <v>190</v>
      </c>
      <c r="G267" s="19">
        <v>4</v>
      </c>
      <c r="V267" s="1"/>
      <c r="BN267" s="21"/>
    </row>
    <row r="268" spans="4:66" x14ac:dyDescent="0.25">
      <c r="D268" s="19" t="s">
        <v>293</v>
      </c>
      <c r="E268" s="19" t="s">
        <v>200</v>
      </c>
      <c r="F268" s="19" t="s">
        <v>201</v>
      </c>
      <c r="G268" s="19">
        <v>3</v>
      </c>
      <c r="V268" s="1"/>
      <c r="BN268" s="21"/>
    </row>
    <row r="269" spans="4:66" x14ac:dyDescent="0.25">
      <c r="D269" s="19" t="s">
        <v>295</v>
      </c>
      <c r="E269" s="19" t="s">
        <v>202</v>
      </c>
      <c r="F269" s="19" t="s">
        <v>203</v>
      </c>
      <c r="G269" s="19">
        <v>2</v>
      </c>
      <c r="V269" s="1"/>
      <c r="BN269" s="21"/>
    </row>
    <row r="270" spans="4:66" x14ac:dyDescent="0.25">
      <c r="D270" s="19" t="s">
        <v>298</v>
      </c>
      <c r="E270" s="19" t="s">
        <v>204</v>
      </c>
      <c r="F270" s="19" t="s">
        <v>205</v>
      </c>
      <c r="G270" s="19">
        <v>1</v>
      </c>
      <c r="V270" s="1"/>
      <c r="BN270" s="21"/>
    </row>
    <row r="273" spans="4:66" x14ac:dyDescent="0.25">
      <c r="D273" s="1" t="s">
        <v>206</v>
      </c>
    </row>
    <row r="274" spans="4:66" x14ac:dyDescent="0.25">
      <c r="D274" s="19" t="s">
        <v>312</v>
      </c>
      <c r="E274" s="19" t="s">
        <v>195</v>
      </c>
      <c r="F274" s="19" t="s">
        <v>196</v>
      </c>
      <c r="G274" s="19" t="s">
        <v>189</v>
      </c>
      <c r="V274" s="1"/>
      <c r="BN274" s="21"/>
    </row>
    <row r="275" spans="4:66" x14ac:dyDescent="0.25">
      <c r="D275" s="19" t="s">
        <v>288</v>
      </c>
      <c r="E275" s="19" t="s">
        <v>207</v>
      </c>
      <c r="F275" s="19" t="s">
        <v>191</v>
      </c>
      <c r="G275" s="19">
        <v>5</v>
      </c>
      <c r="V275" s="1"/>
      <c r="BN275" s="21"/>
    </row>
    <row r="276" spans="4:66" x14ac:dyDescent="0.25">
      <c r="D276" s="19" t="s">
        <v>291</v>
      </c>
      <c r="E276" s="19" t="s">
        <v>208</v>
      </c>
      <c r="F276" s="19" t="s">
        <v>209</v>
      </c>
      <c r="G276" s="19">
        <v>4</v>
      </c>
      <c r="V276" s="1"/>
      <c r="BN276" s="21"/>
    </row>
    <row r="277" spans="4:66" x14ac:dyDescent="0.25">
      <c r="D277" s="19" t="s">
        <v>294</v>
      </c>
      <c r="E277" s="19" t="s">
        <v>210</v>
      </c>
      <c r="F277" s="19" t="s">
        <v>211</v>
      </c>
      <c r="G277" s="19">
        <v>3</v>
      </c>
      <c r="V277" s="1"/>
      <c r="BN277" s="21"/>
    </row>
    <row r="278" spans="4:66" x14ac:dyDescent="0.25">
      <c r="D278" s="19" t="s">
        <v>296</v>
      </c>
      <c r="E278" s="19" t="s">
        <v>212</v>
      </c>
      <c r="F278" s="19" t="s">
        <v>213</v>
      </c>
      <c r="G278" s="19">
        <v>2</v>
      </c>
      <c r="V278" s="1"/>
      <c r="BN278" s="21"/>
    </row>
    <row r="279" spans="4:66" x14ac:dyDescent="0.25">
      <c r="D279" s="19" t="s">
        <v>299</v>
      </c>
      <c r="E279" s="19" t="s">
        <v>214</v>
      </c>
      <c r="F279" s="19" t="s">
        <v>215</v>
      </c>
      <c r="G279" s="19">
        <v>1</v>
      </c>
      <c r="V279" s="1"/>
      <c r="BN279" s="21"/>
    </row>
    <row r="282" spans="4:66" x14ac:dyDescent="0.25">
      <c r="D282" s="1" t="s">
        <v>216</v>
      </c>
    </row>
    <row r="283" spans="4:66" x14ac:dyDescent="0.25">
      <c r="D283" s="19" t="s">
        <v>312</v>
      </c>
      <c r="E283" s="19" t="s">
        <v>195</v>
      </c>
      <c r="F283" s="19" t="s">
        <v>196</v>
      </c>
      <c r="G283" s="19" t="s">
        <v>189</v>
      </c>
      <c r="V283" s="1"/>
      <c r="BN283" s="21"/>
    </row>
    <row r="284" spans="4:66" x14ac:dyDescent="0.25">
      <c r="D284" s="19" t="s">
        <v>289</v>
      </c>
      <c r="E284" s="19" t="s">
        <v>217</v>
      </c>
      <c r="F284" s="19" t="s">
        <v>218</v>
      </c>
      <c r="G284" s="19">
        <v>5</v>
      </c>
      <c r="V284" s="1"/>
      <c r="BN284" s="21"/>
    </row>
    <row r="285" spans="4:66" x14ac:dyDescent="0.25">
      <c r="D285" s="19" t="s">
        <v>292</v>
      </c>
      <c r="E285" s="19" t="s">
        <v>219</v>
      </c>
      <c r="F285" s="19" t="s">
        <v>220</v>
      </c>
      <c r="G285" s="19">
        <v>4</v>
      </c>
      <c r="V285" s="1"/>
      <c r="BN285" s="21"/>
    </row>
    <row r="286" spans="4:66" x14ac:dyDescent="0.25">
      <c r="D286" s="19" t="s">
        <v>302</v>
      </c>
      <c r="E286" s="19" t="s">
        <v>221</v>
      </c>
      <c r="F286" s="19" t="s">
        <v>192</v>
      </c>
      <c r="G286" s="19">
        <v>3</v>
      </c>
      <c r="V286" s="1"/>
      <c r="BN286" s="21"/>
    </row>
    <row r="287" spans="4:66" x14ac:dyDescent="0.25">
      <c r="D287" s="19" t="s">
        <v>297</v>
      </c>
      <c r="E287" s="19" t="s">
        <v>222</v>
      </c>
      <c r="F287" s="19" t="s">
        <v>223</v>
      </c>
      <c r="G287" s="19">
        <v>2</v>
      </c>
      <c r="V287" s="1"/>
      <c r="BN287" s="21"/>
    </row>
    <row r="288" spans="4:66" x14ac:dyDescent="0.25">
      <c r="D288" s="19" t="s">
        <v>300</v>
      </c>
      <c r="E288" s="19" t="s">
        <v>224</v>
      </c>
      <c r="F288" s="19" t="s">
        <v>225</v>
      </c>
      <c r="G288" s="19">
        <v>1</v>
      </c>
      <c r="V288" s="1"/>
      <c r="BN288" s="21"/>
    </row>
    <row r="291" spans="4:66" x14ac:dyDescent="0.25">
      <c r="D291" s="1" t="s">
        <v>226</v>
      </c>
    </row>
    <row r="292" spans="4:66" x14ac:dyDescent="0.25">
      <c r="D292" s="19" t="s">
        <v>312</v>
      </c>
      <c r="E292" s="19" t="s">
        <v>195</v>
      </c>
      <c r="F292" s="19" t="s">
        <v>196</v>
      </c>
      <c r="G292" s="19" t="s">
        <v>189</v>
      </c>
      <c r="V292" s="1"/>
      <c r="BN292" s="21"/>
    </row>
    <row r="293" spans="4:66" x14ac:dyDescent="0.25">
      <c r="D293" s="19" t="s">
        <v>313</v>
      </c>
      <c r="E293" s="19" t="s">
        <v>227</v>
      </c>
      <c r="F293" s="19" t="s">
        <v>228</v>
      </c>
      <c r="G293" s="19">
        <v>5</v>
      </c>
      <c r="V293" s="1"/>
      <c r="BN293" s="21"/>
    </row>
    <row r="294" spans="4:66" x14ac:dyDescent="0.25">
      <c r="D294" s="19" t="s">
        <v>314</v>
      </c>
      <c r="E294" s="19" t="s">
        <v>229</v>
      </c>
      <c r="F294" s="19" t="s">
        <v>230</v>
      </c>
      <c r="G294" s="19">
        <v>4</v>
      </c>
      <c r="V294" s="1"/>
      <c r="BN294" s="21"/>
    </row>
    <row r="295" spans="4:66" x14ac:dyDescent="0.25">
      <c r="D295" s="19" t="s">
        <v>315</v>
      </c>
      <c r="E295" s="19" t="s">
        <v>231</v>
      </c>
      <c r="F295" s="19" t="s">
        <v>232</v>
      </c>
      <c r="G295" s="19">
        <v>3</v>
      </c>
      <c r="V295" s="1"/>
      <c r="BN295" s="21"/>
    </row>
    <row r="296" spans="4:66" x14ac:dyDescent="0.25">
      <c r="D296" s="19" t="s">
        <v>316</v>
      </c>
      <c r="E296" s="19" t="s">
        <v>233</v>
      </c>
      <c r="F296" s="19" t="s">
        <v>234</v>
      </c>
      <c r="G296" s="19">
        <v>2</v>
      </c>
      <c r="V296" s="1"/>
      <c r="BN296" s="21"/>
    </row>
    <row r="297" spans="4:66" x14ac:dyDescent="0.25">
      <c r="D297" s="19" t="s">
        <v>317</v>
      </c>
      <c r="E297" s="19" t="s">
        <v>235</v>
      </c>
      <c r="F297" s="19" t="s">
        <v>236</v>
      </c>
      <c r="G297" s="19">
        <v>1</v>
      </c>
      <c r="V297" s="1"/>
      <c r="BN297" s="21"/>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24297-88C9-4B22-B2FA-CAB82FC60736}">
  <dimension ref="A1:A68"/>
  <sheetViews>
    <sheetView zoomScaleNormal="100" workbookViewId="0">
      <pane xSplit="1" topLeftCell="B1" activePane="topRight" state="frozenSplit"/>
      <selection pane="topRight" activeCell="A67" sqref="A67"/>
    </sheetView>
  </sheetViews>
  <sheetFormatPr defaultRowHeight="15" x14ac:dyDescent="0.25"/>
  <cols>
    <col min="1" max="1" width="36.7109375" customWidth="1"/>
  </cols>
  <sheetData>
    <row r="1" spans="1:1" ht="25.5" x14ac:dyDescent="0.35">
      <c r="A1" s="10" t="e" vm="1">
        <v>#VALUE!</v>
      </c>
    </row>
    <row r="3" spans="1:1" ht="15.75" x14ac:dyDescent="0.25">
      <c r="A3" s="5" t="str">
        <f>HYPERLINK("#'Home'!A1", "Home")</f>
        <v>Home</v>
      </c>
    </row>
    <row r="4" spans="1:1" ht="15.75" x14ac:dyDescent="0.25">
      <c r="A4" s="5" t="str">
        <f>HYPERLINK("#'Results - Activity period'!A1", "Results - Activity period")</f>
        <v>Results - Activity period</v>
      </c>
    </row>
    <row r="5" spans="1:1" ht="15.75" x14ac:dyDescent="0.25">
      <c r="A5" s="5" t="str">
        <f>HYPERLINK("#'Results - Product EI'!A1", "Results - Product Emissions Intensity")</f>
        <v>Results - Product Emissions Intensity</v>
      </c>
    </row>
    <row r="6" spans="1:1" ht="15.75" x14ac:dyDescent="0.25">
      <c r="A6" s="278" t="str">
        <f>HYPERLINK("#'Results'!A1", "Results")</f>
        <v>Results</v>
      </c>
    </row>
    <row r="9" spans="1:1" x14ac:dyDescent="0.25">
      <c r="A9" s="7" t="s">
        <v>0</v>
      </c>
    </row>
    <row r="10" spans="1:1" ht="15.75" x14ac:dyDescent="0.25">
      <c r="A10" s="5" t="str">
        <f>HYPERLINK("#'Input - Enterprise'!A1", "Enterprise")</f>
        <v>Enterprise</v>
      </c>
    </row>
    <row r="11" spans="1:1" ht="15.75" x14ac:dyDescent="0.25">
      <c r="A11" s="5" t="str">
        <f>HYPERLINK("#'Input - Site'!A1", "Site")</f>
        <v>Site</v>
      </c>
    </row>
    <row r="12" spans="1:1" ht="15.75" x14ac:dyDescent="0.25">
      <c r="A12" s="5" t="str">
        <f>HYPERLINK("#'Input - Dairy'!A1", "Dairy")</f>
        <v>Dairy</v>
      </c>
    </row>
    <row r="13" spans="1:1" ht="15.75" x14ac:dyDescent="0.25">
      <c r="A13" s="5" t="str">
        <f>HYPERLINK("#'Input - Livestock sales'!A1", "Livestock sales")</f>
        <v>Livestock sales</v>
      </c>
    </row>
    <row r="14" spans="1:1" ht="15.75" x14ac:dyDescent="0.25">
      <c r="A14" s="5" t="str">
        <f>HYPERLINK("#'Input - Dairy cattle purchases'!A1", "Dairy cattle purchases")</f>
        <v>Dairy cattle purchases</v>
      </c>
    </row>
    <row r="15" spans="1:1" ht="15.75" x14ac:dyDescent="0.25">
      <c r="A15" s="5" t="str">
        <f>HYPERLINK("#'Input - Pasture'!A1", "Pasture")</f>
        <v>Pasture</v>
      </c>
    </row>
    <row r="16" spans="1:1" ht="15.75" x14ac:dyDescent="0.25">
      <c r="A16" s="5" t="str">
        <f>HYPERLINK("#'Input - Fert Prod System'!A1", "Fert Prod System")</f>
        <v>Fert Prod System</v>
      </c>
    </row>
    <row r="17" spans="1:1" ht="15.75" x14ac:dyDescent="0.25">
      <c r="A17" s="5" t="str">
        <f>HYPERLINK("#'Input - Fertiliser'!A1", "Fertiliser")</f>
        <v>Fertiliser</v>
      </c>
    </row>
    <row r="18" spans="1:1" ht="15.75" x14ac:dyDescent="0.25">
      <c r="A18" s="5" t="str">
        <f>HYPERLINK("#'Input - Fuel'!A1", "Fuel")</f>
        <v>Fuel</v>
      </c>
    </row>
    <row r="19" spans="1:1" ht="15.75" x14ac:dyDescent="0.25">
      <c r="A19" s="5" t="str">
        <f>HYPERLINK("#'Input - Electricity'!A1", "Electricity")</f>
        <v>Electricity</v>
      </c>
    </row>
    <row r="20" spans="1:1" ht="15.75" x14ac:dyDescent="0.25">
      <c r="A20" s="5" t="str">
        <f>HYPERLINK("#'Input - Common farm inputs'!A1", "Common farm inputs")</f>
        <v>Common farm inputs</v>
      </c>
    </row>
    <row r="21" spans="1:1" ht="15.75" x14ac:dyDescent="0.25">
      <c r="A21" s="5" t="str">
        <f>HYPERLINK("#'Input - Crop pasture farm input'!A1", "Crop pasture farm input")</f>
        <v>Crop pasture farm input</v>
      </c>
    </row>
    <row r="22" spans="1:1" ht="15.75" x14ac:dyDescent="0.25">
      <c r="A22" s="5" t="str">
        <f>HYPERLINK("#'Input - Livestock farm Inputs'!A1", "Livestock farm Inputs")</f>
        <v>Livestock farm Inputs</v>
      </c>
    </row>
    <row r="23" spans="1:1" ht="15.75" x14ac:dyDescent="0.25">
      <c r="A23" s="5" t="str">
        <f>HYPERLINK("#'Input - Freight'!A1", "Freight")</f>
        <v>Freight</v>
      </c>
    </row>
    <row r="24" spans="1:1" ht="15.75" x14ac:dyDescent="0.25">
      <c r="A24" s="5" t="str">
        <f>HYPERLINK("#'Input - Solid waste'!A1", "Solid waste")</f>
        <v>Solid waste</v>
      </c>
    </row>
    <row r="25" spans="1:1" ht="15.75" x14ac:dyDescent="0.25">
      <c r="A25" s="5" t="str">
        <f>HYPERLINK("#'Input - Manure sent off-site'!A1", "Manure sent off-site")</f>
        <v>Manure sent off-site</v>
      </c>
    </row>
    <row r="26" spans="1:1" ht="15.75" x14ac:dyDescent="0.25">
      <c r="A26" s="5" t="str">
        <f>HYPERLINK("#'Input - Refrigerants'!A1", "Refrigerants")</f>
        <v>Refrigerants</v>
      </c>
    </row>
    <row r="27" spans="1:1" ht="15.75" x14ac:dyDescent="0.25">
      <c r="A27" s="5" t="str">
        <f>HYPERLINK("#'Input - Data quality'!A1", "Data quality")</f>
        <v>Data quality</v>
      </c>
    </row>
    <row r="30" spans="1:1" x14ac:dyDescent="0.25">
      <c r="A30" s="6" t="s">
        <v>2</v>
      </c>
    </row>
    <row r="31" spans="1:1" ht="15.75" x14ac:dyDescent="0.25">
      <c r="A31" s="5" t="str">
        <f>HYPERLINK("#'3.3.1.1-2 Enteric Methane'!A1", "3.3.1.1-2 Enteric methane")</f>
        <v>3.3.1.1-2 Enteric methane</v>
      </c>
    </row>
    <row r="32" spans="1:1" ht="15.75" x14ac:dyDescent="0.25">
      <c r="A32" s="5" t="str">
        <f>HYPERLINK("#'4.3.1.1-2 Methane'!A1", "4.3.1.1-2 Manure methane")</f>
        <v>4.3.1.1-2 Manure methane</v>
      </c>
    </row>
    <row r="33" spans="1:1" ht="15.75" x14ac:dyDescent="0.25">
      <c r="A33" s="5" t="str">
        <f>HYPERLINK("#'4.3.1.3-4 Direct N20'!A1", "4.3.1.3-4 Direct N20")</f>
        <v>4.3.1.3-4 Direct N20</v>
      </c>
    </row>
    <row r="34" spans="1:1" ht="15.75" x14ac:dyDescent="0.25">
      <c r="A34" s="5" t="str">
        <f>HYPERLINK("#'4.3.1.5 Atmos deposition'!A1", "4.3.1.5 Atmos deposition")</f>
        <v>4.3.1.5 Atmos deposition</v>
      </c>
    </row>
    <row r="35" spans="1:1" ht="15.75" x14ac:dyDescent="0.25">
      <c r="A35" s="5" t="str">
        <f>HYPERLINK("#'4.3.1.6-7 Leaching and runoff'!A1", "4.3.1.6-7 Leaching &amp; runoff")</f>
        <v>4.3.1.6-7 Leaching &amp; runoff</v>
      </c>
    </row>
    <row r="36" spans="1:1" ht="15.75" x14ac:dyDescent="0.25">
      <c r="A36" s="5" t="str">
        <f>HYPERLINK("#'4.3.1.8 Manure applied to soils'!A1", "4.3.1.8 Manure applied to soils")</f>
        <v>4.3.1.8 Manure applied to soils</v>
      </c>
    </row>
    <row r="37" spans="1:1" ht="15.75" x14ac:dyDescent="0.25">
      <c r="A37" s="5" t="str">
        <f>HYPERLINK("#'4.3.1.9 Soil direct N2O'!A1", "4.3.1.9 Soil direct N2O")</f>
        <v>4.3.1.9 Soil direct N2O</v>
      </c>
    </row>
    <row r="38" spans="1:1" ht="15.75" x14ac:dyDescent="0.25">
      <c r="A38" s="5" t="str">
        <f>HYPERLINK("#'4.3.1.10-11 Soil Atmos Dep'!A1", "4.3.1.10-11 Soil Atmos Deposition")</f>
        <v>4.3.1.10-11 Soil Atmos Deposition</v>
      </c>
    </row>
    <row r="39" spans="1:1" ht="15.75" x14ac:dyDescent="0.25">
      <c r="A39" s="5" t="str">
        <f>HYPERLINK("#'4.3.1.12-13 Soil leach runoff'!A1", "4.3.1.12-13 Soil leach &amp; runoff")</f>
        <v>4.3.1.12-13 Soil leach &amp; runoff</v>
      </c>
    </row>
    <row r="40" spans="1:1" ht="15.75" x14ac:dyDescent="0.25">
      <c r="A40" s="5" t="str">
        <f>HYPERLINK("#'5.1.1.1-2 Inorganic fert N2O'!A1", "5.1.1.1-2 Inorganic fert N2O")</f>
        <v>5.1.1.1-2 Inorganic fert N2O</v>
      </c>
    </row>
    <row r="41" spans="1:1" ht="15.75" x14ac:dyDescent="0.25">
      <c r="A41" s="5" t="str">
        <f>HYPERLINK("#'5.1.1.3-4 Inorganic fert CO2'!A1", "5.1.1.3-4 Inorganic fert CO2")</f>
        <v>5.1.1.3-4 Inorganic fert CO2</v>
      </c>
    </row>
    <row r="42" spans="1:1" ht="15.75" x14ac:dyDescent="0.25">
      <c r="A42" s="5" t="str">
        <f>HYPERLINK("#'5.2.1.1-2 Organic Fert N2O'!A1", "5.2.1.1-2 Organic fert N2O")</f>
        <v>5.2.1.1-2 Organic fert N2O</v>
      </c>
    </row>
    <row r="43" spans="1:1" ht="15.75" x14ac:dyDescent="0.25">
      <c r="A43" s="5" t="str">
        <f>HYPERLINK("#'5.3.1.1-2 Lime CO2'!A1", "5.3.1.1-2 Lime CO2")</f>
        <v>5.3.1.1-2 Lime CO2</v>
      </c>
    </row>
    <row r="44" spans="1:1" ht="15.75" x14ac:dyDescent="0.25">
      <c r="A44" s="5" t="str">
        <f>HYPERLINK("#'5.4.1.1-4 Atmos deposition'!A1", "5.4.1.1-4 Atmos. deposition")</f>
        <v>5.4.1.1-4 Atmos. deposition</v>
      </c>
    </row>
    <row r="45" spans="1:1" ht="15.75" x14ac:dyDescent="0.25">
      <c r="A45" s="5" t="str">
        <f>HYPERLINK("#'5.5.1.1-2 Leaching and runoff'!A1", "5.5.1.1-2 Leaching &amp; runoff")</f>
        <v>5.5.1.1-2 Leaching &amp; runoff</v>
      </c>
    </row>
    <row r="46" spans="1:1" ht="15.75" x14ac:dyDescent="0.25">
      <c r="A46" s="5" t="str">
        <f>HYPERLINK("#'6.2.1.1-2 Pasture residue N2O'!A1", "6.2.1.1-2 Pasture residue N2O")</f>
        <v>6.2.1.1-2 Pasture residue N2O</v>
      </c>
    </row>
    <row r="47" spans="1:1" ht="15.75" x14ac:dyDescent="0.25">
      <c r="A47" s="5" t="str">
        <f>HYPERLINK("#'6.3.1.1-2 Leach runoff pasture'!A1", "6.3.1.1-2 Leach &amp; runoff (pasture)")</f>
        <v>6.3.1.1-2 Leach &amp; runoff (pasture)</v>
      </c>
    </row>
    <row r="48" spans="1:1" ht="15.75" x14ac:dyDescent="0.25">
      <c r="A48" s="5" t="str">
        <f>HYPERLINK("#'8.1.1.1-2 Transport fuel'!A1", "8.1.1.1-2 Transport fuel")</f>
        <v>8.1.1.1-2 Transport fuel</v>
      </c>
    </row>
    <row r="49" spans="1:1" ht="15.75" x14ac:dyDescent="0.25">
      <c r="A49" s="5" t="str">
        <f>HYPERLINK("#'8.2.1.1-2 Stationary fuel'!A1", "8.2.1.1-2 Stationary fuel")</f>
        <v>8.2.1.1-2 Stationary fuel</v>
      </c>
    </row>
    <row r="50" spans="1:1" ht="15.75" x14ac:dyDescent="0.25">
      <c r="A50" s="5" t="str">
        <f>HYPERLINK("#'9.1.1.1-2 Refrigerant use'!A1", "9.1.1.1-2 Refrigerant use")</f>
        <v>9.1.1.1-2 Refrigerant use</v>
      </c>
    </row>
    <row r="51" spans="1:1" ht="15.75" x14ac:dyDescent="0.25">
      <c r="A51" s="5" t="str">
        <f>HYPERLINK("#'10.1.1-2 Solid waste treatment'!A1", "10.1.1.1-2 Solid waste")</f>
        <v>10.1.1.1-2 Solid waste</v>
      </c>
    </row>
    <row r="52" spans="1:1" ht="15.75" x14ac:dyDescent="0.25">
      <c r="A52" s="5" t="str">
        <f>HYPERLINK("#'14.1.1-2 Purchased electricity'!A1", "14.1.1-2 Purchased electricity")</f>
        <v>14.1.1-2 Purchased electricity</v>
      </c>
    </row>
    <row r="53" spans="1:1" ht="15.75" x14ac:dyDescent="0.25">
      <c r="A53" s="5" t="str">
        <f>HYPERLINK("#'15 Scope 3'!A1", "15 Scope 3")</f>
        <v>15 Scope 3</v>
      </c>
    </row>
    <row r="54" spans="1:1" ht="15.75" x14ac:dyDescent="0.25">
      <c r="A54" s="5" t="str">
        <f>HYPERLINK("#'Calcs - Manure sent off-site'!A1", "Calcs - Manure sent off-site")</f>
        <v>Calcs - Manure sent off-site</v>
      </c>
    </row>
    <row r="57" spans="1:1" x14ac:dyDescent="0.25">
      <c r="A57" s="82" t="s">
        <v>1</v>
      </c>
    </row>
    <row r="58" spans="1:1" ht="15.75" x14ac:dyDescent="0.25">
      <c r="A58" s="5" t="str">
        <f>HYPERLINK("#'Constants - Dairy'!A1", "Constants - Dairy")</f>
        <v>Constants - Dairy</v>
      </c>
    </row>
    <row r="59" spans="1:1" ht="15.75" x14ac:dyDescent="0.25">
      <c r="A59" s="5" t="str">
        <f>HYPERLINK("#'Constants - Ag Residue'!A1", "Constants - Ag residue")</f>
        <v>Constants - Ag residue</v>
      </c>
    </row>
    <row r="60" spans="1:1" ht="15.75" x14ac:dyDescent="0.25">
      <c r="A60" s="5" t="str">
        <f>HYPERLINK("#'Constants - Common Livestock'!A1", "Constants - Common Livestock")</f>
        <v>Constants - Common Livestock</v>
      </c>
    </row>
    <row r="61" spans="1:1" ht="15.75" x14ac:dyDescent="0.25">
      <c r="A61" s="5" t="str">
        <f>HYPERLINK("#'Constants - Electricity'!A1", "Constants - Electricity")</f>
        <v>Constants - Electricity</v>
      </c>
    </row>
    <row r="62" spans="1:1" ht="15.75" x14ac:dyDescent="0.25">
      <c r="A62" s="5" t="str">
        <f>HYPERLINK("#'Constants - Fertiliser'!A1", "Constants - Fertiliser")</f>
        <v>Constants - Fertiliser</v>
      </c>
    </row>
    <row r="63" spans="1:1" ht="15.75" x14ac:dyDescent="0.25">
      <c r="A63" s="5" t="str">
        <f>HYPERLINK("#'Constants - Fuel'!A1", "Constants - Fuel")</f>
        <v>Constants - Fuel</v>
      </c>
    </row>
    <row r="64" spans="1:1" ht="15.75" x14ac:dyDescent="0.25">
      <c r="A64" s="5" t="str">
        <f>HYPERLINK("#'Constants - Scope 3'!A1", "Constants - Scope 3")</f>
        <v>Constants - Scope 3</v>
      </c>
    </row>
    <row r="65" spans="1:1" ht="15.75" x14ac:dyDescent="0.25">
      <c r="A65" s="5" t="str">
        <f>HYPERLINK("#'Constants - Common'!A1", "Constants - Common")</f>
        <v>Constants - Common</v>
      </c>
    </row>
    <row r="66" spans="1:1" ht="15.75" x14ac:dyDescent="0.25">
      <c r="A66" s="5" t="str">
        <f>HYPERLINK("#'Constants - Refrigerants'!A1", "Constants - Refrigerants")</f>
        <v>Constants - Refrigerants</v>
      </c>
    </row>
    <row r="67" spans="1:1" ht="15.75" x14ac:dyDescent="0.25">
      <c r="A67" s="5" t="str">
        <f>HYPERLINK("#'Constants - Solid Waste'!A1", "Constants - Solid Waste")</f>
        <v>Constants - Solid Waste</v>
      </c>
    </row>
    <row r="68" spans="1:1" ht="15.75" x14ac:dyDescent="0.25">
      <c r="A68" s="5" t="str">
        <f>HYPERLINK("#'Acknowledgements'!A1", "Acknowledgements")</f>
        <v>Acknowledgements</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49FE-7C5E-41CF-AA12-697740D52206}">
  <sheetPr>
    <tabColor theme="5" tint="-0.249977111117893"/>
  </sheetPr>
  <dimension ref="A1:I363"/>
  <sheetViews>
    <sheetView showGridLines="0" topLeftCell="A36" zoomScaleNormal="100" workbookViewId="0">
      <pane xSplit="1" topLeftCell="B1" activePane="topRight" state="frozenSplit"/>
      <selection pane="topRight" activeCell="A66" sqref="A66"/>
    </sheetView>
  </sheetViews>
  <sheetFormatPr defaultRowHeight="15.75" x14ac:dyDescent="0.25"/>
  <cols>
    <col min="1" max="1" width="36.7109375" customWidth="1"/>
    <col min="2" max="2" width="4.7109375" customWidth="1"/>
    <col min="3" max="3" width="4.7109375" style="1" customWidth="1"/>
    <col min="4" max="4" width="52.140625" style="1" customWidth="1"/>
    <col min="5" max="5" width="47" style="1" customWidth="1"/>
    <col min="6" max="8" width="24.85546875" style="1" customWidth="1"/>
    <col min="9" max="9" width="4.7109375" style="1" customWidth="1"/>
    <col min="10" max="10" width="4.7109375" customWidth="1"/>
  </cols>
  <sheetData>
    <row r="1" spans="1:9" s="10" customFormat="1" ht="30" customHeight="1" x14ac:dyDescent="0.35">
      <c r="A1" s="10" t="e" vm="1">
        <v>#VALUE!</v>
      </c>
      <c r="C1" s="10" t="s">
        <v>1002</v>
      </c>
    </row>
    <row r="2" spans="1:9" s="3" customFormat="1" ht="20.100000000000001" customHeight="1" x14ac:dyDescent="0.25">
      <c r="A2"/>
    </row>
    <row r="3" spans="1:9" ht="20.100000000000001" customHeight="1" x14ac:dyDescent="0.25">
      <c r="A3" s="5" t="str">
        <f>HYPERLINK("#'Home'!A1", "Home")</f>
        <v>Home</v>
      </c>
      <c r="C3" s="28"/>
      <c r="D3" s="28"/>
      <c r="E3" s="28"/>
      <c r="F3" s="28"/>
      <c r="G3" s="28"/>
      <c r="H3" s="28"/>
      <c r="I3" s="28"/>
    </row>
    <row r="4" spans="1:9" ht="20.100000000000001" customHeight="1" x14ac:dyDescent="0.25">
      <c r="A4" s="5" t="str">
        <f>HYPERLINK("#'Results - Activity period'!A1", "Results - Activity period")</f>
        <v>Results - Activity period</v>
      </c>
    </row>
    <row r="5" spans="1:9" ht="20.100000000000001" customHeight="1" x14ac:dyDescent="0.25">
      <c r="A5" s="5" t="str">
        <f>HYPERLINK("#'Results - Product EI'!A1", "Results - Product Emissions Intensity")</f>
        <v>Results - Product Emissions Intensity</v>
      </c>
      <c r="D5" s="2" t="s">
        <v>1003</v>
      </c>
    </row>
    <row r="6" spans="1:9" ht="20.100000000000001" customHeight="1" x14ac:dyDescent="0.25">
      <c r="A6" s="5" t="str">
        <f>HYPERLINK("#'Results'!A1", "Results")</f>
        <v>Results</v>
      </c>
      <c r="D6" s="8"/>
      <c r="E6" s="8"/>
      <c r="F6" s="8"/>
      <c r="G6" s="8"/>
      <c r="H6" s="8"/>
    </row>
    <row r="7" spans="1:9" ht="20.100000000000001" customHeight="1" x14ac:dyDescent="0.25">
      <c r="D7" s="35" t="s">
        <v>879</v>
      </c>
      <c r="E7" s="37"/>
      <c r="F7" s="37"/>
      <c r="G7" s="38"/>
      <c r="H7" s="24"/>
    </row>
    <row r="8" spans="1:9" ht="20.100000000000001" customHeight="1" x14ac:dyDescent="0.25">
      <c r="E8" s="24"/>
      <c r="F8" s="24"/>
      <c r="G8" s="24"/>
      <c r="H8" s="24"/>
    </row>
    <row r="9" spans="1:9" ht="20.100000000000001" customHeight="1" x14ac:dyDescent="0.25">
      <c r="A9" s="7" t="s">
        <v>0</v>
      </c>
      <c r="D9" s="81" t="s">
        <v>1004</v>
      </c>
      <c r="E9" s="81" t="s">
        <v>1005</v>
      </c>
      <c r="F9" s="81" t="s">
        <v>1006</v>
      </c>
      <c r="G9" s="81" t="s">
        <v>1007</v>
      </c>
      <c r="H9" s="81" t="s">
        <v>1008</v>
      </c>
    </row>
    <row r="10" spans="1:9" ht="20.100000000000001" customHeight="1" x14ac:dyDescent="0.25">
      <c r="A10" s="5" t="str">
        <f>HYPERLINK("#'Input - Enterprise'!A1", "Enterprise")</f>
        <v>Enterprise</v>
      </c>
      <c r="D10" s="33" t="s">
        <v>1009</v>
      </c>
      <c r="E10" s="13" t="s">
        <v>1010</v>
      </c>
      <c r="F10" s="13" t="s">
        <v>1011</v>
      </c>
      <c r="G10" s="75">
        <v>10</v>
      </c>
      <c r="H10" s="75">
        <v>5</v>
      </c>
    </row>
    <row r="11" spans="1:9" ht="20.100000000000001" customHeight="1" x14ac:dyDescent="0.25">
      <c r="A11" s="5" t="str">
        <f>HYPERLINK("#'Input - Site'!A1", "Site")</f>
        <v>Site</v>
      </c>
      <c r="D11" s="33" t="s">
        <v>1012</v>
      </c>
      <c r="E11" s="13" t="s">
        <v>1013</v>
      </c>
      <c r="F11" s="13" t="s">
        <v>1014</v>
      </c>
      <c r="G11" s="75">
        <v>10</v>
      </c>
      <c r="H11" s="75">
        <v>5</v>
      </c>
    </row>
    <row r="12" spans="1:9" ht="20.100000000000001" customHeight="1" x14ac:dyDescent="0.25">
      <c r="A12" s="5" t="str">
        <f>HYPERLINK("#'Input - Dairy'!A1", "Dairy")</f>
        <v>Dairy</v>
      </c>
      <c r="D12" s="33" t="s">
        <v>1015</v>
      </c>
      <c r="E12" s="13" t="s">
        <v>1016</v>
      </c>
      <c r="F12" s="13" t="s">
        <v>1017</v>
      </c>
      <c r="G12" s="75">
        <v>10</v>
      </c>
      <c r="H12" s="75">
        <v>13</v>
      </c>
    </row>
    <row r="13" spans="1:9" ht="20.100000000000001" customHeight="1" x14ac:dyDescent="0.25">
      <c r="A13" s="5" t="str">
        <f>HYPERLINK("#'Input - Livestock sales'!A1", "Livestock sales")</f>
        <v>Livestock sales</v>
      </c>
      <c r="D13" s="33" t="s">
        <v>1018</v>
      </c>
      <c r="E13" s="13" t="s">
        <v>1013</v>
      </c>
      <c r="F13" s="13" t="s">
        <v>1017</v>
      </c>
      <c r="G13" s="75">
        <v>10</v>
      </c>
      <c r="H13" s="75">
        <v>10</v>
      </c>
    </row>
    <row r="14" spans="1:9" ht="20.100000000000001" customHeight="1" x14ac:dyDescent="0.25">
      <c r="A14" s="5" t="str">
        <f>HYPERLINK("#'Input - Dairy cattle purchases'!A1", "Dairy cattle purchases")</f>
        <v>Dairy cattle purchases</v>
      </c>
      <c r="D14" s="33" t="s">
        <v>1019</v>
      </c>
      <c r="E14" s="13" t="s">
        <v>1020</v>
      </c>
      <c r="F14" s="13" t="s">
        <v>1021</v>
      </c>
      <c r="G14" s="75">
        <v>10</v>
      </c>
      <c r="H14" s="75">
        <v>10</v>
      </c>
    </row>
    <row r="15" spans="1:9" ht="20.100000000000001" customHeight="1" x14ac:dyDescent="0.25">
      <c r="A15" s="5" t="str">
        <f>HYPERLINK("#'Input - Pasture'!A1", "Pasture")</f>
        <v>Pasture</v>
      </c>
      <c r="D15" s="33"/>
      <c r="E15" s="96"/>
      <c r="F15" s="96"/>
      <c r="G15" s="245"/>
      <c r="H15" s="245"/>
    </row>
    <row r="16" spans="1:9" ht="20.100000000000001" customHeight="1" x14ac:dyDescent="0.25">
      <c r="A16" s="5" t="str">
        <f>HYPERLINK("#'Input - Fert Prod System'!A1", "Fert Prod System")</f>
        <v>Fert Prod System</v>
      </c>
      <c r="D16" s="33"/>
      <c r="E16" s="96"/>
      <c r="F16" s="96"/>
      <c r="G16" s="245"/>
      <c r="H16" s="245"/>
    </row>
    <row r="17" spans="1:8" ht="20.100000000000001" customHeight="1" x14ac:dyDescent="0.25">
      <c r="A17" s="5" t="str">
        <f>HYPERLINK("#'Input - Fertiliser'!A1", "Fertiliser")</f>
        <v>Fertiliser</v>
      </c>
      <c r="D17" s="33"/>
      <c r="E17" s="96"/>
      <c r="F17" s="96"/>
      <c r="G17" s="245"/>
      <c r="H17" s="245"/>
    </row>
    <row r="18" spans="1:8" ht="20.100000000000001" customHeight="1" x14ac:dyDescent="0.25">
      <c r="A18" s="5" t="str">
        <f>HYPERLINK("#'Input - Fuel'!A1", "Fuel")</f>
        <v>Fuel</v>
      </c>
      <c r="D18" s="33"/>
      <c r="E18" s="96"/>
      <c r="F18" s="96"/>
      <c r="G18" s="245"/>
      <c r="H18" s="245"/>
    </row>
    <row r="19" spans="1:8" ht="20.100000000000001" customHeight="1" x14ac:dyDescent="0.25">
      <c r="A19" s="5" t="str">
        <f>HYPERLINK("#'Input - Electricity'!A1", "Electricity")</f>
        <v>Electricity</v>
      </c>
      <c r="D19" s="33"/>
      <c r="E19" s="96"/>
      <c r="F19" s="96"/>
      <c r="G19" s="245"/>
      <c r="H19" s="245"/>
    </row>
    <row r="20" spans="1:8" ht="20.100000000000001" customHeight="1" x14ac:dyDescent="0.25">
      <c r="A20" s="5" t="str">
        <f>HYPERLINK("#'Input - Common farm inputs'!A1", "Common farm inputs")</f>
        <v>Common farm inputs</v>
      </c>
    </row>
    <row r="21" spans="1:8" ht="20.100000000000001" customHeight="1" x14ac:dyDescent="0.25">
      <c r="A21" s="5" t="str">
        <f>HYPERLINK("#'Input - Crop pasture farm input'!A1", "Crop pasture farm input")</f>
        <v>Crop pasture farm input</v>
      </c>
    </row>
    <row r="22" spans="1:8" ht="20.100000000000001" customHeight="1" x14ac:dyDescent="0.25">
      <c r="A22" s="5" t="str">
        <f>HYPERLINK("#'Input - Livestock farm Inputs'!A1", "Livestock farm Inputs")</f>
        <v>Livestock farm Inputs</v>
      </c>
    </row>
    <row r="23" spans="1:8" ht="20.100000000000001" customHeight="1" x14ac:dyDescent="0.25">
      <c r="A23" s="5" t="str">
        <f>HYPERLINK("#'Input - Freight'!A1", "Freight")</f>
        <v>Freight</v>
      </c>
    </row>
    <row r="24" spans="1:8" ht="20.100000000000001" customHeight="1" x14ac:dyDescent="0.25">
      <c r="A24" s="5" t="str">
        <f>HYPERLINK("#'Input - Solid waste'!A1", "Solid waste")</f>
        <v>Solid waste</v>
      </c>
    </row>
    <row r="25" spans="1:8" ht="20.100000000000001" customHeight="1" x14ac:dyDescent="0.25">
      <c r="A25" s="5" t="str">
        <f>HYPERLINK("#'Input - Manure sent off-site'!A1", "Manure sent off-site")</f>
        <v>Manure sent off-site</v>
      </c>
    </row>
    <row r="26" spans="1:8" ht="20.100000000000001" customHeight="1" x14ac:dyDescent="0.25">
      <c r="A26" s="99" t="str">
        <f>HYPERLINK("#'Input - Refrigerants'!A1", "Refrigerants")</f>
        <v>Refrigerants</v>
      </c>
    </row>
    <row r="27" spans="1:8" ht="20.100000000000001" customHeight="1" x14ac:dyDescent="0.25">
      <c r="A27" s="5" t="str">
        <f>HYPERLINK("#'Input - Data quality'!A1", "Data quality")</f>
        <v>Data quality</v>
      </c>
    </row>
    <row r="28" spans="1:8" ht="20.100000000000001" customHeight="1" x14ac:dyDescent="0.25"/>
    <row r="29" spans="1:8" ht="20.100000000000001" customHeight="1" x14ac:dyDescent="0.25"/>
    <row r="30" spans="1:8" ht="20.100000000000001" customHeight="1" x14ac:dyDescent="0.25">
      <c r="A30" s="6" t="s">
        <v>2</v>
      </c>
    </row>
    <row r="31" spans="1:8" ht="20.100000000000001" customHeight="1" x14ac:dyDescent="0.25">
      <c r="A31" s="5" t="str">
        <f>HYPERLINK("#'3.3.1.1-2 Enteric Methane'!A1", "3.3.1.1-2 Enteric methane")</f>
        <v>3.3.1.1-2 Enteric methane</v>
      </c>
    </row>
    <row r="32" spans="1:8" ht="20.100000000000001" customHeight="1" x14ac:dyDescent="0.25">
      <c r="A32" s="5" t="str">
        <f>HYPERLINK("#'4.3.1.1-2 Methane'!A1", "4.3.1.1-2 Manure methane")</f>
        <v>4.3.1.1-2 Manure methane</v>
      </c>
    </row>
    <row r="33" spans="1:9" ht="20.100000000000001" customHeight="1" x14ac:dyDescent="0.25">
      <c r="A33" s="5" t="str">
        <f>HYPERLINK("#'4.3.1.3-4 Direct N20'!A1", "4.3.1.3-4 Direct N20")</f>
        <v>4.3.1.3-4 Direct N20</v>
      </c>
    </row>
    <row r="34" spans="1:9" ht="20.100000000000001" customHeight="1" x14ac:dyDescent="0.25">
      <c r="A34" s="5" t="str">
        <f>HYPERLINK("#'4.3.1.5 Atmos deposition'!A1", "4.3.1.5 Atmos deposition")</f>
        <v>4.3.1.5 Atmos deposition</v>
      </c>
    </row>
    <row r="35" spans="1:9" ht="20.100000000000001" customHeight="1" x14ac:dyDescent="0.25">
      <c r="A35" s="5" t="str">
        <f>HYPERLINK("#'4.3.1.6-7 Leaching and runoff'!A1", "4.3.1.6-7 Leaching &amp; runoff")</f>
        <v>4.3.1.6-7 Leaching &amp; runoff</v>
      </c>
    </row>
    <row r="36" spans="1:9" ht="20.100000000000001" customHeight="1" x14ac:dyDescent="0.25">
      <c r="A36" s="5" t="str">
        <f>HYPERLINK("#'4.3.1.8 Manure applied to soils'!A1", "4.3.1.8 Manure applied to soils")</f>
        <v>4.3.1.8 Manure applied to soils</v>
      </c>
    </row>
    <row r="37" spans="1:9" ht="20.100000000000001" customHeight="1" x14ac:dyDescent="0.25">
      <c r="A37" s="5" t="str">
        <f>HYPERLINK("#'4.3.1.9 Soil direct N2O'!A1", "4.3.1.9 Soil direct N2O")</f>
        <v>4.3.1.9 Soil direct N2O</v>
      </c>
    </row>
    <row r="38" spans="1:9" ht="20.100000000000001" customHeight="1" x14ac:dyDescent="0.25">
      <c r="A38" s="5" t="str">
        <f>HYPERLINK("#'4.3.1.10-11 Soil Atmos Dep'!A1", "4.3.1.10-11 Soil Atmos Deposition")</f>
        <v>4.3.1.10-11 Soil Atmos Deposition</v>
      </c>
      <c r="C38" s="160"/>
      <c r="I38" s="160"/>
    </row>
    <row r="39" spans="1:9" ht="20.100000000000001" customHeight="1" x14ac:dyDescent="0.25">
      <c r="A39" s="5" t="str">
        <f>HYPERLINK("#'4.3.1.12-13 Soil leach runoff'!A1", "4.3.1.12-13 Soil leach &amp; runoff")</f>
        <v>4.3.1.12-13 Soil leach &amp; runoff</v>
      </c>
      <c r="C39" s="160"/>
      <c r="I39" s="160"/>
    </row>
    <row r="40" spans="1:9" s="172" customFormat="1" ht="20.100000000000001" customHeight="1" x14ac:dyDescent="0.25">
      <c r="A40" s="5" t="str">
        <f>HYPERLINK("#'5.1.1.1-2 Inorganic fert N2O'!A1", "5.1.1.1-2 Inorganic fert N2O")</f>
        <v>5.1.1.1-2 Inorganic fert N2O</v>
      </c>
      <c r="C40" s="1"/>
      <c r="D40" s="1"/>
      <c r="E40" s="1"/>
      <c r="F40" s="1"/>
      <c r="G40" s="1"/>
      <c r="H40" s="1"/>
      <c r="I40" s="1"/>
    </row>
    <row r="41" spans="1:9" s="172" customFormat="1" ht="20.100000000000001" customHeight="1" x14ac:dyDescent="0.25">
      <c r="A41" s="5" t="str">
        <f>HYPERLINK("#'5.1.1.3-4 Inorganic fert CO2'!A1", "5.1.1.3-4 Inorganic fert CO2")</f>
        <v>5.1.1.3-4 Inorganic fert CO2</v>
      </c>
      <c r="C41" s="1"/>
      <c r="D41" s="1"/>
      <c r="E41" s="1"/>
      <c r="F41" s="1"/>
      <c r="G41" s="1"/>
      <c r="H41" s="1"/>
      <c r="I41" s="1"/>
    </row>
    <row r="42" spans="1:9" ht="20.100000000000001" customHeight="1" x14ac:dyDescent="0.25">
      <c r="A42" s="5" t="str">
        <f>HYPERLINK("#'5.2.1.1-2 Organic Fert N2O'!A1", "5.2.1.1-2 Organic fert N2O")</f>
        <v>5.2.1.1-2 Organic fert N2O</v>
      </c>
    </row>
    <row r="43" spans="1:9" ht="20.100000000000001" customHeight="1" x14ac:dyDescent="0.25">
      <c r="A43" s="5" t="str">
        <f>HYPERLINK("#'5.3.1.1-2 Lime CO2'!A1", "5.3.1.1-2 Lime CO2")</f>
        <v>5.3.1.1-2 Lime CO2</v>
      </c>
    </row>
    <row r="44" spans="1:9" ht="20.100000000000001" customHeight="1" x14ac:dyDescent="0.25">
      <c r="A44" s="5" t="str">
        <f>HYPERLINK("#'5.4.1.1-4 Atmos deposition'!A1", "5.4.1.1-4 Atmos. deposition")</f>
        <v>5.4.1.1-4 Atmos. deposition</v>
      </c>
    </row>
    <row r="45" spans="1:9" ht="20.100000000000001" customHeight="1" x14ac:dyDescent="0.25">
      <c r="A45" s="5" t="str">
        <f>HYPERLINK("#'5.5.1.1-2 Leaching and runoff'!A1", "5.5.1.1-2 Leaching &amp; runoff")</f>
        <v>5.5.1.1-2 Leaching &amp; runoff</v>
      </c>
    </row>
    <row r="46" spans="1:9" ht="20.100000000000001" customHeight="1" x14ac:dyDescent="0.25">
      <c r="A46" s="5" t="str">
        <f>HYPERLINK("#'6.2.1.1-2 Pasture residue N2O'!A1", "6.2.1.1-2 Pasture residue N2O")</f>
        <v>6.2.1.1-2 Pasture residue N2O</v>
      </c>
    </row>
    <row r="47" spans="1:9" ht="20.100000000000001" customHeight="1" x14ac:dyDescent="0.25">
      <c r="A47" s="5" t="str">
        <f>HYPERLINK("#'6.3.1.1-2 Leach runoff pasture'!A1", "6.3.1.1-2 Leach &amp; runoff (pasture)")</f>
        <v>6.3.1.1-2 Leach &amp; runoff (pasture)</v>
      </c>
    </row>
    <row r="48" spans="1:9" ht="20.100000000000001" customHeight="1" x14ac:dyDescent="0.25">
      <c r="A48" s="5" t="str">
        <f>HYPERLINK("#'8.1.1.1-2 Transport fuel'!A1", "8.1.1.1-2 Transport fuel")</f>
        <v>8.1.1.1-2 Transport fuel</v>
      </c>
    </row>
    <row r="49" spans="1:1" ht="20.100000000000001" customHeight="1" x14ac:dyDescent="0.25">
      <c r="A49" s="5" t="str">
        <f>HYPERLINK("#'8.2.1.1-2 Stationary fuel'!A1", "8.2.1.1-2 Stationary fuel")</f>
        <v>8.2.1.1-2 Stationary fuel</v>
      </c>
    </row>
    <row r="50" spans="1:1" ht="20.100000000000001" customHeight="1" x14ac:dyDescent="0.25">
      <c r="A50" s="5" t="str">
        <f>HYPERLINK("#'9.1.1.1-2 Refrigerant use'!A1", "9.1.1.1-2 Refrigerant use")</f>
        <v>9.1.1.1-2 Refrigerant use</v>
      </c>
    </row>
    <row r="51" spans="1:1" ht="20.100000000000001" customHeight="1" x14ac:dyDescent="0.25">
      <c r="A51" s="5" t="str">
        <f>HYPERLINK("#'10.1.1-2 Solid waste treatment'!A1", "10.1.1.1-2 Solid waste")</f>
        <v>10.1.1.1-2 Solid waste</v>
      </c>
    </row>
    <row r="52" spans="1:1" ht="20.100000000000001" customHeight="1" x14ac:dyDescent="0.25">
      <c r="A52" s="5" t="str">
        <f>HYPERLINK("#'14.1.1-2 Purchased electricity'!A1", "14.1.1-2 Purchased electricity")</f>
        <v>14.1.1-2 Purchased electricity</v>
      </c>
    </row>
    <row r="53" spans="1:1" ht="20.100000000000001" customHeight="1" x14ac:dyDescent="0.25">
      <c r="A53" s="5" t="str">
        <f>HYPERLINK("#'15 Scope 3'!A1", "15 Scope 3")</f>
        <v>15 Scope 3</v>
      </c>
    </row>
    <row r="54" spans="1:1" ht="20.100000000000001" customHeight="1" x14ac:dyDescent="0.25">
      <c r="A54" s="5" t="str">
        <f>HYPERLINK("#'Calcs - Manure sent off-site'!A1", "Calcs - Manure sent off-site")</f>
        <v>Calcs - Manure sent off-site</v>
      </c>
    </row>
    <row r="55" spans="1:1" ht="20.100000000000001" customHeight="1" x14ac:dyDescent="0.25"/>
    <row r="56" spans="1:1" ht="20.100000000000001" customHeight="1" x14ac:dyDescent="0.25"/>
    <row r="57" spans="1:1" ht="20.100000000000001" customHeight="1" x14ac:dyDescent="0.25">
      <c r="A57" s="82" t="s">
        <v>1</v>
      </c>
    </row>
    <row r="58" spans="1:1" ht="20.100000000000001" customHeight="1" x14ac:dyDescent="0.25">
      <c r="A58" s="5" t="str">
        <f>HYPERLINK("#'Constants - Dairy'!A1", "Constants - Dairy")</f>
        <v>Constants - Dairy</v>
      </c>
    </row>
    <row r="59" spans="1:1" ht="20.100000000000001" customHeight="1" x14ac:dyDescent="0.25">
      <c r="A59" s="5" t="str">
        <f>HYPERLINK("#'Constants - Ag Residue'!A1", "Constants - Ag residue")</f>
        <v>Constants - Ag residue</v>
      </c>
    </row>
    <row r="60" spans="1:1" ht="20.100000000000001" customHeight="1" x14ac:dyDescent="0.25">
      <c r="A60" s="5" t="str">
        <f>HYPERLINK("#'Constants - Common Livestock'!A1", "Constants - Common Livestock")</f>
        <v>Constants - Common Livestock</v>
      </c>
    </row>
    <row r="61" spans="1:1" ht="20.100000000000001" customHeight="1" x14ac:dyDescent="0.25">
      <c r="A61" s="5" t="str">
        <f>HYPERLINK("#'Constants - Electricity'!A1", "Constants - Electricity")</f>
        <v>Constants - Electricity</v>
      </c>
    </row>
    <row r="62" spans="1:1" ht="20.100000000000001" customHeight="1" x14ac:dyDescent="0.25">
      <c r="A62" s="5" t="str">
        <f>HYPERLINK("#'Constants - Fertiliser'!A1", "Constants - Fertiliser")</f>
        <v>Constants - Fertiliser</v>
      </c>
    </row>
    <row r="63" spans="1:1" ht="20.100000000000001" customHeight="1" x14ac:dyDescent="0.25">
      <c r="A63" s="5" t="str">
        <f>HYPERLINK("#'Constants - Fuel'!A1", "Constants - Fuel")</f>
        <v>Constants - Fuel</v>
      </c>
    </row>
    <row r="64" spans="1:1" ht="20.100000000000001" customHeight="1" x14ac:dyDescent="0.25">
      <c r="A64" s="5" t="str">
        <f>HYPERLINK("#'Constants - Scope 3'!A1", "Constants - Scope 3")</f>
        <v>Constants - Scope 3</v>
      </c>
    </row>
    <row r="65" spans="1:1" ht="20.100000000000001" customHeight="1" x14ac:dyDescent="0.25">
      <c r="A65" s="5" t="str">
        <f>HYPERLINK("#'Constants - Common'!A1", "Constants - Common")</f>
        <v>Constants - Common</v>
      </c>
    </row>
    <row r="66" spans="1:1" ht="20.100000000000001" customHeight="1" x14ac:dyDescent="0.25">
      <c r="A66" s="5" t="str">
        <f>HYPERLINK("#'Constants - Refrigerants'!A1", "Constants - Refrigerants")</f>
        <v>Constants - Refrigerants</v>
      </c>
    </row>
    <row r="67" spans="1:1" ht="20.100000000000001" customHeight="1" x14ac:dyDescent="0.25">
      <c r="A67" s="5" t="str">
        <f>HYPERLINK("#'Constants - Solid Waste'!A1", "Constants - Solid Waste")</f>
        <v>Constants - Solid Waste</v>
      </c>
    </row>
    <row r="68" spans="1:1" ht="20.100000000000001" customHeight="1" x14ac:dyDescent="0.25">
      <c r="A68" s="5" t="str">
        <f>HYPERLINK("#'Acknowledgements'!A1", "Acknowledgements")</f>
        <v>Acknowledgements</v>
      </c>
    </row>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3" spans="4:4" x14ac:dyDescent="0.25">
      <c r="D363" s="79"/>
    </row>
  </sheetData>
  <conditionalFormatting sqref="F49">
    <cfRule type="cellIs" dxfId="11" priority="5" operator="lessThan">
      <formula>0</formula>
    </cfRule>
  </conditionalFormatting>
  <conditionalFormatting sqref="F128:F129">
    <cfRule type="cellIs" dxfId="10" priority="4" operator="lessThan">
      <formula>0</formula>
    </cfRule>
  </conditionalFormatting>
  <conditionalFormatting sqref="F140:F141">
    <cfRule type="cellIs" dxfId="9" priority="3" operator="lessThan">
      <formula>0</formula>
    </cfRule>
  </conditionalFormatting>
  <conditionalFormatting sqref="F152:F153">
    <cfRule type="cellIs" dxfId="8" priority="2" operator="lessThan">
      <formula>0</formula>
    </cfRule>
  </conditionalFormatting>
  <conditionalFormatting sqref="F164:F165">
    <cfRule type="cellIs" dxfId="7" priority="1" operator="lessThan">
      <formula>0</formula>
    </cfRule>
  </conditionalFormatting>
  <conditionalFormatting sqref="F252:F253">
    <cfRule type="cellIs" dxfId="6" priority="12" operator="lessThan">
      <formula>0</formula>
    </cfRule>
  </conditionalFormatting>
  <conditionalFormatting sqref="F257:F258">
    <cfRule type="cellIs" dxfId="5" priority="11" operator="lessThan">
      <formula>0</formula>
    </cfRule>
  </conditionalFormatting>
  <conditionalFormatting sqref="F262:F263">
    <cfRule type="cellIs" dxfId="4" priority="10" operator="lessThan">
      <formula>0</formula>
    </cfRule>
  </conditionalFormatting>
  <conditionalFormatting sqref="F286:F287">
    <cfRule type="cellIs" dxfId="3" priority="9" operator="lessThan">
      <formula>0</formula>
    </cfRule>
  </conditionalFormatting>
  <conditionalFormatting sqref="F291:F292">
    <cfRule type="cellIs" dxfId="2" priority="8" operator="lessThan">
      <formula>0</formula>
    </cfRule>
  </conditionalFormatting>
  <conditionalFormatting sqref="F296:F297">
    <cfRule type="cellIs" dxfId="1" priority="7" operator="lessThan">
      <formula>0</formula>
    </cfRule>
  </conditionalFormatting>
  <conditionalFormatting sqref="H45:H47 E212:G212">
    <cfRule type="cellIs" dxfId="0" priority="6" operator="lessThan">
      <formula>0</formula>
    </cfRule>
  </conditionalFormatting>
  <dataValidations count="8">
    <dataValidation type="list" allowBlank="1" showInputMessage="1" showErrorMessage="1" sqref="E10:E19" xr:uid="{8A2A5E25-01BE-481C-BCBC-AE78E9AD37D6}">
      <formula1>INDIRECT("Table_Refrigerants_LeakageRates[Product]")</formula1>
    </dataValidation>
    <dataValidation type="list" allowBlank="1" showInputMessage="1" showErrorMessage="1" sqref="F10:F19" xr:uid="{226D4428-7699-4F84-9918-FB991803B232}">
      <formula1>INDIRECT("Table_RefrigerantBlends_Cleaned[Blend]")</formula1>
    </dataValidation>
    <dataValidation type="list" allowBlank="1" showInputMessage="1" showErrorMessage="1" sqref="D46:D47" xr:uid="{244EF259-984C-497F-9D2C-B37B72941332}">
      <formula1>INDIRECT("Table_SourceData_OrganicFertiliserTypes[Organic fertiliser type]")</formula1>
    </dataValidation>
    <dataValidation type="list" allowBlank="1" showInputMessage="1" showErrorMessage="1" sqref="E66" xr:uid="{BEEDF49F-DF3E-4911-8192-E8C45648957C}">
      <formula1>INDIRECT("Table_SourceData_Swine_CropProdSystems[Production system]")</formula1>
    </dataValidation>
    <dataValidation type="list" allowBlank="1" showInputMessage="1" showErrorMessage="1" sqref="E67" xr:uid="{C37A981D-90FF-4413-B61B-2D87A7D57EE8}">
      <formula1>INDIRECT("Table_SourceData_Swine_IrrigationMethods[Irrigation method]")</formula1>
    </dataValidation>
    <dataValidation type="list" allowBlank="1" showInputMessage="1" showErrorMessage="1" sqref="E251 E256 E261 E295 E290 E285 E163 E151 E127 E139" xr:uid="{B9E3B4EE-9AB1-4818-81C4-AB1060E9C3AC}">
      <formula1>"Yes, No"</formula1>
    </dataValidation>
    <dataValidation type="list" allowBlank="1" showInputMessage="1" showErrorMessage="1" sqref="E227" xr:uid="{10EAF79D-0144-483A-8FF3-58B7E32F6F46}">
      <formula1>INDIRECT("Table_SourceData_Dairy_ProductionSystemTemplates[Area]")</formula1>
    </dataValidation>
    <dataValidation type="list" allowBlank="1" showInputMessage="1" showErrorMessage="1" sqref="D279" xr:uid="{AAA80920-390A-4769-88A6-CE40CFDC5CFD}">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DF1C7-5C7A-4FFB-8FB0-2799E3D6D746}">
  <sheetPr>
    <tabColor theme="2" tint="-0.499984740745262"/>
  </sheetPr>
  <dimension ref="A1:AI180"/>
  <sheetViews>
    <sheetView showGridLines="0" zoomScaleNormal="100" workbookViewId="0">
      <pane xSplit="1" topLeftCell="B1" activePane="topRight" state="frozenSplit"/>
      <selection pane="topRight" activeCell="A5" sqref="A5"/>
    </sheetView>
  </sheetViews>
  <sheetFormatPr defaultRowHeight="15.75" x14ac:dyDescent="0.25"/>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1038</v>
      </c>
      <c r="AG1"/>
      <c r="AH1"/>
      <c r="AI1"/>
    </row>
    <row r="2" spans="1:35" s="3" customFormat="1" ht="20.100000000000001" customHeight="1" x14ac:dyDescent="0.25">
      <c r="A2"/>
      <c r="AG2"/>
      <c r="AH2"/>
      <c r="AI2"/>
    </row>
    <row r="3" spans="1:35"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Refrigerants_SourceData.Refrigerants_ChemicalGWP_Title()</f>
        <v>Global Warming Potentials</v>
      </c>
      <c r="H5" s="246"/>
      <c r="I5" s="246"/>
      <c r="J5" s="246"/>
      <c r="K5" s="246"/>
      <c r="L5" s="246"/>
      <c r="M5" s="246"/>
      <c r="N5" s="246"/>
      <c r="O5" s="246"/>
      <c r="P5" s="246"/>
      <c r="Q5" s="246"/>
    </row>
    <row r="6" spans="1:35" ht="20.100000000000001" customHeight="1" x14ac:dyDescent="0.25">
      <c r="A6" s="5" t="str">
        <f>HYPERLINK("#'Results'!A1", "Results")</f>
        <v>Results</v>
      </c>
      <c r="D6" s="17" t="str" cm="1">
        <f t="array" ref="D6">Refrigerants_SourceData.Refrigerants_ChemicalGWP_Source()</f>
        <v>Australian National Greenhouse Accounts Factors 2025 - Appendix 2 - Table 23</v>
      </c>
      <c r="E6" s="246"/>
      <c r="F6" s="246"/>
      <c r="G6" s="246"/>
      <c r="H6" s="246"/>
      <c r="I6" s="246"/>
      <c r="J6" s="246"/>
      <c r="K6" s="246"/>
      <c r="L6" s="246"/>
      <c r="M6" s="246"/>
      <c r="N6" s="246"/>
      <c r="O6" s="246"/>
      <c r="P6" s="246"/>
      <c r="Q6" s="246"/>
    </row>
    <row r="7" spans="1:35" ht="20.100000000000001" customHeight="1" x14ac:dyDescent="0.25">
      <c r="D7" s="25" t="str" cm="1">
        <f t="array" ref="D7">"⚠️" &amp; Refrigerants_SourceData.Refrigerants_ChemicalGWP_Variation()</f>
        <v>⚠️VARIATION OF SOURCE DATA: Added 'GAS - FC name' column with truncated gas name to allow matching with other tables. Added extra gases from IPCC Global Warming Potential Values v2.0 - (AR5). Added 'Additional data source' column.</v>
      </c>
      <c r="H7" s="246"/>
      <c r="I7" s="246"/>
      <c r="J7" s="246"/>
      <c r="K7" s="246"/>
      <c r="L7" s="246"/>
      <c r="M7" s="246"/>
      <c r="N7" s="246"/>
      <c r="O7" s="246"/>
      <c r="P7" s="246"/>
      <c r="Q7" s="246"/>
    </row>
    <row r="8" spans="1:35" ht="20.100000000000001" customHeight="1" x14ac:dyDescent="0.25">
      <c r="D8" s="19" t="s">
        <v>25</v>
      </c>
      <c r="E8" s="19" t="s">
        <v>1039</v>
      </c>
      <c r="F8" s="19" t="s">
        <v>1040</v>
      </c>
      <c r="G8" s="248" t="s">
        <v>1041</v>
      </c>
      <c r="H8" s="249" t="s">
        <v>1042</v>
      </c>
      <c r="I8" s="246"/>
      <c r="J8" s="246"/>
      <c r="K8" s="246"/>
      <c r="L8" s="246"/>
      <c r="M8" s="246"/>
      <c r="N8" s="246"/>
      <c r="O8" s="246"/>
      <c r="P8" s="246"/>
      <c r="Q8" s="246"/>
    </row>
    <row r="9" spans="1:35" ht="20.100000000000001" customHeight="1" x14ac:dyDescent="0.25">
      <c r="A9" s="7" t="s">
        <v>0</v>
      </c>
      <c r="D9" s="19" t="str" cm="1">
        <f t="array" ref="D9">Common_InputFunctions.Utility_DisplayArrayInTable(Refrigerants_SourceData.Refrigerants_ChemicalGWP_Data(), Table_RefrigerantChemicalGWP[[#Headers],[Gas]], 0)</f>
        <v>Carbon dioxide</v>
      </c>
      <c r="E9" s="19" t="str" cm="1">
        <f t="array" ref="E9">Common_InputFunctions.Utility_DisplayArrayInTable(Refrigerants_SourceData.Refrigerants_ChemicalGWP_Data(), Table_RefrigerantChemicalGWP[[#Headers],[Gas]], 0)</f>
        <v>CO2</v>
      </c>
      <c r="F9" s="19" cm="1">
        <f t="array" ref="F9">Common_InputFunctions.Utility_DisplayArrayInTable(Refrigerants_SourceData.Refrigerants_ChemicalGWP_Data(), Table_RefrigerantChemicalGWP[[#Headers],[Gas]], 0)</f>
        <v>1</v>
      </c>
      <c r="G9" s="19" t="str" cm="1">
        <f t="array" ref="G9">Common_InputFunctions.Utility_DisplayArrayInTable(Refrigerants_SourceData.Refrigerants_ChemicalGWP_Data(), Table_RefrigerantChemicalGWP[[#Headers],[Gas]], 0)</f>
        <v>CO2</v>
      </c>
      <c r="H9" s="249" t="str" cm="1">
        <f t="array" ref="H9">Common_InputFunctions.Utility_DisplayArrayInTable(Refrigerants_SourceData.Refrigerants_ChemicalGWP_Data(), Table_RefrigerantChemicalGWP[[#Headers],[Gas]], 0)</f>
        <v/>
      </c>
      <c r="I9" s="246"/>
      <c r="J9" s="246"/>
      <c r="K9" s="246"/>
      <c r="L9" s="246"/>
      <c r="M9" s="246"/>
      <c r="N9" s="246"/>
      <c r="O9" s="246"/>
      <c r="P9" s="246"/>
      <c r="Q9" s="246"/>
    </row>
    <row r="10" spans="1:35" ht="20.100000000000001" customHeight="1" x14ac:dyDescent="0.25">
      <c r="A10" s="5" t="str">
        <f>HYPERLINK("#'Input - Enterprise'!A1", "Enterprise")</f>
        <v>Enterprise</v>
      </c>
      <c r="D10" s="19" t="str" cm="1">
        <f t="array" ref="D10">Common_InputFunctions.Utility_DisplayArrayInTable(Refrigerants_SourceData.Refrigerants_ChemicalGWP_Data(), Table_RefrigerantChemicalGWP[[#Headers],[Gas]], 0)</f>
        <v>Methane</v>
      </c>
      <c r="E10" s="19" t="str" cm="1">
        <f t="array" ref="E10">Common_InputFunctions.Utility_DisplayArrayInTable(Refrigerants_SourceData.Refrigerants_ChemicalGWP_Data(), Table_RefrigerantChemicalGWP[[#Headers],[Gas]], 0)</f>
        <v>CH4</v>
      </c>
      <c r="F10" s="19" cm="1">
        <f t="array" ref="F10">Common_InputFunctions.Utility_DisplayArrayInTable(Refrigerants_SourceData.Refrigerants_ChemicalGWP_Data(), Table_RefrigerantChemicalGWP[[#Headers],[Gas]], 0)</f>
        <v>28</v>
      </c>
      <c r="G10" s="19" t="str" cm="1">
        <f t="array" ref="G10">Common_InputFunctions.Utility_DisplayArrayInTable(Refrigerants_SourceData.Refrigerants_ChemicalGWP_Data(), Table_RefrigerantChemicalGWP[[#Headers],[Gas]], 0)</f>
        <v>CH4</v>
      </c>
      <c r="H10" s="249" t="str" cm="1">
        <f t="array" ref="H10">Common_InputFunctions.Utility_DisplayArrayInTable(Refrigerants_SourceData.Refrigerants_ChemicalGWP_Data(), Table_RefrigerantChemicalGWP[[#Headers],[Gas]], 0)</f>
        <v/>
      </c>
      <c r="I10" s="246"/>
      <c r="J10" s="246"/>
      <c r="K10" s="246"/>
      <c r="L10" s="246"/>
      <c r="M10" s="246"/>
      <c r="N10" s="246"/>
      <c r="O10" s="246"/>
      <c r="P10" s="246"/>
      <c r="Q10" s="246"/>
    </row>
    <row r="11" spans="1:35" ht="20.100000000000001" customHeight="1" x14ac:dyDescent="0.25">
      <c r="A11" s="5" t="str">
        <f>HYPERLINK("#'Input - Site'!A1", "Site")</f>
        <v>Site</v>
      </c>
      <c r="D11" s="19" t="str" cm="1">
        <f t="array" ref="D11">Common_InputFunctions.Utility_DisplayArrayInTable(Refrigerants_SourceData.Refrigerants_ChemicalGWP_Data(), Table_RefrigerantChemicalGWP[[#Headers],[Gas]], 0)</f>
        <v>Nitrous oxide</v>
      </c>
      <c r="E11" s="19" t="str" cm="1">
        <f t="array" ref="E11">Common_InputFunctions.Utility_DisplayArrayInTable(Refrigerants_SourceData.Refrigerants_ChemicalGWP_Data(), Table_RefrigerantChemicalGWP[[#Headers],[Gas]], 0)</f>
        <v>N2O</v>
      </c>
      <c r="F11" s="19" cm="1">
        <f t="array" ref="F11">Common_InputFunctions.Utility_DisplayArrayInTable(Refrigerants_SourceData.Refrigerants_ChemicalGWP_Data(), Table_RefrigerantChemicalGWP[[#Headers],[Gas]], 0)</f>
        <v>265</v>
      </c>
      <c r="G11" s="19" t="str" cm="1">
        <f t="array" ref="G11">Common_InputFunctions.Utility_DisplayArrayInTable(Refrigerants_SourceData.Refrigerants_ChemicalGWP_Data(), Table_RefrigerantChemicalGWP[[#Headers],[Gas]], 0)</f>
        <v>N2O</v>
      </c>
      <c r="H11" s="249" t="str" cm="1">
        <f t="array" ref="H11">Common_InputFunctions.Utility_DisplayArrayInTable(Refrigerants_SourceData.Refrigerants_ChemicalGWP_Data(), Table_RefrigerantChemicalGWP[[#Headers],[Gas]], 0)</f>
        <v/>
      </c>
      <c r="I11" s="246"/>
      <c r="J11" s="246"/>
      <c r="K11" s="246"/>
      <c r="L11" s="246"/>
      <c r="M11" s="246"/>
      <c r="N11" s="246"/>
      <c r="O11" s="246"/>
      <c r="P11" s="246"/>
      <c r="Q11" s="246"/>
    </row>
    <row r="12" spans="1:35" ht="20.100000000000001" customHeight="1" x14ac:dyDescent="0.25">
      <c r="A12" s="5" t="str">
        <f>HYPERLINK("#'Input - Dairy'!A1", "Dairy")</f>
        <v>Dairy</v>
      </c>
      <c r="D12" s="19" t="str" cm="1">
        <f t="array" ref="D12">Common_InputFunctions.Utility_DisplayArrayInTable(Refrigerants_SourceData.Refrigerants_ChemicalGWP_Data(), Table_RefrigerantChemicalGWP[[#Headers],[Gas]], 0)</f>
        <v>Sulphur hexafluoride</v>
      </c>
      <c r="E12" s="19" t="str" cm="1">
        <f t="array" ref="E12">Common_InputFunctions.Utility_DisplayArrayInTable(Refrigerants_SourceData.Refrigerants_ChemicalGWP_Data(), Table_RefrigerantChemicalGWP[[#Headers],[Gas]], 0)</f>
        <v>SF6</v>
      </c>
      <c r="F12" s="19" cm="1">
        <f t="array" ref="F12">Common_InputFunctions.Utility_DisplayArrayInTable(Refrigerants_SourceData.Refrigerants_ChemicalGWP_Data(), Table_RefrigerantChemicalGWP[[#Headers],[Gas]], 0)</f>
        <v>23500</v>
      </c>
      <c r="G12" s="19" t="str" cm="1">
        <f t="array" ref="G12">Common_InputFunctions.Utility_DisplayArrayInTable(Refrigerants_SourceData.Refrigerants_ChemicalGWP_Data(), Table_RefrigerantChemicalGWP[[#Headers],[Gas]], 0)</f>
        <v>SF6</v>
      </c>
      <c r="H12" s="249" t="str" cm="1">
        <f t="array" ref="H12">Common_InputFunctions.Utility_DisplayArrayInTable(Refrigerants_SourceData.Refrigerants_ChemicalGWP_Data(), Table_RefrigerantChemicalGWP[[#Headers],[Gas]], 0)</f>
        <v/>
      </c>
      <c r="I12" s="246"/>
      <c r="J12" s="246"/>
      <c r="K12" s="246"/>
      <c r="L12" s="246"/>
      <c r="M12" s="246"/>
      <c r="N12" s="246"/>
      <c r="O12" s="246"/>
      <c r="P12" s="246"/>
      <c r="Q12" s="246"/>
    </row>
    <row r="13" spans="1:35" ht="20.100000000000001" customHeight="1" x14ac:dyDescent="0.25">
      <c r="A13" s="5" t="str">
        <f>HYPERLINK("#'Input - Livestock sales'!A1", "Livestock sales")</f>
        <v>Livestock sales</v>
      </c>
      <c r="D13" s="19" t="str" cm="1">
        <f t="array" ref="D13">Common_InputFunctions.Utility_DisplayArrayInTable(Refrigerants_SourceData.Refrigerants_ChemicalGWP_Data(), Table_RefrigerantChemicalGWP[[#Headers],[Gas]], 0)</f>
        <v>HFC-23 (R-23)</v>
      </c>
      <c r="E13" s="19" t="str" cm="1">
        <f t="array" ref="E13">Common_InputFunctions.Utility_DisplayArrayInTable(Refrigerants_SourceData.Refrigerants_ChemicalGWP_Data(), Table_RefrigerantChemicalGWP[[#Headers],[Gas]], 0)</f>
        <v>CHF3</v>
      </c>
      <c r="F13" s="19" cm="1">
        <f t="array" ref="F13">Common_InputFunctions.Utility_DisplayArrayInTable(Refrigerants_SourceData.Refrigerants_ChemicalGWP_Data(), Table_RefrigerantChemicalGWP[[#Headers],[Gas]], 0)</f>
        <v>12400</v>
      </c>
      <c r="G13" s="19" t="str" cm="1">
        <f t="array" ref="G13">Common_InputFunctions.Utility_DisplayArrayInTable(Refrigerants_SourceData.Refrigerants_ChemicalGWP_Data(), Table_RefrigerantChemicalGWP[[#Headers],[Gas]], 0)</f>
        <v>HFC-23</v>
      </c>
      <c r="H13" s="249" t="str" cm="1">
        <f t="array" ref="H13">Common_InputFunctions.Utility_DisplayArrayInTable(Refrigerants_SourceData.Refrigerants_ChemicalGWP_Data(), Table_RefrigerantChemicalGWP[[#Headers],[Gas]], 0)</f>
        <v/>
      </c>
      <c r="I13" s="246"/>
      <c r="J13" s="246"/>
      <c r="K13" s="246"/>
      <c r="L13" s="246"/>
      <c r="M13" s="246"/>
      <c r="N13" s="246"/>
      <c r="O13" s="246"/>
      <c r="P13" s="246"/>
      <c r="Q13" s="246"/>
    </row>
    <row r="14" spans="1:35" ht="20.100000000000001" customHeight="1" x14ac:dyDescent="0.25">
      <c r="A14" s="5" t="str">
        <f>HYPERLINK("#'Input - Dairy cattle purchases'!A1", "Dairy cattle purchases")</f>
        <v>Dairy cattle purchases</v>
      </c>
      <c r="D14" s="19" t="str" cm="1">
        <f t="array" ref="D14">Common_InputFunctions.Utility_DisplayArrayInTable(Refrigerants_SourceData.Refrigerants_ChemicalGWP_Data(), Table_RefrigerantChemicalGWP[[#Headers],[Gas]], 0)</f>
        <v>HFC-32 (R-32)</v>
      </c>
      <c r="E14" s="19" t="str" cm="1">
        <f t="array" ref="E14">Common_InputFunctions.Utility_DisplayArrayInTable(Refrigerants_SourceData.Refrigerants_ChemicalGWP_Data(), Table_RefrigerantChemicalGWP[[#Headers],[Gas]], 0)</f>
        <v>CH2F2</v>
      </c>
      <c r="F14" s="19" cm="1">
        <f t="array" ref="F14">Common_InputFunctions.Utility_DisplayArrayInTable(Refrigerants_SourceData.Refrigerants_ChemicalGWP_Data(), Table_RefrigerantChemicalGWP[[#Headers],[Gas]], 0)</f>
        <v>677</v>
      </c>
      <c r="G14" s="19" t="str" cm="1">
        <f t="array" ref="G14">Common_InputFunctions.Utility_DisplayArrayInTable(Refrigerants_SourceData.Refrigerants_ChemicalGWP_Data(), Table_RefrigerantChemicalGWP[[#Headers],[Gas]], 0)</f>
        <v>HFC-32</v>
      </c>
      <c r="H14" s="249" t="str" cm="1">
        <f t="array" ref="H14">Common_InputFunctions.Utility_DisplayArrayInTable(Refrigerants_SourceData.Refrigerants_ChemicalGWP_Data(), Table_RefrigerantChemicalGWP[[#Headers],[Gas]], 0)</f>
        <v/>
      </c>
      <c r="I14" s="246"/>
      <c r="J14" s="246"/>
      <c r="K14" s="246"/>
      <c r="L14" s="246"/>
      <c r="M14" s="246"/>
      <c r="N14" s="246"/>
      <c r="O14" s="246"/>
      <c r="P14" s="246"/>
      <c r="Q14" s="246"/>
    </row>
    <row r="15" spans="1:35" ht="20.100000000000001" customHeight="1" x14ac:dyDescent="0.25">
      <c r="A15" s="5" t="str">
        <f>HYPERLINK("#'Input - Pasture'!A1", "Pasture")</f>
        <v>Pasture</v>
      </c>
      <c r="D15" s="19" t="str" cm="1">
        <f t="array" ref="D15">Common_InputFunctions.Utility_DisplayArrayInTable(Refrigerants_SourceData.Refrigerants_ChemicalGWP_Data(), Table_RefrigerantChemicalGWP[[#Headers],[Gas]], 0)</f>
        <v>HFC-41 (R-41)</v>
      </c>
      <c r="E15" s="19" t="str" cm="1">
        <f t="array" ref="E15">Common_InputFunctions.Utility_DisplayArrayInTable(Refrigerants_SourceData.Refrigerants_ChemicalGWP_Data(), Table_RefrigerantChemicalGWP[[#Headers],[Gas]], 0)</f>
        <v>CH3F</v>
      </c>
      <c r="F15" s="19" cm="1">
        <f t="array" ref="F15">Common_InputFunctions.Utility_DisplayArrayInTable(Refrigerants_SourceData.Refrigerants_ChemicalGWP_Data(), Table_RefrigerantChemicalGWP[[#Headers],[Gas]], 0)</f>
        <v>116</v>
      </c>
      <c r="G15" s="19" t="str" cm="1">
        <f t="array" ref="G15">Common_InputFunctions.Utility_DisplayArrayInTable(Refrigerants_SourceData.Refrigerants_ChemicalGWP_Data(), Table_RefrigerantChemicalGWP[[#Headers],[Gas]], 0)</f>
        <v>HFC-41</v>
      </c>
      <c r="H15" s="249" t="str" cm="1">
        <f t="array" ref="H15">Common_InputFunctions.Utility_DisplayArrayInTable(Refrigerants_SourceData.Refrigerants_ChemicalGWP_Data(), Table_RefrigerantChemicalGWP[[#Headers],[Gas]], 0)</f>
        <v/>
      </c>
      <c r="I15" s="246"/>
      <c r="J15" s="246"/>
      <c r="K15" s="246"/>
      <c r="L15" s="246"/>
      <c r="M15" s="246"/>
      <c r="N15" s="246"/>
      <c r="O15" s="246"/>
      <c r="P15" s="246"/>
      <c r="Q15" s="246"/>
    </row>
    <row r="16" spans="1:35" ht="20.100000000000001" customHeight="1" x14ac:dyDescent="0.25">
      <c r="A16" s="5" t="str">
        <f>HYPERLINK("#'Input - Fert Prod System'!A1", "Fert Prod System")</f>
        <v>Fert Prod System</v>
      </c>
      <c r="D16" s="19" t="str" cm="1">
        <f t="array" ref="D16">Common_InputFunctions.Utility_DisplayArrayInTable(Refrigerants_SourceData.Refrigerants_ChemicalGWP_Data(), Table_RefrigerantChemicalGWP[[#Headers],[Gas]], 0)</f>
        <v>HFC-43-10mee (R-4310mee)</v>
      </c>
      <c r="E16" s="19" t="str" cm="1">
        <f t="array" ref="E16">Common_InputFunctions.Utility_DisplayArrayInTable(Refrigerants_SourceData.Refrigerants_ChemicalGWP_Data(), Table_RefrigerantChemicalGWP[[#Headers],[Gas]], 0)</f>
        <v>C5H2F10</v>
      </c>
      <c r="F16" s="19" cm="1">
        <f t="array" ref="F16">Common_InputFunctions.Utility_DisplayArrayInTable(Refrigerants_SourceData.Refrigerants_ChemicalGWP_Data(), Table_RefrigerantChemicalGWP[[#Headers],[Gas]], 0)</f>
        <v>1650</v>
      </c>
      <c r="G16" s="19" t="str" cm="1">
        <f t="array" ref="G16">Common_InputFunctions.Utility_DisplayArrayInTable(Refrigerants_SourceData.Refrigerants_ChemicalGWP_Data(), Table_RefrigerantChemicalGWP[[#Headers],[Gas]], 0)</f>
        <v>HFC-43-10mee</v>
      </c>
      <c r="H16" s="249" t="str" cm="1">
        <f t="array" ref="H16">Common_InputFunctions.Utility_DisplayArrayInTable(Refrigerants_SourceData.Refrigerants_ChemicalGWP_Data(), Table_RefrigerantChemicalGWP[[#Headers],[Gas]], 0)</f>
        <v/>
      </c>
      <c r="I16" s="246"/>
      <c r="J16" s="246"/>
      <c r="K16" s="246"/>
      <c r="L16" s="246"/>
      <c r="M16" s="246"/>
      <c r="N16" s="246"/>
      <c r="O16" s="246"/>
      <c r="P16" s="246"/>
      <c r="Q16" s="246"/>
    </row>
    <row r="17" spans="1:17" ht="20.100000000000001" customHeight="1" x14ac:dyDescent="0.25">
      <c r="A17" s="5" t="str">
        <f>HYPERLINK("#'Input - Fertiliser'!A1", "Fertiliser")</f>
        <v>Fertiliser</v>
      </c>
      <c r="D17" s="19" t="str" cm="1">
        <f t="array" ref="D17">Common_InputFunctions.Utility_DisplayArrayInTable(Refrigerants_SourceData.Refrigerants_ChemicalGWP_Data(), Table_RefrigerantChemicalGWP[[#Headers],[Gas]], 0)</f>
        <v>HFC-125 (R-125)</v>
      </c>
      <c r="E17" s="19" t="str" cm="1">
        <f t="array" ref="E17">Common_InputFunctions.Utility_DisplayArrayInTable(Refrigerants_SourceData.Refrigerants_ChemicalGWP_Data(), Table_RefrigerantChemicalGWP[[#Headers],[Gas]], 0)</f>
        <v>C2HF5</v>
      </c>
      <c r="F17" s="19" cm="1">
        <f t="array" ref="F17">Common_InputFunctions.Utility_DisplayArrayInTable(Refrigerants_SourceData.Refrigerants_ChemicalGWP_Data(), Table_RefrigerantChemicalGWP[[#Headers],[Gas]], 0)</f>
        <v>3170</v>
      </c>
      <c r="G17" s="19" t="str" cm="1">
        <f t="array" ref="G17">Common_InputFunctions.Utility_DisplayArrayInTable(Refrigerants_SourceData.Refrigerants_ChemicalGWP_Data(), Table_RefrigerantChemicalGWP[[#Headers],[Gas]], 0)</f>
        <v>HFC-125</v>
      </c>
      <c r="H17" s="249" t="str" cm="1">
        <f t="array" ref="H17">Common_InputFunctions.Utility_DisplayArrayInTable(Refrigerants_SourceData.Refrigerants_ChemicalGWP_Data(), Table_RefrigerantChemicalGWP[[#Headers],[Gas]], 0)</f>
        <v/>
      </c>
      <c r="I17" s="246"/>
      <c r="J17" s="246"/>
      <c r="K17" s="246"/>
      <c r="L17" s="246"/>
      <c r="M17" s="246"/>
      <c r="N17" s="246"/>
      <c r="O17" s="246"/>
      <c r="P17" s="246"/>
      <c r="Q17" s="246"/>
    </row>
    <row r="18" spans="1:17" ht="20.100000000000001" customHeight="1" x14ac:dyDescent="0.25">
      <c r="A18" s="5" t="str">
        <f>HYPERLINK("#'Input - Fuel'!A1", "Fuel")</f>
        <v>Fuel</v>
      </c>
      <c r="D18" s="19" t="str" cm="1">
        <f t="array" ref="D18">Common_InputFunctions.Utility_DisplayArrayInTable(Refrigerants_SourceData.Refrigerants_ChemicalGWP_Data(), Table_RefrigerantChemicalGWP[[#Headers],[Gas]], 0)</f>
        <v>HFC-134 (R-134)</v>
      </c>
      <c r="E18" s="19" t="str" cm="1">
        <f t="array" ref="E18">Common_InputFunctions.Utility_DisplayArrayInTable(Refrigerants_SourceData.Refrigerants_ChemicalGWP_Data(), Table_RefrigerantChemicalGWP[[#Headers],[Gas]], 0)</f>
        <v>C2H2F4 (CHF2CHF2)</v>
      </c>
      <c r="F18" s="19" cm="1">
        <f t="array" ref="F18">Common_InputFunctions.Utility_DisplayArrayInTable(Refrigerants_SourceData.Refrigerants_ChemicalGWP_Data(), Table_RefrigerantChemicalGWP[[#Headers],[Gas]], 0)</f>
        <v>1120</v>
      </c>
      <c r="G18" s="19" t="str" cm="1">
        <f t="array" ref="G18">Common_InputFunctions.Utility_DisplayArrayInTable(Refrigerants_SourceData.Refrigerants_ChemicalGWP_Data(), Table_RefrigerantChemicalGWP[[#Headers],[Gas]], 0)</f>
        <v>HFC-134</v>
      </c>
      <c r="H18" s="249" t="str" cm="1">
        <f t="array" ref="H18">Common_InputFunctions.Utility_DisplayArrayInTable(Refrigerants_SourceData.Refrigerants_ChemicalGWP_Data(), Table_RefrigerantChemicalGWP[[#Headers],[Gas]], 0)</f>
        <v/>
      </c>
      <c r="I18" s="246"/>
      <c r="J18" s="246"/>
      <c r="K18" s="246"/>
      <c r="L18" s="246"/>
      <c r="M18" s="246"/>
      <c r="N18" s="246"/>
      <c r="O18" s="246"/>
      <c r="P18" s="246"/>
      <c r="Q18" s="246"/>
    </row>
    <row r="19" spans="1:17" ht="20.100000000000001" customHeight="1" x14ac:dyDescent="0.25">
      <c r="A19" s="5" t="str">
        <f>HYPERLINK("#'Input - Electricity'!A1", "Electricity")</f>
        <v>Electricity</v>
      </c>
      <c r="D19" s="19" t="str" cm="1">
        <f t="array" ref="D19">Common_InputFunctions.Utility_DisplayArrayInTable(Refrigerants_SourceData.Refrigerants_ChemicalGWP_Data(), Table_RefrigerantChemicalGWP[[#Headers],[Gas]], 0)</f>
        <v>HFC-134a (R-134a)</v>
      </c>
      <c r="E19" s="19" t="str" cm="1">
        <f t="array" ref="E19">Common_InputFunctions.Utility_DisplayArrayInTable(Refrigerants_SourceData.Refrigerants_ChemicalGWP_Data(), Table_RefrigerantChemicalGWP[[#Headers],[Gas]], 0)</f>
        <v>C2H2F4 (CH2FCF3)</v>
      </c>
      <c r="F19" s="19" cm="1">
        <f t="array" ref="F19">Common_InputFunctions.Utility_DisplayArrayInTable(Refrigerants_SourceData.Refrigerants_ChemicalGWP_Data(), Table_RefrigerantChemicalGWP[[#Headers],[Gas]], 0)</f>
        <v>1300</v>
      </c>
      <c r="G19" s="19" t="str" cm="1">
        <f t="array" ref="G19">Common_InputFunctions.Utility_DisplayArrayInTable(Refrigerants_SourceData.Refrigerants_ChemicalGWP_Data(), Table_RefrigerantChemicalGWP[[#Headers],[Gas]], 0)</f>
        <v>HFC-134a</v>
      </c>
      <c r="H19" s="249" t="str" cm="1">
        <f t="array" ref="H19">Common_InputFunctions.Utility_DisplayArrayInTable(Refrigerants_SourceData.Refrigerants_ChemicalGWP_Data(), Table_RefrigerantChemicalGWP[[#Headers],[Gas]], 0)</f>
        <v/>
      </c>
      <c r="I19" s="246"/>
      <c r="J19" s="246"/>
      <c r="K19" s="246"/>
      <c r="L19" s="246"/>
      <c r="M19" s="246"/>
      <c r="N19" s="246"/>
      <c r="O19" s="246"/>
      <c r="P19" s="246"/>
      <c r="Q19" s="246"/>
    </row>
    <row r="20" spans="1:17" ht="20.100000000000001" customHeight="1" x14ac:dyDescent="0.25">
      <c r="A20" s="5" t="str">
        <f>HYPERLINK("#'Input - Common farm inputs'!A1", "Common farm inputs")</f>
        <v>Common farm inputs</v>
      </c>
      <c r="D20" s="19" t="str" cm="1">
        <f t="array" ref="D20">Common_InputFunctions.Utility_DisplayArrayInTable(Refrigerants_SourceData.Refrigerants_ChemicalGWP_Data(), Table_RefrigerantChemicalGWP[[#Headers],[Gas]], 0)</f>
        <v>HFC-143 (R-143)</v>
      </c>
      <c r="E20" s="19" t="str" cm="1">
        <f t="array" ref="E20">Common_InputFunctions.Utility_DisplayArrayInTable(Refrigerants_SourceData.Refrigerants_ChemicalGWP_Data(), Table_RefrigerantChemicalGWP[[#Headers],[Gas]], 0)</f>
        <v>C2H3F3 (CHF2CH2F)</v>
      </c>
      <c r="F20" s="19" cm="1">
        <f t="array" ref="F20">Common_InputFunctions.Utility_DisplayArrayInTable(Refrigerants_SourceData.Refrigerants_ChemicalGWP_Data(), Table_RefrigerantChemicalGWP[[#Headers],[Gas]], 0)</f>
        <v>328</v>
      </c>
      <c r="G20" s="19" t="str" cm="1">
        <f t="array" ref="G20">Common_InputFunctions.Utility_DisplayArrayInTable(Refrigerants_SourceData.Refrigerants_ChemicalGWP_Data(), Table_RefrigerantChemicalGWP[[#Headers],[Gas]], 0)</f>
        <v>HFC-143</v>
      </c>
      <c r="H20" s="249" t="str" cm="1">
        <f t="array" ref="H20">Common_InputFunctions.Utility_DisplayArrayInTable(Refrigerants_SourceData.Refrigerants_ChemicalGWP_Data(), Table_RefrigerantChemicalGWP[[#Headers],[Gas]], 0)</f>
        <v/>
      </c>
      <c r="I20" s="246"/>
      <c r="J20" s="246"/>
      <c r="K20" s="246"/>
      <c r="L20" s="246"/>
      <c r="M20" s="246"/>
      <c r="N20" s="246"/>
      <c r="O20" s="246"/>
      <c r="P20" s="246"/>
      <c r="Q20" s="246"/>
    </row>
    <row r="21" spans="1:17" ht="20.100000000000001" customHeight="1" x14ac:dyDescent="0.25">
      <c r="A21" s="5" t="str">
        <f>HYPERLINK("#'Input - Crop pasture farm input'!A1", "Crop pasture farm input")</f>
        <v>Crop pasture farm input</v>
      </c>
      <c r="D21" s="19" t="str" cm="1">
        <f t="array" ref="D21">Common_InputFunctions.Utility_DisplayArrayInTable(Refrigerants_SourceData.Refrigerants_ChemicalGWP_Data(), Table_RefrigerantChemicalGWP[[#Headers],[Gas]], 0)</f>
        <v>HFC-143a (R-143a)</v>
      </c>
      <c r="E21" s="19" t="str" cm="1">
        <f t="array" ref="E21">Common_InputFunctions.Utility_DisplayArrayInTable(Refrigerants_SourceData.Refrigerants_ChemicalGWP_Data(), Table_RefrigerantChemicalGWP[[#Headers],[Gas]], 0)</f>
        <v>C2H3F3 (CF3CH3)</v>
      </c>
      <c r="F21" s="19" cm="1">
        <f t="array" ref="F21">Common_InputFunctions.Utility_DisplayArrayInTable(Refrigerants_SourceData.Refrigerants_ChemicalGWP_Data(), Table_RefrigerantChemicalGWP[[#Headers],[Gas]], 0)</f>
        <v>4800</v>
      </c>
      <c r="G21" s="19" t="str" cm="1">
        <f t="array" ref="G21">Common_InputFunctions.Utility_DisplayArrayInTable(Refrigerants_SourceData.Refrigerants_ChemicalGWP_Data(), Table_RefrigerantChemicalGWP[[#Headers],[Gas]], 0)</f>
        <v>HFC-143a</v>
      </c>
      <c r="H21" s="249" t="str" cm="1">
        <f t="array" ref="H21">Common_InputFunctions.Utility_DisplayArrayInTable(Refrigerants_SourceData.Refrigerants_ChemicalGWP_Data(), Table_RefrigerantChemicalGWP[[#Headers],[Gas]], 0)</f>
        <v/>
      </c>
      <c r="I21" s="246"/>
      <c r="J21" s="246"/>
      <c r="K21" s="246"/>
      <c r="L21" s="246"/>
      <c r="M21" s="246"/>
      <c r="N21" s="246"/>
      <c r="O21" s="246"/>
      <c r="P21" s="246"/>
      <c r="Q21" s="246"/>
    </row>
    <row r="22" spans="1:17" ht="20.100000000000001" customHeight="1" x14ac:dyDescent="0.25">
      <c r="A22" s="5" t="str">
        <f>HYPERLINK("#'Input - Livestock farm Inputs'!A1", "Livestock farm Inputs")</f>
        <v>Livestock farm Inputs</v>
      </c>
      <c r="D22" s="19" t="str" cm="1">
        <f t="array" ref="D22">Common_InputFunctions.Utility_DisplayArrayInTable(Refrigerants_SourceData.Refrigerants_ChemicalGWP_Data(), Table_RefrigerantChemicalGWP[[#Headers],[Gas]], 0)</f>
        <v>HFC-152a (R-152a)</v>
      </c>
      <c r="E22" s="19" t="str" cm="1">
        <f t="array" ref="E22">Common_InputFunctions.Utility_DisplayArrayInTable(Refrigerants_SourceData.Refrigerants_ChemicalGWP_Data(), Table_RefrigerantChemicalGWP[[#Headers],[Gas]], 0)</f>
        <v>C2H4F2 (CH3CHF2)</v>
      </c>
      <c r="F22" s="19" cm="1">
        <f t="array" ref="F22">Common_InputFunctions.Utility_DisplayArrayInTable(Refrigerants_SourceData.Refrigerants_ChemicalGWP_Data(), Table_RefrigerantChemicalGWP[[#Headers],[Gas]], 0)</f>
        <v>138</v>
      </c>
      <c r="G22" s="19" t="str" cm="1">
        <f t="array" ref="G22">Common_InputFunctions.Utility_DisplayArrayInTable(Refrigerants_SourceData.Refrigerants_ChemicalGWP_Data(), Table_RefrigerantChemicalGWP[[#Headers],[Gas]], 0)</f>
        <v>HFC-152a</v>
      </c>
      <c r="H22" s="249" t="str" cm="1">
        <f t="array" ref="H22">Common_InputFunctions.Utility_DisplayArrayInTable(Refrigerants_SourceData.Refrigerants_ChemicalGWP_Data(), Table_RefrigerantChemicalGWP[[#Headers],[Gas]], 0)</f>
        <v/>
      </c>
      <c r="I22" s="246"/>
      <c r="J22" s="246"/>
      <c r="K22" s="246"/>
      <c r="L22" s="246"/>
      <c r="M22" s="246"/>
      <c r="N22" s="246"/>
      <c r="O22" s="246"/>
      <c r="P22" s="246"/>
      <c r="Q22" s="246"/>
    </row>
    <row r="23" spans="1:17" ht="20.100000000000001" customHeight="1" x14ac:dyDescent="0.25">
      <c r="A23" s="5" t="str">
        <f>HYPERLINK("#'Input - Freight'!A1", "Freight")</f>
        <v>Freight</v>
      </c>
      <c r="D23" s="19" t="str" cm="1">
        <f t="array" ref="D23">Common_InputFunctions.Utility_DisplayArrayInTable(Refrigerants_SourceData.Refrigerants_ChemicalGWP_Data(), Table_RefrigerantChemicalGWP[[#Headers],[Gas]], 0)</f>
        <v>HFC-227ea (R-227ea)</v>
      </c>
      <c r="E23" s="19" t="str" cm="1">
        <f t="array" ref="E23">Common_InputFunctions.Utility_DisplayArrayInTable(Refrigerants_SourceData.Refrigerants_ChemicalGWP_Data(), Table_RefrigerantChemicalGWP[[#Headers],[Gas]], 0)</f>
        <v>C3HF7</v>
      </c>
      <c r="F23" s="19" cm="1">
        <f t="array" ref="F23">Common_InputFunctions.Utility_DisplayArrayInTable(Refrigerants_SourceData.Refrigerants_ChemicalGWP_Data(), Table_RefrigerantChemicalGWP[[#Headers],[Gas]], 0)</f>
        <v>3350</v>
      </c>
      <c r="G23" s="19" t="str" cm="1">
        <f t="array" ref="G23">Common_InputFunctions.Utility_DisplayArrayInTable(Refrigerants_SourceData.Refrigerants_ChemicalGWP_Data(), Table_RefrigerantChemicalGWP[[#Headers],[Gas]], 0)</f>
        <v>HFC-227ea</v>
      </c>
      <c r="H23" s="249" t="str" cm="1">
        <f t="array" ref="H23">Common_InputFunctions.Utility_DisplayArrayInTable(Refrigerants_SourceData.Refrigerants_ChemicalGWP_Data(), Table_RefrigerantChemicalGWP[[#Headers],[Gas]], 0)</f>
        <v/>
      </c>
      <c r="I23" s="246"/>
      <c r="J23" s="246"/>
      <c r="K23" s="246"/>
      <c r="L23" s="246"/>
      <c r="M23" s="246"/>
      <c r="N23" s="246"/>
      <c r="O23" s="246"/>
      <c r="P23" s="246"/>
      <c r="Q23" s="246"/>
    </row>
    <row r="24" spans="1:17" ht="20.100000000000001" customHeight="1" x14ac:dyDescent="0.25">
      <c r="A24" s="5" t="str">
        <f>HYPERLINK("#'Input - Solid waste'!A1", "Solid waste")</f>
        <v>Solid waste</v>
      </c>
      <c r="D24" s="19" t="str" cm="1">
        <f t="array" ref="D24">Common_InputFunctions.Utility_DisplayArrayInTable(Refrigerants_SourceData.Refrigerants_ChemicalGWP_Data(), Table_RefrigerantChemicalGWP[[#Headers],[Gas]], 0)</f>
        <v>HFC-236fa (R-236fa)</v>
      </c>
      <c r="E24" s="19" t="str" cm="1">
        <f t="array" ref="E24">Common_InputFunctions.Utility_DisplayArrayInTable(Refrigerants_SourceData.Refrigerants_ChemicalGWP_Data(), Table_RefrigerantChemicalGWP[[#Headers],[Gas]], 0)</f>
        <v>C3H2F6</v>
      </c>
      <c r="F24" s="19" cm="1">
        <f t="array" ref="F24">Common_InputFunctions.Utility_DisplayArrayInTable(Refrigerants_SourceData.Refrigerants_ChemicalGWP_Data(), Table_RefrigerantChemicalGWP[[#Headers],[Gas]], 0)</f>
        <v>8060</v>
      </c>
      <c r="G24" s="19" t="str" cm="1">
        <f t="array" ref="G24">Common_InputFunctions.Utility_DisplayArrayInTable(Refrigerants_SourceData.Refrigerants_ChemicalGWP_Data(), Table_RefrigerantChemicalGWP[[#Headers],[Gas]], 0)</f>
        <v>HFC-236fa</v>
      </c>
      <c r="H24" s="249" t="str" cm="1">
        <f t="array" ref="H24">Common_InputFunctions.Utility_DisplayArrayInTable(Refrigerants_SourceData.Refrigerants_ChemicalGWP_Data(), Table_RefrigerantChemicalGWP[[#Headers],[Gas]], 0)</f>
        <v/>
      </c>
      <c r="I24" s="246"/>
      <c r="J24" s="246"/>
      <c r="K24" s="246"/>
      <c r="L24" s="246"/>
      <c r="M24" s="246"/>
      <c r="N24" s="246"/>
      <c r="O24" s="246"/>
      <c r="P24" s="246"/>
      <c r="Q24" s="246"/>
    </row>
    <row r="25" spans="1:17" ht="20.100000000000001" customHeight="1" x14ac:dyDescent="0.25">
      <c r="A25" s="5" t="str">
        <f>HYPERLINK("#'Input - Manure sent off-site'!A1", "Manure sent off-site")</f>
        <v>Manure sent off-site</v>
      </c>
      <c r="D25" s="19" t="str" cm="1">
        <f t="array" ref="D25">Common_InputFunctions.Utility_DisplayArrayInTable(Refrigerants_SourceData.Refrigerants_ChemicalGWP_Data(), Table_RefrigerantChemicalGWP[[#Headers],[Gas]], 0)</f>
        <v>HFC-245ca (R-245ca)</v>
      </c>
      <c r="E25" s="19" t="str" cm="1">
        <f t="array" ref="E25">Common_InputFunctions.Utility_DisplayArrayInTable(Refrigerants_SourceData.Refrigerants_ChemicalGWP_Data(), Table_RefrigerantChemicalGWP[[#Headers],[Gas]], 0)</f>
        <v>C3H3F5</v>
      </c>
      <c r="F25" s="19" cm="1">
        <f t="array" ref="F25">Common_InputFunctions.Utility_DisplayArrayInTable(Refrigerants_SourceData.Refrigerants_ChemicalGWP_Data(), Table_RefrigerantChemicalGWP[[#Headers],[Gas]], 0)</f>
        <v>716</v>
      </c>
      <c r="G25" s="19" t="str" cm="1">
        <f t="array" ref="G25">Common_InputFunctions.Utility_DisplayArrayInTable(Refrigerants_SourceData.Refrigerants_ChemicalGWP_Data(), Table_RefrigerantChemicalGWP[[#Headers],[Gas]], 0)</f>
        <v>HFC-245ca</v>
      </c>
      <c r="H25" s="249" t="str" cm="1">
        <f t="array" ref="H25">Common_InputFunctions.Utility_DisplayArrayInTable(Refrigerants_SourceData.Refrigerants_ChemicalGWP_Data(), Table_RefrigerantChemicalGWP[[#Headers],[Gas]], 0)</f>
        <v/>
      </c>
      <c r="I25" s="246"/>
      <c r="J25" s="246"/>
      <c r="K25" s="246"/>
      <c r="L25" s="246"/>
      <c r="M25" s="246"/>
      <c r="N25" s="246"/>
      <c r="O25" s="246"/>
      <c r="P25" s="246"/>
      <c r="Q25" s="246"/>
    </row>
    <row r="26" spans="1:17" ht="20.100000000000001" customHeight="1" x14ac:dyDescent="0.25">
      <c r="A26" s="5" t="str">
        <f>HYPERLINK("#'Input - Refrigerants'!A1", "Refrigerants")</f>
        <v>Refrigerants</v>
      </c>
      <c r="D26" s="19" t="str" cm="1">
        <f t="array" ref="D26">Common_InputFunctions.Utility_DisplayArrayInTable(Refrigerants_SourceData.Refrigerants_ChemicalGWP_Data(), Table_RefrigerantChemicalGWP[[#Headers],[Gas]], 0)</f>
        <v>HFC-245fa (R-245fa)</v>
      </c>
      <c r="E26" s="19" t="str" cm="1">
        <f t="array" ref="E26">Common_InputFunctions.Utility_DisplayArrayInTable(Refrigerants_SourceData.Refrigerants_ChemicalGWP_Data(), Table_RefrigerantChemicalGWP[[#Headers],[Gas]], 0)</f>
        <v>CHF2CH2CF3</v>
      </c>
      <c r="F26" s="19" cm="1">
        <f t="array" ref="F26">Common_InputFunctions.Utility_DisplayArrayInTable(Refrigerants_SourceData.Refrigerants_ChemicalGWP_Data(), Table_RefrigerantChemicalGWP[[#Headers],[Gas]], 0)</f>
        <v>858</v>
      </c>
      <c r="G26" s="19" t="str" cm="1">
        <f t="array" ref="G26">Common_InputFunctions.Utility_DisplayArrayInTable(Refrigerants_SourceData.Refrigerants_ChemicalGWP_Data(), Table_RefrigerantChemicalGWP[[#Headers],[Gas]], 0)</f>
        <v>HFC-245fa</v>
      </c>
      <c r="H26" s="249" t="str" cm="1">
        <f t="array" ref="H26">Common_InputFunctions.Utility_DisplayArrayInTable(Refrigerants_SourceData.Refrigerants_ChemicalGWP_Data(), Table_RefrigerantChemicalGWP[[#Headers],[Gas]], 0)</f>
        <v/>
      </c>
      <c r="I26" s="246"/>
      <c r="J26" s="246"/>
      <c r="K26" s="246"/>
      <c r="L26" s="246"/>
      <c r="M26" s="246"/>
      <c r="N26" s="246"/>
      <c r="O26" s="246"/>
      <c r="P26" s="246"/>
      <c r="Q26" s="246"/>
    </row>
    <row r="27" spans="1:17" ht="20.100000000000001" customHeight="1" x14ac:dyDescent="0.25">
      <c r="A27" s="5" t="str">
        <f>HYPERLINK("#'Input - Data quality'!A1", "Data quality")</f>
        <v>Data quality</v>
      </c>
      <c r="D27" s="19" t="str" cm="1">
        <f t="array" ref="D27">Common_InputFunctions.Utility_DisplayArrayInTable(Refrigerants_SourceData.Refrigerants_ChemicalGWP_Data(), Table_RefrigerantChemicalGWP[[#Headers],[Gas]], 0)</f>
        <v>HFC-365mfc (R-365mfc)</v>
      </c>
      <c r="E27" s="19" t="str" cm="1">
        <f t="array" ref="E27">Common_InputFunctions.Utility_DisplayArrayInTable(Refrigerants_SourceData.Refrigerants_ChemicalGWP_Data(), Table_RefrigerantChemicalGWP[[#Headers],[Gas]], 0)</f>
        <v>CH3CF2CH2CF3</v>
      </c>
      <c r="F27" s="19" cm="1">
        <f t="array" ref="F27">Common_InputFunctions.Utility_DisplayArrayInTable(Refrigerants_SourceData.Refrigerants_ChemicalGWP_Data(), Table_RefrigerantChemicalGWP[[#Headers],[Gas]], 0)</f>
        <v>804</v>
      </c>
      <c r="G27" s="19" t="str" cm="1">
        <f t="array" ref="G27">Common_InputFunctions.Utility_DisplayArrayInTable(Refrigerants_SourceData.Refrigerants_ChemicalGWP_Data(), Table_RefrigerantChemicalGWP[[#Headers],[Gas]], 0)</f>
        <v>HFC-365mfc</v>
      </c>
      <c r="H27" s="249" t="str" cm="1">
        <f t="array" ref="H27">Common_InputFunctions.Utility_DisplayArrayInTable(Refrigerants_SourceData.Refrigerants_ChemicalGWP_Data(), Table_RefrigerantChemicalGWP[[#Headers],[Gas]], 0)</f>
        <v/>
      </c>
      <c r="I27" s="246"/>
      <c r="J27" s="246"/>
      <c r="K27" s="246"/>
      <c r="L27" s="246"/>
      <c r="M27" s="246"/>
      <c r="N27" s="246"/>
      <c r="O27" s="246"/>
      <c r="P27" s="246"/>
      <c r="Q27" s="246"/>
    </row>
    <row r="28" spans="1:17" ht="20.100000000000001" customHeight="1" x14ac:dyDescent="0.25">
      <c r="D28" s="19" t="str" cm="1">
        <f t="array" ref="D28">Common_InputFunctions.Utility_DisplayArrayInTable(Refrigerants_SourceData.Refrigerants_ChemicalGWP_Data(), Table_RefrigerantChemicalGWP[[#Headers],[Gas]], 0)</f>
        <v>HCFC-22 (R-22)</v>
      </c>
      <c r="E28" s="19" t="str" cm="1">
        <f t="array" ref="E28">Common_InputFunctions.Utility_DisplayArrayInTable(Refrigerants_SourceData.Refrigerants_ChemicalGWP_Data(), Table_RefrigerantChemicalGWP[[#Headers],[Gas]], 0)</f>
        <v>CHClF2</v>
      </c>
      <c r="F28" s="19" cm="1">
        <f t="array" ref="F28">Common_InputFunctions.Utility_DisplayArrayInTable(Refrigerants_SourceData.Refrigerants_ChemicalGWP_Data(), Table_RefrigerantChemicalGWP[[#Headers],[Gas]], 0)</f>
        <v>1760</v>
      </c>
      <c r="G28" s="19" t="str" cm="1">
        <f t="array" ref="G28">Common_InputFunctions.Utility_DisplayArrayInTable(Refrigerants_SourceData.Refrigerants_ChemicalGWP_Data(), Table_RefrigerantChemicalGWP[[#Headers],[Gas]], 0)</f>
        <v>HCFC-22</v>
      </c>
      <c r="H28" s="249" t="str" cm="1">
        <f t="array" ref="H28">Common_InputFunctions.Utility_DisplayArrayInTable(Refrigerants_SourceData.Refrigerants_ChemicalGWP_Data(), Table_RefrigerantChemicalGWP[[#Headers],[Gas]], 0)</f>
        <v/>
      </c>
      <c r="I28" s="246"/>
      <c r="J28" s="246"/>
      <c r="K28" s="246"/>
      <c r="L28" s="246"/>
      <c r="M28" s="246"/>
      <c r="N28" s="246"/>
      <c r="O28" s="246"/>
      <c r="P28" s="246"/>
      <c r="Q28" s="246"/>
    </row>
    <row r="29" spans="1:17" ht="20.100000000000001" customHeight="1" x14ac:dyDescent="0.25">
      <c r="D29" s="249" t="str" cm="1">
        <f t="array" ref="D29">Common_InputFunctions.Utility_DisplayArrayInTable(Refrigerants_SourceData.Refrigerants_ChemicalGWP_Data(), Table_RefrigerantChemicalGWP[[#Headers],[Gas]], 0)</f>
        <v>HCFC-123 (R-123)</v>
      </c>
      <c r="E29" s="19" t="str" cm="1">
        <f t="array" ref="E29">Common_InputFunctions.Utility_DisplayArrayInTable(Refrigerants_SourceData.Refrigerants_ChemicalGWP_Data(), Table_RefrigerantChemicalGWP[[#Headers],[Gas]], 0)</f>
        <v>CHCl22CF3</v>
      </c>
      <c r="F29" s="19" cm="1">
        <f t="array" ref="F29">Common_InputFunctions.Utility_DisplayArrayInTable(Refrigerants_SourceData.Refrigerants_ChemicalGWP_Data(), Table_RefrigerantChemicalGWP[[#Headers],[Gas]], 0)</f>
        <v>79</v>
      </c>
      <c r="G29" s="19" t="str" cm="1">
        <f t="array" ref="G29">Common_InputFunctions.Utility_DisplayArrayInTable(Refrigerants_SourceData.Refrigerants_ChemicalGWP_Data(), Table_RefrigerantChemicalGWP[[#Headers],[Gas]], 0)</f>
        <v>HCFC-123</v>
      </c>
      <c r="H29" s="249" t="str" cm="1">
        <f t="array" ref="H29">Common_InputFunctions.Utility_DisplayArrayInTable(Refrigerants_SourceData.Refrigerants_ChemicalGWP_Data(), Table_RefrigerantChemicalGWP[[#Headers],[Gas]], 0)</f>
        <v/>
      </c>
      <c r="I29" s="246"/>
      <c r="J29" s="246"/>
      <c r="K29" s="246"/>
      <c r="L29" s="246"/>
      <c r="M29" s="246"/>
      <c r="N29" s="246"/>
      <c r="O29" s="246"/>
      <c r="P29" s="246"/>
      <c r="Q29" s="246"/>
    </row>
    <row r="30" spans="1:17" ht="20.100000000000001" customHeight="1" x14ac:dyDescent="0.25">
      <c r="A30" s="6" t="s">
        <v>2</v>
      </c>
      <c r="D30" s="249" t="str" cm="1">
        <f t="array" ref="D30">Common_InputFunctions.Utility_DisplayArrayInTable(Refrigerants_SourceData.Refrigerants_ChemicalGWP_Data(), Table_RefrigerantChemicalGWP[[#Headers],[Gas]], 0)</f>
        <v>HCFC-124 (R-124)</v>
      </c>
      <c r="E30" s="19" t="str" cm="1">
        <f t="array" ref="E30">Common_InputFunctions.Utility_DisplayArrayInTable(Refrigerants_SourceData.Refrigerants_ChemicalGWP_Data(), Table_RefrigerantChemicalGWP[[#Headers],[Gas]], 0)</f>
        <v>CHClFCF3</v>
      </c>
      <c r="F30" s="19" cm="1">
        <f t="array" ref="F30">Common_InputFunctions.Utility_DisplayArrayInTable(Refrigerants_SourceData.Refrigerants_ChemicalGWP_Data(), Table_RefrigerantChemicalGWP[[#Headers],[Gas]], 0)</f>
        <v>527</v>
      </c>
      <c r="G30" s="19" t="str" cm="1">
        <f t="array" ref="G30">Common_InputFunctions.Utility_DisplayArrayInTable(Refrigerants_SourceData.Refrigerants_ChemicalGWP_Data(), Table_RefrigerantChemicalGWP[[#Headers],[Gas]], 0)</f>
        <v>HCFC-124</v>
      </c>
      <c r="H30" s="249" t="str" cm="1">
        <f t="array" ref="H30">Common_InputFunctions.Utility_DisplayArrayInTable(Refrigerants_SourceData.Refrigerants_ChemicalGWP_Data(), Table_RefrigerantChemicalGWP[[#Headers],[Gas]], 0)</f>
        <v/>
      </c>
      <c r="I30" s="246"/>
      <c r="J30" s="246"/>
      <c r="K30" s="246"/>
      <c r="L30" s="246"/>
      <c r="M30" s="246"/>
      <c r="N30" s="246"/>
      <c r="O30" s="246"/>
      <c r="P30" s="246"/>
      <c r="Q30" s="246"/>
    </row>
    <row r="31" spans="1:17" ht="20.100000000000001" customHeight="1" x14ac:dyDescent="0.25">
      <c r="A31" s="5" t="str">
        <f>HYPERLINK("#'3.3.1.1-2 Enteric Methane'!A1", "3.3.1.1-2 Enteric methane")</f>
        <v>3.3.1.1-2 Enteric methane</v>
      </c>
      <c r="D31" s="249" t="str" cm="1">
        <f t="array" ref="D31">Common_InputFunctions.Utility_DisplayArrayInTable(Refrigerants_SourceData.Refrigerants_ChemicalGWP_Data(), Table_RefrigerantChemicalGWP[[#Headers],[Gas]], 0)</f>
        <v>HCFC-141b (R-141b)</v>
      </c>
      <c r="E31" s="19" t="str" cm="1">
        <f t="array" ref="E31">Common_InputFunctions.Utility_DisplayArrayInTable(Refrigerants_SourceData.Refrigerants_ChemicalGWP_Data(), Table_RefrigerantChemicalGWP[[#Headers],[Gas]], 0)</f>
        <v>CH3CCl2F</v>
      </c>
      <c r="F31" s="19" cm="1">
        <f t="array" ref="F31">Common_InputFunctions.Utility_DisplayArrayInTable(Refrigerants_SourceData.Refrigerants_ChemicalGWP_Data(), Table_RefrigerantChemicalGWP[[#Headers],[Gas]], 0)</f>
        <v>782</v>
      </c>
      <c r="G31" s="19" t="str" cm="1">
        <f t="array" ref="G31">Common_InputFunctions.Utility_DisplayArrayInTable(Refrigerants_SourceData.Refrigerants_ChemicalGWP_Data(), Table_RefrigerantChemicalGWP[[#Headers],[Gas]], 0)</f>
        <v>HCFC-141b</v>
      </c>
      <c r="H31" s="249" t="str" cm="1">
        <f t="array" ref="H31">Common_InputFunctions.Utility_DisplayArrayInTable(Refrigerants_SourceData.Refrigerants_ChemicalGWP_Data(), Table_RefrigerantChemicalGWP[[#Headers],[Gas]], 0)</f>
        <v/>
      </c>
      <c r="I31" s="246"/>
      <c r="J31" s="246"/>
      <c r="K31" s="246"/>
      <c r="L31" s="246"/>
      <c r="M31" s="246"/>
      <c r="N31" s="246"/>
      <c r="O31" s="246"/>
      <c r="P31" s="246"/>
      <c r="Q31" s="246"/>
    </row>
    <row r="32" spans="1:17" ht="20.100000000000001" customHeight="1" x14ac:dyDescent="0.25">
      <c r="A32" s="5" t="str">
        <f>HYPERLINK("#'4.3.1.1-2 Methane'!A1", "4.3.1.1-2 Manure methane")</f>
        <v>4.3.1.1-2 Manure methane</v>
      </c>
      <c r="D32" s="249" t="str" cm="1">
        <f t="array" ref="D32">Common_InputFunctions.Utility_DisplayArrayInTable(Refrigerants_SourceData.Refrigerants_ChemicalGWP_Data(), Table_RefrigerantChemicalGWP[[#Headers],[Gas]], 0)</f>
        <v>HCFC-142b (R-142b)</v>
      </c>
      <c r="E32" s="19" t="str" cm="1">
        <f t="array" ref="E32">Common_InputFunctions.Utility_DisplayArrayInTable(Refrigerants_SourceData.Refrigerants_ChemicalGWP_Data(), Table_RefrigerantChemicalGWP[[#Headers],[Gas]], 0)</f>
        <v>CH2CClF2</v>
      </c>
      <c r="F32" s="19" cm="1">
        <f t="array" ref="F32">Common_InputFunctions.Utility_DisplayArrayInTable(Refrigerants_SourceData.Refrigerants_ChemicalGWP_Data(), Table_RefrigerantChemicalGWP[[#Headers],[Gas]], 0)</f>
        <v>1980</v>
      </c>
      <c r="G32" s="19" t="str" cm="1">
        <f t="array" ref="G32">Common_InputFunctions.Utility_DisplayArrayInTable(Refrigerants_SourceData.Refrigerants_ChemicalGWP_Data(), Table_RefrigerantChemicalGWP[[#Headers],[Gas]], 0)</f>
        <v>HCFC-142b</v>
      </c>
      <c r="H32" s="249" t="str" cm="1">
        <f t="array" ref="H32">Common_InputFunctions.Utility_DisplayArrayInTable(Refrigerants_SourceData.Refrigerants_ChemicalGWP_Data(), Table_RefrigerantChemicalGWP[[#Headers],[Gas]], 0)</f>
        <v/>
      </c>
      <c r="I32" s="246"/>
      <c r="J32" s="246"/>
      <c r="K32" s="246"/>
      <c r="L32" s="246"/>
      <c r="M32" s="246"/>
      <c r="N32" s="246"/>
      <c r="O32" s="246"/>
      <c r="P32" s="246"/>
      <c r="Q32" s="246"/>
    </row>
    <row r="33" spans="1:17" ht="20.100000000000001" customHeight="1" x14ac:dyDescent="0.25">
      <c r="A33" s="5" t="str">
        <f>HYPERLINK("#'4.3.1.3-4 Direct N20'!A1", "4.3.1.3-4 Direct N20")</f>
        <v>4.3.1.3-4 Direct N20</v>
      </c>
      <c r="D33" s="249" t="str" cm="1">
        <f t="array" ref="D33">Common_InputFunctions.Utility_DisplayArrayInTable(Refrigerants_SourceData.Refrigerants_ChemicalGWP_Data(), Table_RefrigerantChemicalGWP[[#Headers],[Gas]], 0)</f>
        <v>HCFC-225ca (R-225ca)</v>
      </c>
      <c r="E33" s="19" t="str" cm="1">
        <f t="array" ref="E33">Common_InputFunctions.Utility_DisplayArrayInTable(Refrigerants_SourceData.Refrigerants_ChemicalGWP_Data(), Table_RefrigerantChemicalGWP[[#Headers],[Gas]], 0)</f>
        <v>CHCl2CF2CF3</v>
      </c>
      <c r="F33" s="19" cm="1">
        <f t="array" ref="F33">Common_InputFunctions.Utility_DisplayArrayInTable(Refrigerants_SourceData.Refrigerants_ChemicalGWP_Data(), Table_RefrigerantChemicalGWP[[#Headers],[Gas]], 0)</f>
        <v>127</v>
      </c>
      <c r="G33" s="19" t="str" cm="1">
        <f t="array" ref="G33">Common_InputFunctions.Utility_DisplayArrayInTable(Refrigerants_SourceData.Refrigerants_ChemicalGWP_Data(), Table_RefrigerantChemicalGWP[[#Headers],[Gas]], 0)</f>
        <v>HCFC-225ca</v>
      </c>
      <c r="H33" s="249" t="str" cm="1">
        <f t="array" ref="H33">Common_InputFunctions.Utility_DisplayArrayInTable(Refrigerants_SourceData.Refrigerants_ChemicalGWP_Data(), Table_RefrigerantChemicalGWP[[#Headers],[Gas]], 0)</f>
        <v/>
      </c>
      <c r="I33" s="246"/>
      <c r="J33" s="246"/>
      <c r="K33" s="246"/>
      <c r="L33" s="246"/>
      <c r="M33" s="246"/>
      <c r="N33" s="246"/>
      <c r="O33" s="246"/>
      <c r="P33" s="246"/>
      <c r="Q33" s="246"/>
    </row>
    <row r="34" spans="1:17" ht="20.100000000000001" customHeight="1" x14ac:dyDescent="0.25">
      <c r="A34" s="5" t="str">
        <f>HYPERLINK("#'4.3.1.5 Atmos deposition'!A1", "4.3.1.5 Atmos deposition")</f>
        <v>4.3.1.5 Atmos deposition</v>
      </c>
      <c r="D34" s="249" t="str" cm="1">
        <f t="array" ref="D34">Common_InputFunctions.Utility_DisplayArrayInTable(Refrigerants_SourceData.Refrigerants_ChemicalGWP_Data(), Table_RefrigerantChemicalGWP[[#Headers],[Gas]], 0)</f>
        <v>HCFC-225cb (R-225cb)</v>
      </c>
      <c r="E34" s="19" t="str" cm="1">
        <f t="array" ref="E34">Common_InputFunctions.Utility_DisplayArrayInTable(Refrigerants_SourceData.Refrigerants_ChemicalGWP_Data(), Table_RefrigerantChemicalGWP[[#Headers],[Gas]], 0)</f>
        <v>CHClFCF2CCIF2</v>
      </c>
      <c r="F34" s="19" cm="1">
        <f t="array" ref="F34">Common_InputFunctions.Utility_DisplayArrayInTable(Refrigerants_SourceData.Refrigerants_ChemicalGWP_Data(), Table_RefrigerantChemicalGWP[[#Headers],[Gas]], 0)</f>
        <v>525</v>
      </c>
      <c r="G34" s="19" t="str" cm="1">
        <f t="array" ref="G34">Common_InputFunctions.Utility_DisplayArrayInTable(Refrigerants_SourceData.Refrigerants_ChemicalGWP_Data(), Table_RefrigerantChemicalGWP[[#Headers],[Gas]], 0)</f>
        <v>HCFC-225cb</v>
      </c>
      <c r="H34" s="249" t="str" cm="1">
        <f t="array" ref="H34">Common_InputFunctions.Utility_DisplayArrayInTable(Refrigerants_SourceData.Refrigerants_ChemicalGWP_Data(), Table_RefrigerantChemicalGWP[[#Headers],[Gas]], 0)</f>
        <v/>
      </c>
      <c r="I34" s="246"/>
      <c r="J34" s="246"/>
      <c r="K34" s="246"/>
      <c r="L34" s="246"/>
      <c r="M34" s="246"/>
      <c r="N34" s="246"/>
      <c r="O34" s="246"/>
      <c r="P34" s="246"/>
      <c r="Q34" s="246"/>
    </row>
    <row r="35" spans="1:17" ht="20.100000000000001" customHeight="1" x14ac:dyDescent="0.25">
      <c r="A35" s="5" t="str">
        <f>HYPERLINK("#'4.3.1.6-7 Leaching and runoff'!A1", "4.3.1.6-7 Leaching &amp; runoff")</f>
        <v>4.3.1.6-7 Leaching &amp; runoff</v>
      </c>
      <c r="D35" s="249" t="str" cm="1">
        <f t="array" ref="D35">Common_InputFunctions.Utility_DisplayArrayInTable(Refrigerants_SourceData.Refrigerants_ChemicalGWP_Data(), Table_RefrigerantChemicalGWP[[#Headers],[Gas]], 0)</f>
        <v>PFC-14 Perfluoromethane (tetrafluoromethane)</v>
      </c>
      <c r="E35" s="19" t="str" cm="1">
        <f t="array" ref="E35">Common_InputFunctions.Utility_DisplayArrayInTable(Refrigerants_SourceData.Refrigerants_ChemicalGWP_Data(), Table_RefrigerantChemicalGWP[[#Headers],[Gas]], 0)</f>
        <v>CF4</v>
      </c>
      <c r="F35" s="19" cm="1">
        <f t="array" ref="F35">Common_InputFunctions.Utility_DisplayArrayInTable(Refrigerants_SourceData.Refrigerants_ChemicalGWP_Data(), Table_RefrigerantChemicalGWP[[#Headers],[Gas]], 0)</f>
        <v>6630</v>
      </c>
      <c r="G35" s="19" t="str" cm="1">
        <f t="array" ref="G35">Common_InputFunctions.Utility_DisplayArrayInTable(Refrigerants_SourceData.Refrigerants_ChemicalGWP_Data(), Table_RefrigerantChemicalGWP[[#Headers],[Gas]], 0)</f>
        <v>PFC-14</v>
      </c>
      <c r="H35" s="249" t="str" cm="1">
        <f t="array" ref="H35">Common_InputFunctions.Utility_DisplayArrayInTable(Refrigerants_SourceData.Refrigerants_ChemicalGWP_Data(), Table_RefrigerantChemicalGWP[[#Headers],[Gas]], 0)</f>
        <v/>
      </c>
      <c r="I35" s="246"/>
      <c r="J35" s="246"/>
      <c r="K35" s="246"/>
      <c r="L35" s="246"/>
      <c r="M35" s="246"/>
      <c r="N35" s="246"/>
      <c r="O35" s="246"/>
      <c r="P35" s="246"/>
      <c r="Q35" s="246"/>
    </row>
    <row r="36" spans="1:17" ht="20.100000000000001" customHeight="1" x14ac:dyDescent="0.25">
      <c r="A36" s="5" t="str">
        <f>HYPERLINK("#'4.3.1.8 Manure applied to soils'!A1", "4.3.1.8 Manure applied to soils")</f>
        <v>4.3.1.8 Manure applied to soils</v>
      </c>
      <c r="D36" s="249" t="str" cm="1">
        <f t="array" ref="D36">Common_InputFunctions.Utility_DisplayArrayInTable(Refrigerants_SourceData.Refrigerants_ChemicalGWP_Data(), Table_RefrigerantChemicalGWP[[#Headers],[Gas]], 0)</f>
        <v>PFC-116 Perfluoroethane (hexafluoroethane)</v>
      </c>
      <c r="E36" s="19" t="str" cm="1">
        <f t="array" ref="E36">Common_InputFunctions.Utility_DisplayArrayInTable(Refrigerants_SourceData.Refrigerants_ChemicalGWP_Data(), Table_RefrigerantChemicalGWP[[#Headers],[Gas]], 0)</f>
        <v>C2F6</v>
      </c>
      <c r="F36" s="19" cm="1">
        <f t="array" ref="F36">Common_InputFunctions.Utility_DisplayArrayInTable(Refrigerants_SourceData.Refrigerants_ChemicalGWP_Data(), Table_RefrigerantChemicalGWP[[#Headers],[Gas]], 0)</f>
        <v>11100</v>
      </c>
      <c r="G36" s="19" t="str" cm="1">
        <f t="array" ref="G36">Common_InputFunctions.Utility_DisplayArrayInTable(Refrigerants_SourceData.Refrigerants_ChemicalGWP_Data(), Table_RefrigerantChemicalGWP[[#Headers],[Gas]], 0)</f>
        <v>PFC-116</v>
      </c>
      <c r="H36" s="249" t="str" cm="1">
        <f t="array" ref="H36">Common_InputFunctions.Utility_DisplayArrayInTable(Refrigerants_SourceData.Refrigerants_ChemicalGWP_Data(), Table_RefrigerantChemicalGWP[[#Headers],[Gas]], 0)</f>
        <v/>
      </c>
      <c r="I36" s="246"/>
      <c r="J36" s="246"/>
      <c r="K36" s="246"/>
      <c r="L36" s="246"/>
      <c r="M36" s="246"/>
      <c r="N36" s="246"/>
      <c r="O36" s="246"/>
      <c r="P36" s="246"/>
      <c r="Q36" s="246"/>
    </row>
    <row r="37" spans="1:17" ht="20.100000000000001" customHeight="1" x14ac:dyDescent="0.25">
      <c r="A37" s="5" t="str">
        <f>HYPERLINK("#'4.3.1.9 Soil direct N2O'!A1", "4.3.1.9 Soil direct N2O")</f>
        <v>4.3.1.9 Soil direct N2O</v>
      </c>
      <c r="D37" s="249" t="str" cm="1">
        <f t="array" ref="D37">Common_InputFunctions.Utility_DisplayArrayInTable(Refrigerants_SourceData.Refrigerants_ChemicalGWP_Data(), Table_RefrigerantChemicalGWP[[#Headers],[Gas]], 0)</f>
        <v>PFC-218 Perfluoropropane</v>
      </c>
      <c r="E37" s="19" t="str" cm="1">
        <f t="array" ref="E37">Common_InputFunctions.Utility_DisplayArrayInTable(Refrigerants_SourceData.Refrigerants_ChemicalGWP_Data(), Table_RefrigerantChemicalGWP[[#Headers],[Gas]], 0)</f>
        <v>C3F8</v>
      </c>
      <c r="F37" s="19" cm="1">
        <f t="array" ref="F37">Common_InputFunctions.Utility_DisplayArrayInTable(Refrigerants_SourceData.Refrigerants_ChemicalGWP_Data(), Table_RefrigerantChemicalGWP[[#Headers],[Gas]], 0)</f>
        <v>8900</v>
      </c>
      <c r="G37" s="19" t="str" cm="1">
        <f t="array" ref="G37">Common_InputFunctions.Utility_DisplayArrayInTable(Refrigerants_SourceData.Refrigerants_ChemicalGWP_Data(), Table_RefrigerantChemicalGWP[[#Headers],[Gas]], 0)</f>
        <v>PFC-218</v>
      </c>
      <c r="H37" s="249" t="str" cm="1">
        <f t="array" ref="H37">Common_InputFunctions.Utility_DisplayArrayInTable(Refrigerants_SourceData.Refrigerants_ChemicalGWP_Data(), Table_RefrigerantChemicalGWP[[#Headers],[Gas]], 0)</f>
        <v/>
      </c>
      <c r="I37" s="246"/>
      <c r="J37" s="246"/>
      <c r="K37" s="246"/>
      <c r="L37" s="246"/>
      <c r="M37" s="246"/>
      <c r="N37" s="246"/>
      <c r="O37" s="246"/>
      <c r="P37" s="246"/>
      <c r="Q37" s="246"/>
    </row>
    <row r="38" spans="1:17" ht="20.100000000000001" customHeight="1" x14ac:dyDescent="0.25">
      <c r="A38" s="5" t="str">
        <f>HYPERLINK("#'4.3.1.10-11 Soil Atmos Dep'!A1", "4.3.1.10-11 Soil Atmos Deposition")</f>
        <v>4.3.1.10-11 Soil Atmos Deposition</v>
      </c>
      <c r="D38" s="249" t="str" cm="1">
        <f t="array" ref="D38">Common_InputFunctions.Utility_DisplayArrayInTable(Refrigerants_SourceData.Refrigerants_ChemicalGWP_Data(), Table_RefrigerantChemicalGWP[[#Headers],[Gas]], 0)</f>
        <v>PFC-31-10 Perfluorobutane</v>
      </c>
      <c r="E38" s="19" t="str" cm="1">
        <f t="array" ref="E38">Common_InputFunctions.Utility_DisplayArrayInTable(Refrigerants_SourceData.Refrigerants_ChemicalGWP_Data(), Table_RefrigerantChemicalGWP[[#Headers],[Gas]], 0)</f>
        <v>C4F10</v>
      </c>
      <c r="F38" s="19" cm="1">
        <f t="array" ref="F38">Common_InputFunctions.Utility_DisplayArrayInTable(Refrigerants_SourceData.Refrigerants_ChemicalGWP_Data(), Table_RefrigerantChemicalGWP[[#Headers],[Gas]], 0)</f>
        <v>9200</v>
      </c>
      <c r="G38" s="19" t="str" cm="1">
        <f t="array" ref="G38">Common_InputFunctions.Utility_DisplayArrayInTable(Refrigerants_SourceData.Refrigerants_ChemicalGWP_Data(), Table_RefrigerantChemicalGWP[[#Headers],[Gas]], 0)</f>
        <v>PFC-31-10</v>
      </c>
      <c r="H38" s="249" t="str" cm="1">
        <f t="array" ref="H38">Common_InputFunctions.Utility_DisplayArrayInTable(Refrigerants_SourceData.Refrigerants_ChemicalGWP_Data(), Table_RefrigerantChemicalGWP[[#Headers],[Gas]], 0)</f>
        <v/>
      </c>
      <c r="I38" s="246"/>
      <c r="J38" s="246"/>
      <c r="K38" s="246"/>
      <c r="L38" s="246"/>
      <c r="M38" s="246"/>
      <c r="N38" s="246"/>
      <c r="O38" s="246"/>
      <c r="P38" s="246"/>
      <c r="Q38" s="246"/>
    </row>
    <row r="39" spans="1:17" ht="20.100000000000001" customHeight="1" x14ac:dyDescent="0.25">
      <c r="A39" s="5" t="str">
        <f>HYPERLINK("#'4.3.1.12-13 Soil leach runoff'!A1", "4.3.1.12-13 Soil leach &amp; runoff")</f>
        <v>4.3.1.12-13 Soil leach &amp; runoff</v>
      </c>
      <c r="D39" s="249" t="str" cm="1">
        <f t="array" ref="D39">Common_InputFunctions.Utility_DisplayArrayInTable(Refrigerants_SourceData.Refrigerants_ChemicalGWP_Data(), Table_RefrigerantChemicalGWP[[#Headers],[Gas]], 0)</f>
        <v>PFC-318 Perfluorocyclobutane</v>
      </c>
      <c r="E39" s="19" t="str" cm="1">
        <f t="array" ref="E39">Common_InputFunctions.Utility_DisplayArrayInTable(Refrigerants_SourceData.Refrigerants_ChemicalGWP_Data(), Table_RefrigerantChemicalGWP[[#Headers],[Gas]], 0)</f>
        <v>c-C4F8</v>
      </c>
      <c r="F39" s="19" cm="1">
        <f t="array" ref="F39">Common_InputFunctions.Utility_DisplayArrayInTable(Refrigerants_SourceData.Refrigerants_ChemicalGWP_Data(), Table_RefrigerantChemicalGWP[[#Headers],[Gas]], 0)</f>
        <v>9540</v>
      </c>
      <c r="G39" s="19" t="str" cm="1">
        <f t="array" ref="G39">Common_InputFunctions.Utility_DisplayArrayInTable(Refrigerants_SourceData.Refrigerants_ChemicalGWP_Data(), Table_RefrigerantChemicalGWP[[#Headers],[Gas]], 0)</f>
        <v>PFC-318</v>
      </c>
      <c r="H39" s="249" t="str" cm="1">
        <f t="array" ref="H39">Common_InputFunctions.Utility_DisplayArrayInTable(Refrigerants_SourceData.Refrigerants_ChemicalGWP_Data(), Table_RefrigerantChemicalGWP[[#Headers],[Gas]], 0)</f>
        <v/>
      </c>
      <c r="I39" s="246"/>
      <c r="J39" s="246"/>
      <c r="K39" s="246"/>
      <c r="L39" s="246"/>
      <c r="M39" s="246"/>
      <c r="N39" s="246"/>
      <c r="O39" s="246"/>
      <c r="P39" s="246"/>
      <c r="Q39" s="246"/>
    </row>
    <row r="40" spans="1:17" ht="20.100000000000001" customHeight="1" x14ac:dyDescent="0.25">
      <c r="A40" s="5" t="str">
        <f>HYPERLINK("#'5.1.1.1-2 Inorganic fert N2O'!A1", "5.1.1.1-2 Inorganic fert N2O")</f>
        <v>5.1.1.1-2 Inorganic fert N2O</v>
      </c>
      <c r="D40" s="249" t="str" cm="1">
        <f t="array" ref="D40">Common_InputFunctions.Utility_DisplayArrayInTable(Refrigerants_SourceData.Refrigerants_ChemicalGWP_Data(), Table_RefrigerantChemicalGWP[[#Headers],[Gas]], 0)</f>
        <v>PFC-41-12 Perfluoropentane</v>
      </c>
      <c r="E40" s="19" t="str" cm="1">
        <f t="array" ref="E40">Common_InputFunctions.Utility_DisplayArrayInTable(Refrigerants_SourceData.Refrigerants_ChemicalGWP_Data(), Table_RefrigerantChemicalGWP[[#Headers],[Gas]], 0)</f>
        <v>C5F12</v>
      </c>
      <c r="F40" s="19" cm="1">
        <f t="array" ref="F40">Common_InputFunctions.Utility_DisplayArrayInTable(Refrigerants_SourceData.Refrigerants_ChemicalGWP_Data(), Table_RefrigerantChemicalGWP[[#Headers],[Gas]], 0)</f>
        <v>8550</v>
      </c>
      <c r="G40" s="19" t="str" cm="1">
        <f t="array" ref="G40">Common_InputFunctions.Utility_DisplayArrayInTable(Refrigerants_SourceData.Refrigerants_ChemicalGWP_Data(), Table_RefrigerantChemicalGWP[[#Headers],[Gas]], 0)</f>
        <v>PFC-41-12</v>
      </c>
      <c r="H40" s="249" t="str" cm="1">
        <f t="array" ref="H40">Common_InputFunctions.Utility_DisplayArrayInTable(Refrigerants_SourceData.Refrigerants_ChemicalGWP_Data(), Table_RefrigerantChemicalGWP[[#Headers],[Gas]], 0)</f>
        <v/>
      </c>
      <c r="I40" s="246"/>
      <c r="J40" s="246"/>
      <c r="K40" s="246"/>
      <c r="L40" s="246"/>
      <c r="M40" s="246"/>
      <c r="N40" s="246"/>
      <c r="O40" s="246"/>
      <c r="P40" s="246"/>
      <c r="Q40" s="246"/>
    </row>
    <row r="41" spans="1:17" ht="20.100000000000001" customHeight="1" x14ac:dyDescent="0.25">
      <c r="A41" s="5" t="str">
        <f>HYPERLINK("#'5.1.1.3-4 Inorganic fert CO2'!A1", "5.1.1.3-4 Inorganic fert CO2")</f>
        <v>5.1.1.3-4 Inorganic fert CO2</v>
      </c>
      <c r="D41" s="249" t="str" cm="1">
        <f t="array" ref="D41">Common_InputFunctions.Utility_DisplayArrayInTable(Refrigerants_SourceData.Refrigerants_ChemicalGWP_Data(), Table_RefrigerantChemicalGWP[[#Headers],[Gas]], 0)</f>
        <v>PFC-51-14 Perfluorohexane</v>
      </c>
      <c r="E41" s="19" t="str" cm="1">
        <f t="array" ref="E41">Common_InputFunctions.Utility_DisplayArrayInTable(Refrigerants_SourceData.Refrigerants_ChemicalGWP_Data(), Table_RefrigerantChemicalGWP[[#Headers],[Gas]], 0)</f>
        <v>C6F14</v>
      </c>
      <c r="F41" s="19" cm="1">
        <f t="array" ref="F41">Common_InputFunctions.Utility_DisplayArrayInTable(Refrigerants_SourceData.Refrigerants_ChemicalGWP_Data(), Table_RefrigerantChemicalGWP[[#Headers],[Gas]], 0)</f>
        <v>7910</v>
      </c>
      <c r="G41" s="19" t="str" cm="1">
        <f t="array" ref="G41">Common_InputFunctions.Utility_DisplayArrayInTable(Refrigerants_SourceData.Refrigerants_ChemicalGWP_Data(), Table_RefrigerantChemicalGWP[[#Headers],[Gas]], 0)</f>
        <v>PFC-51-14</v>
      </c>
      <c r="H41" s="249" t="str" cm="1">
        <f t="array" ref="H41">Common_InputFunctions.Utility_DisplayArrayInTable(Refrigerants_SourceData.Refrigerants_ChemicalGWP_Data(), Table_RefrigerantChemicalGWP[[#Headers],[Gas]], 0)</f>
        <v/>
      </c>
      <c r="I41" s="246"/>
      <c r="J41" s="246"/>
      <c r="K41" s="246"/>
      <c r="L41" s="246"/>
      <c r="M41" s="246"/>
      <c r="N41" s="246"/>
      <c r="O41" s="246"/>
      <c r="P41" s="246"/>
      <c r="Q41" s="246"/>
    </row>
    <row r="42" spans="1:17" ht="20.100000000000001" customHeight="1" x14ac:dyDescent="0.25">
      <c r="A42" s="5" t="str">
        <f>HYPERLINK("#'5.2.1.1-2 Organic Fert N2O'!A1", "5.2.1.1-2 Organic fert N2O")</f>
        <v>5.2.1.1-2 Organic fert N2O</v>
      </c>
      <c r="D42" s="249" t="str" cm="1">
        <f t="array" ref="D42">Common_InputFunctions.Utility_DisplayArrayInTable(Refrigerants_SourceData.Refrigerants_ChemicalGWP_Data(), Table_RefrigerantChemicalGWP[[#Headers],[Gas]], 0)</f>
        <v>PFC-91-18 Perflunafene</v>
      </c>
      <c r="E42" s="19" t="str" cm="1">
        <f t="array" ref="E42">Common_InputFunctions.Utility_DisplayArrayInTable(Refrigerants_SourceData.Refrigerants_ChemicalGWP_Data(), Table_RefrigerantChemicalGWP[[#Headers],[Gas]], 0)</f>
        <v>C10F18</v>
      </c>
      <c r="F42" s="19" cm="1">
        <f t="array" ref="F42">Common_InputFunctions.Utility_DisplayArrayInTable(Refrigerants_SourceData.Refrigerants_ChemicalGWP_Data(), Table_RefrigerantChemicalGWP[[#Headers],[Gas]], 0)</f>
        <v>7190</v>
      </c>
      <c r="G42" s="19" t="str" cm="1">
        <f t="array" ref="G42">Common_InputFunctions.Utility_DisplayArrayInTable(Refrigerants_SourceData.Refrigerants_ChemicalGWP_Data(), Table_RefrigerantChemicalGWP[[#Headers],[Gas]], 0)</f>
        <v>PFC-91-18</v>
      </c>
      <c r="H42" s="249" t="str" cm="1">
        <f t="array" ref="H42">Common_InputFunctions.Utility_DisplayArrayInTable(Refrigerants_SourceData.Refrigerants_ChemicalGWP_Data(), Table_RefrigerantChemicalGWP[[#Headers],[Gas]], 0)</f>
        <v/>
      </c>
      <c r="I42" s="246"/>
      <c r="J42" s="246"/>
      <c r="K42" s="246"/>
      <c r="L42" s="246"/>
      <c r="M42" s="246"/>
      <c r="N42" s="246"/>
      <c r="O42" s="246"/>
      <c r="P42" s="246"/>
      <c r="Q42" s="246"/>
    </row>
    <row r="43" spans="1:17" ht="20.100000000000001" customHeight="1" x14ac:dyDescent="0.25">
      <c r="A43" s="5" t="str">
        <f>HYPERLINK("#'5.3.1.1-2 Lime CO2'!A1", "5.3.1.1-2 Lime CO2")</f>
        <v>5.3.1.1-2 Lime CO2</v>
      </c>
      <c r="D43" s="249" t="str" cm="1">
        <f t="array" ref="D43">Common_InputFunctions.Utility_DisplayArrayInTable(Refrigerants_SourceData.Refrigerants_ChemicalGWP_Data(), Table_RefrigerantChemicalGWP[[#Headers],[Gas]], 0)</f>
        <v>CFC-12</v>
      </c>
      <c r="E43" s="249" t="str" cm="1">
        <f t="array" ref="E43">Common_InputFunctions.Utility_DisplayArrayInTable(Refrigerants_SourceData.Refrigerants_ChemicalGWP_Data(), Table_RefrigerantChemicalGWP[[#Headers],[Gas]], 0)</f>
        <v>CCl2F2</v>
      </c>
      <c r="F43" s="249" cm="1">
        <f t="array" ref="F43">Common_InputFunctions.Utility_DisplayArrayInTable(Refrigerants_SourceData.Refrigerants_ChemicalGWP_Data(), Table_RefrigerantChemicalGWP[[#Headers],[Gas]], 0)</f>
        <v>10200</v>
      </c>
      <c r="G43" s="249" t="str" cm="1">
        <f t="array" ref="G43">Common_InputFunctions.Utility_DisplayArrayInTable(Refrigerants_SourceData.Refrigerants_ChemicalGWP_Data(), Table_RefrigerantChemicalGWP[[#Headers],[Gas]], 0)</f>
        <v>CFC-12</v>
      </c>
      <c r="H43" s="249" t="str" cm="1">
        <f t="array" ref="H43">Common_InputFunctions.Utility_DisplayArrayInTable(Refrigerants_SourceData.Refrigerants_ChemicalGWP_Data(), Table_RefrigerantChemicalGWP[[#Headers],[Gas]], 0)</f>
        <v>IPCC Global Warming Potential Values v2.0 - (AR5)</v>
      </c>
      <c r="I43" s="246"/>
      <c r="J43" s="246"/>
      <c r="K43" s="246"/>
      <c r="L43" s="246"/>
      <c r="M43" s="246"/>
      <c r="N43" s="246"/>
      <c r="O43" s="246"/>
      <c r="P43" s="246"/>
      <c r="Q43" s="246"/>
    </row>
    <row r="44" spans="1:17" ht="20.100000000000001" customHeight="1" x14ac:dyDescent="0.25">
      <c r="A44" s="5" t="str">
        <f>HYPERLINK("#'5.4.1.1-4 Atmos deposition'!A1", "5.4.1.1-4 Atmos. deposition")</f>
        <v>5.4.1.1-4 Atmos. deposition</v>
      </c>
      <c r="D44" s="249" t="str" cm="1">
        <f t="array" ref="D44">Common_InputFunctions.Utility_DisplayArrayInTable(Refrigerants_SourceData.Refrigerants_ChemicalGWP_Data(), Table_RefrigerantChemicalGWP[[#Headers],[Gas]], 0)</f>
        <v>CFC-13</v>
      </c>
      <c r="E44" s="249" t="str" cm="1">
        <f t="array" ref="E44">Common_InputFunctions.Utility_DisplayArrayInTable(Refrigerants_SourceData.Refrigerants_ChemicalGWP_Data(), Table_RefrigerantChemicalGWP[[#Headers],[Gas]], 0)</f>
        <v>CClF3</v>
      </c>
      <c r="F44" s="249" cm="1">
        <f t="array" ref="F44">Common_InputFunctions.Utility_DisplayArrayInTable(Refrigerants_SourceData.Refrigerants_ChemicalGWP_Data(), Table_RefrigerantChemicalGWP[[#Headers],[Gas]], 0)</f>
        <v>13900</v>
      </c>
      <c r="G44" s="249" t="str" cm="1">
        <f t="array" ref="G44">Common_InputFunctions.Utility_DisplayArrayInTable(Refrigerants_SourceData.Refrigerants_ChemicalGWP_Data(), Table_RefrigerantChemicalGWP[[#Headers],[Gas]], 0)</f>
        <v>CFC-13</v>
      </c>
      <c r="H44" s="249" t="str" cm="1">
        <f t="array" ref="H44">Common_InputFunctions.Utility_DisplayArrayInTable(Refrigerants_SourceData.Refrigerants_ChemicalGWP_Data(), Table_RefrigerantChemicalGWP[[#Headers],[Gas]], 0)</f>
        <v>IPCC Global Warming Potential Values v2.0 - (AR5)</v>
      </c>
      <c r="I44" s="246"/>
      <c r="J44" s="246"/>
      <c r="K44" s="246"/>
      <c r="L44" s="246"/>
      <c r="M44" s="246"/>
      <c r="N44" s="246"/>
      <c r="O44" s="246"/>
      <c r="P44" s="246"/>
      <c r="Q44" s="246"/>
    </row>
    <row r="45" spans="1:17" ht="20.100000000000001" customHeight="1" x14ac:dyDescent="0.25">
      <c r="A45" s="5" t="str">
        <f>HYPERLINK("#'5.5.1.1-2 Leaching and runoff'!A1", "5.5.1.1-2 Leaching &amp; runoff")</f>
        <v>5.5.1.1-2 Leaching &amp; runoff</v>
      </c>
      <c r="D45" s="249" t="str" cm="1">
        <f t="array" ref="D45">Common_InputFunctions.Utility_DisplayArrayInTable(Refrigerants_SourceData.Refrigerants_ChemicalGWP_Data(), Table_RefrigerantChemicalGWP[[#Headers],[Gas]], 0)</f>
        <v>CFC-114</v>
      </c>
      <c r="E45" s="249" t="str" cm="1">
        <f t="array" ref="E45">Common_InputFunctions.Utility_DisplayArrayInTable(Refrigerants_SourceData.Refrigerants_ChemicalGWP_Data(), Table_RefrigerantChemicalGWP[[#Headers],[Gas]], 0)</f>
        <v>CClF2CClF2</v>
      </c>
      <c r="F45" s="249" cm="1">
        <f t="array" ref="F45">Common_InputFunctions.Utility_DisplayArrayInTable(Refrigerants_SourceData.Refrigerants_ChemicalGWP_Data(), Table_RefrigerantChemicalGWP[[#Headers],[Gas]], 0)</f>
        <v>8590</v>
      </c>
      <c r="G45" s="249" t="str" cm="1">
        <f t="array" ref="G45">Common_InputFunctions.Utility_DisplayArrayInTable(Refrigerants_SourceData.Refrigerants_ChemicalGWP_Data(), Table_RefrigerantChemicalGWP[[#Headers],[Gas]], 0)</f>
        <v>CFC-114</v>
      </c>
      <c r="H45" s="249" t="str" cm="1">
        <f t="array" ref="H45">Common_InputFunctions.Utility_DisplayArrayInTable(Refrigerants_SourceData.Refrigerants_ChemicalGWP_Data(), Table_RefrigerantChemicalGWP[[#Headers],[Gas]], 0)</f>
        <v>IPCC Global Warming Potential Values v2.0 - (AR5)</v>
      </c>
      <c r="I45" s="246"/>
      <c r="J45" s="246"/>
      <c r="K45" s="246"/>
      <c r="L45" s="246"/>
      <c r="M45" s="246"/>
      <c r="N45" s="246"/>
      <c r="O45" s="246"/>
      <c r="P45" s="246"/>
      <c r="Q45" s="246"/>
    </row>
    <row r="46" spans="1:17" ht="20.100000000000001" customHeight="1" x14ac:dyDescent="0.25">
      <c r="A46" s="5" t="str">
        <f>HYPERLINK("#'6.2.1.1-2 Pasture residue N2O'!A1", "6.2.1.1-2 Pasture residue N2O")</f>
        <v>6.2.1.1-2 Pasture residue N2O</v>
      </c>
      <c r="D46" s="249" t="str" cm="1">
        <f t="array" ref="D46">Common_InputFunctions.Utility_DisplayArrayInTable(Refrigerants_SourceData.Refrigerants_ChemicalGWP_Data(), Table_RefrigerantChemicalGWP[[#Headers],[Gas]], 0)</f>
        <v>CFC-115</v>
      </c>
      <c r="E46" s="249" t="str" cm="1">
        <f t="array" ref="E46">Common_InputFunctions.Utility_DisplayArrayInTable(Refrigerants_SourceData.Refrigerants_ChemicalGWP_Data(), Table_RefrigerantChemicalGWP[[#Headers],[Gas]], 0)</f>
        <v>CClF2CF3</v>
      </c>
      <c r="F46" s="249" cm="1">
        <f t="array" ref="F46">Common_InputFunctions.Utility_DisplayArrayInTable(Refrigerants_SourceData.Refrigerants_ChemicalGWP_Data(), Table_RefrigerantChemicalGWP[[#Headers],[Gas]], 0)</f>
        <v>7670</v>
      </c>
      <c r="G46" s="249" t="str" cm="1">
        <f t="array" ref="G46">Common_InputFunctions.Utility_DisplayArrayInTable(Refrigerants_SourceData.Refrigerants_ChemicalGWP_Data(), Table_RefrigerantChemicalGWP[[#Headers],[Gas]], 0)</f>
        <v>CFC-115</v>
      </c>
      <c r="H46" s="249" t="str" cm="1">
        <f t="array" ref="H46">Common_InputFunctions.Utility_DisplayArrayInTable(Refrigerants_SourceData.Refrigerants_ChemicalGWP_Data(), Table_RefrigerantChemicalGWP[[#Headers],[Gas]], 0)</f>
        <v>IPCC Global Warming Potential Values v2.0 - (AR5)</v>
      </c>
      <c r="I46" s="246"/>
      <c r="J46" s="246"/>
      <c r="K46" s="246"/>
      <c r="L46" s="246"/>
      <c r="M46" s="246"/>
      <c r="N46" s="246"/>
      <c r="O46" s="246"/>
      <c r="P46" s="246"/>
      <c r="Q46" s="246"/>
    </row>
    <row r="47" spans="1:17" ht="20.100000000000001" customHeight="1" x14ac:dyDescent="0.25">
      <c r="A47" s="5" t="str">
        <f>HYPERLINK("#'6.3.1.1-2 Leach runoff pasture'!A1", "6.3.1.1-2 Leach &amp; runoff (pasture)")</f>
        <v>6.3.1.1-2 Leach &amp; runoff (pasture)</v>
      </c>
      <c r="D47" s="246"/>
      <c r="E47" s="246"/>
      <c r="F47" s="246"/>
      <c r="G47" s="246"/>
      <c r="H47" s="246"/>
      <c r="I47" s="246"/>
      <c r="J47" s="246"/>
      <c r="K47" s="246"/>
      <c r="L47" s="246"/>
      <c r="M47" s="246"/>
      <c r="N47" s="246"/>
      <c r="O47" s="246"/>
      <c r="P47" s="246"/>
      <c r="Q47" s="246"/>
    </row>
    <row r="48" spans="1:17" ht="20.100000000000001" customHeight="1" x14ac:dyDescent="0.25">
      <c r="A48" s="5" t="str">
        <f>HYPERLINK("#'8.1.1.1-2 Transport fuel'!A1", "8.1.1.1-2 Transport fuel")</f>
        <v>8.1.1.1-2 Transport fuel</v>
      </c>
      <c r="D48" s="88"/>
      <c r="E48" s="88"/>
      <c r="F48" s="88"/>
      <c r="G48" s="88"/>
      <c r="H48" s="250"/>
      <c r="I48" s="250"/>
      <c r="J48" s="250"/>
      <c r="K48" s="250"/>
      <c r="L48" s="250"/>
      <c r="M48" s="250"/>
      <c r="N48" s="250"/>
      <c r="O48" s="250"/>
      <c r="P48" s="250"/>
      <c r="Q48" s="250"/>
    </row>
    <row r="49" spans="1:17" ht="20.100000000000001" customHeight="1" x14ac:dyDescent="0.25">
      <c r="A49" s="5" t="str">
        <f>HYPERLINK("#'8.2.1.1-2 Stationary fuel'!A1", "8.2.1.1-2 Stationary fuel")</f>
        <v>8.2.1.1-2 Stationary fuel</v>
      </c>
      <c r="D49" s="2" t="str" cm="1">
        <f t="array" ref="D49">Refrigerants_SourceData.Refrigerants_ChemicalBlends_Title()</f>
        <v>Blended refrigerants (many containing HFCS and/or PFCS)</v>
      </c>
      <c r="H49" s="246"/>
      <c r="I49" s="246"/>
      <c r="J49" s="246"/>
      <c r="K49" s="246"/>
      <c r="L49" s="246"/>
      <c r="M49" s="246"/>
      <c r="N49" s="246"/>
      <c r="O49" s="246"/>
      <c r="P49" s="246"/>
      <c r="Q49" s="246"/>
    </row>
    <row r="50" spans="1:17" ht="20.100000000000001" customHeight="1" x14ac:dyDescent="0.25">
      <c r="A50" s="5" t="str">
        <f>HYPERLINK("#'9.1.1.1-2 Refrigerant use'!A1", "9.1.1.1-2 Refrigerant use")</f>
        <v>9.1.1.1-2 Refrigerant use</v>
      </c>
      <c r="D50" s="17" t="str" cm="1">
        <f t="array" ref="D50">Refrigerants_SourceData.Refrigerants_ChemicalBlends_Source()</f>
        <v>Australian National Greenhouse Accounts Factors 2025 - Appendix 2 - Table 24</v>
      </c>
      <c r="E50" s="246"/>
      <c r="F50" s="246"/>
      <c r="G50" s="246"/>
      <c r="H50" s="246"/>
      <c r="I50" s="246"/>
      <c r="J50" s="246"/>
      <c r="K50" s="246"/>
      <c r="L50" s="246"/>
      <c r="M50" s="246"/>
      <c r="N50" s="246"/>
      <c r="O50" s="246"/>
      <c r="P50" s="246"/>
      <c r="Q50" s="246"/>
    </row>
    <row r="51" spans="1:17" ht="20.100000000000001" customHeight="1" x14ac:dyDescent="0.25">
      <c r="A51" s="5" t="str">
        <f>HYPERLINK("#'10.1.1-2 Solid waste treatment'!A1", "10.1.1.1-2 Solid waste")</f>
        <v>10.1.1.1-2 Solid waste</v>
      </c>
      <c r="D51" s="25" t="str" cm="1">
        <f t="array" ref="D51">"⚠️" &amp; Refrigerants_SourceData.Refrigerants_ChemicalBlends_Variation()</f>
        <v>⚠️VARIATION OF SOURCE DATA: Fixed typo - changed HC600a to HC-600a for blend R-414B. Fixed typo for blend R-405A - Changed HCFC142b to HCFC-142b.</v>
      </c>
      <c r="H51" s="246"/>
      <c r="I51" s="246"/>
      <c r="J51" s="246"/>
      <c r="K51" s="246"/>
      <c r="L51" s="246"/>
      <c r="M51" s="246"/>
      <c r="N51" s="246"/>
      <c r="O51" s="246"/>
      <c r="P51" s="246"/>
      <c r="Q51" s="246"/>
    </row>
    <row r="52" spans="1:17" ht="20.100000000000001" customHeight="1" x14ac:dyDescent="0.25">
      <c r="A52" s="5" t="str">
        <f>HYPERLINK("#'14.1.1-2 Purchased electricity'!A1", "14.1.1-2 Purchased electricity")</f>
        <v>14.1.1-2 Purchased electricity</v>
      </c>
      <c r="D52" s="249" t="s">
        <v>1043</v>
      </c>
      <c r="E52" s="249" t="s">
        <v>1044</v>
      </c>
      <c r="F52" s="249" t="s">
        <v>1045</v>
      </c>
      <c r="G52" s="246"/>
      <c r="H52" s="246"/>
      <c r="I52" s="246"/>
      <c r="J52" s="246"/>
      <c r="K52" s="246"/>
      <c r="L52" s="246"/>
      <c r="M52" s="246"/>
      <c r="N52" s="246"/>
      <c r="O52" s="246"/>
      <c r="P52" s="246"/>
      <c r="Q52" s="246"/>
    </row>
    <row r="53" spans="1:17" ht="20.100000000000001" customHeight="1" x14ac:dyDescent="0.25">
      <c r="A53" s="5" t="str">
        <f>HYPERLINK("#'15 Scope 3'!A1", "15 Scope 3")</f>
        <v>15 Scope 3</v>
      </c>
      <c r="D53" s="249" t="str" cm="1">
        <f t="array" ref="D53">Common_InputFunctions.Utility_DisplayArrayInTable(Refrigerants_SourceData.Refrigerants_ChemicalBlends_Data(), Table_RefrigerantBlends[[#Headers],[Blend]], 0)</f>
        <v>R-400</v>
      </c>
      <c r="E53" s="249" t="str" cm="1">
        <f t="array" ref="E53">Common_InputFunctions.Utility_DisplayArrayInTable(Refrigerants_SourceData.Refrigerants_ChemicalBlends_Data(), Table_RefrigerantBlends[[#Headers],[Blend]], 0)</f>
        <v>CFC-12/CFC-114</v>
      </c>
      <c r="F53" s="249" t="str" cm="1">
        <f t="array" ref="F53">Common_InputFunctions.Utility_DisplayArrayInTable(Refrigerants_SourceData.Refrigerants_ChemicalBlends_Data(), Table_RefrigerantBlends[[#Headers],[Blend]], 0)</f>
        <v>R-400 can have various proportions of CFC-12 and CFC-114. The exact composition needs to be specified, e.g., R-400 (60/40).</v>
      </c>
      <c r="G53" s="246"/>
      <c r="H53" s="246"/>
      <c r="I53" s="246"/>
      <c r="J53" s="246"/>
      <c r="K53" s="246"/>
      <c r="L53" s="246"/>
      <c r="M53" s="246"/>
      <c r="N53" s="246"/>
      <c r="O53" s="246"/>
      <c r="P53" s="246"/>
      <c r="Q53" s="246"/>
    </row>
    <row r="54" spans="1:17" ht="20.100000000000001" customHeight="1" x14ac:dyDescent="0.25">
      <c r="A54" s="5" t="str">
        <f>HYPERLINK("#'Calcs - Manure sent off-site'!A1", "Calcs - Manure sent off-site")</f>
        <v>Calcs - Manure sent off-site</v>
      </c>
      <c r="D54" s="249" t="str" cm="1">
        <f t="array" ref="D54">Common_InputFunctions.Utility_DisplayArrayInTable(Refrigerants_SourceData.Refrigerants_ChemicalBlends_Data(), Table_RefrigerantBlends[[#Headers],[Blend]], 0)</f>
        <v>R-401A</v>
      </c>
      <c r="E54" s="249" t="str" cm="1">
        <f t="array" ref="E54">Common_InputFunctions.Utility_DisplayArrayInTable(Refrigerants_SourceData.Refrigerants_ChemicalBlends_Data(), Table_RefrigerantBlends[[#Headers],[Blend]], 0)</f>
        <v>HCFC-22/HFC-152a/HCFC-124</v>
      </c>
      <c r="F54" s="249" t="str" cm="1">
        <f t="array" ref="F54">Common_InputFunctions.Utility_DisplayArrayInTable(Refrigerants_SourceData.Refrigerants_ChemicalBlends_Data(), Table_RefrigerantBlends[[#Headers],[Blend]], 0)</f>
        <v>(53.0/13.0/34.0)</v>
      </c>
      <c r="G54" s="246"/>
      <c r="H54" s="246"/>
      <c r="I54" s="246"/>
      <c r="J54" s="246"/>
      <c r="K54" s="246"/>
      <c r="L54" s="246"/>
      <c r="M54" s="246"/>
      <c r="N54" s="246"/>
      <c r="O54" s="246"/>
      <c r="P54" s="246"/>
      <c r="Q54" s="246"/>
    </row>
    <row r="55" spans="1:17" ht="20.100000000000001" customHeight="1" x14ac:dyDescent="0.25">
      <c r="D55" s="249" t="str" cm="1">
        <f t="array" ref="D55">Common_InputFunctions.Utility_DisplayArrayInTable(Refrigerants_SourceData.Refrigerants_ChemicalBlends_Data(), Table_RefrigerantBlends[[#Headers],[Blend]], 0)</f>
        <v>R-401B</v>
      </c>
      <c r="E55" s="249" t="str" cm="1">
        <f t="array" ref="E55">Common_InputFunctions.Utility_DisplayArrayInTable(Refrigerants_SourceData.Refrigerants_ChemicalBlends_Data(), Table_RefrigerantBlends[[#Headers],[Blend]], 0)</f>
        <v>HCFC-22/HFC-152a/HCFC-124</v>
      </c>
      <c r="F55" s="249" t="str" cm="1">
        <f t="array" ref="F55">Common_InputFunctions.Utility_DisplayArrayInTable(Refrigerants_SourceData.Refrigerants_ChemicalBlends_Data(), Table_RefrigerantBlends[[#Headers],[Blend]], 0)</f>
        <v>(61.0/11.0/28.0)</v>
      </c>
      <c r="G55" s="246"/>
      <c r="H55" s="246"/>
      <c r="I55" s="246"/>
      <c r="J55" s="246"/>
      <c r="K55" s="246"/>
      <c r="L55" s="246"/>
      <c r="M55" s="246"/>
      <c r="N55" s="246"/>
      <c r="O55" s="246"/>
      <c r="P55" s="246"/>
      <c r="Q55" s="246"/>
    </row>
    <row r="56" spans="1:17" ht="20.100000000000001" customHeight="1" x14ac:dyDescent="0.25">
      <c r="D56" s="249" t="str" cm="1">
        <f t="array" ref="D56">Common_InputFunctions.Utility_DisplayArrayInTable(Refrigerants_SourceData.Refrigerants_ChemicalBlends_Data(), Table_RefrigerantBlends[[#Headers],[Blend]], 0)</f>
        <v>R-401C</v>
      </c>
      <c r="E56" s="249" t="str" cm="1">
        <f t="array" ref="E56">Common_InputFunctions.Utility_DisplayArrayInTable(Refrigerants_SourceData.Refrigerants_ChemicalBlends_Data(), Table_RefrigerantBlends[[#Headers],[Blend]], 0)</f>
        <v>HCFC-22/HFC-152a/HCFC-124</v>
      </c>
      <c r="F56" s="249" t="str" cm="1">
        <f t="array" ref="F56">Common_InputFunctions.Utility_DisplayArrayInTable(Refrigerants_SourceData.Refrigerants_ChemicalBlends_Data(), Table_RefrigerantBlends[[#Headers],[Blend]], 0)</f>
        <v>(33.0/15.0/52.0)</v>
      </c>
      <c r="G56" s="246"/>
      <c r="H56" s="246"/>
      <c r="I56" s="246"/>
      <c r="J56" s="246"/>
      <c r="K56" s="246"/>
      <c r="L56" s="246"/>
      <c r="M56" s="246"/>
      <c r="N56" s="246"/>
      <c r="O56" s="246"/>
      <c r="P56" s="246"/>
      <c r="Q56" s="246"/>
    </row>
    <row r="57" spans="1:17" ht="20.100000000000001" customHeight="1" x14ac:dyDescent="0.25">
      <c r="A57" s="82" t="s">
        <v>1</v>
      </c>
      <c r="D57" s="249" t="str" cm="1">
        <f t="array" ref="D57">Common_InputFunctions.Utility_DisplayArrayInTable(Refrigerants_SourceData.Refrigerants_ChemicalBlends_Data(), Table_RefrigerantBlends[[#Headers],[Blend]], 0)</f>
        <v>R-402A</v>
      </c>
      <c r="E57" s="249" t="str" cm="1">
        <f t="array" ref="E57">Common_InputFunctions.Utility_DisplayArrayInTable(Refrigerants_SourceData.Refrigerants_ChemicalBlends_Data(), Table_RefrigerantBlends[[#Headers],[Blend]], 0)</f>
        <v>HFC-125/HC-290/HCFC-22</v>
      </c>
      <c r="F57" s="249" t="str" cm="1">
        <f t="array" ref="F57">Common_InputFunctions.Utility_DisplayArrayInTable(Refrigerants_SourceData.Refrigerants_ChemicalBlends_Data(), Table_RefrigerantBlends[[#Headers],[Blend]], 0)</f>
        <v>(60.0/2.0/38.0)</v>
      </c>
      <c r="G57" s="246"/>
      <c r="H57" s="246"/>
      <c r="I57" s="246"/>
      <c r="J57" s="246"/>
      <c r="K57" s="246"/>
      <c r="L57" s="246"/>
      <c r="M57" s="246"/>
      <c r="N57" s="246"/>
      <c r="O57" s="246"/>
      <c r="P57" s="246"/>
      <c r="Q57" s="246"/>
    </row>
    <row r="58" spans="1:17" ht="20.100000000000001" customHeight="1" x14ac:dyDescent="0.25">
      <c r="A58" s="5" t="str">
        <f>HYPERLINK("#'Constants - Dairy'!A1", "Constants - Dairy")</f>
        <v>Constants - Dairy</v>
      </c>
      <c r="D58" s="249" t="str" cm="1">
        <f t="array" ref="D58">Common_InputFunctions.Utility_DisplayArrayInTable(Refrigerants_SourceData.Refrigerants_ChemicalBlends_Data(), Table_RefrigerantBlends[[#Headers],[Blend]], 0)</f>
        <v>R-402B</v>
      </c>
      <c r="E58" s="249" t="str" cm="1">
        <f t="array" ref="E58">Common_InputFunctions.Utility_DisplayArrayInTable(Refrigerants_SourceData.Refrigerants_ChemicalBlends_Data(), Table_RefrigerantBlends[[#Headers],[Blend]], 0)</f>
        <v>HFC-125/HC-290/HCFC-22</v>
      </c>
      <c r="F58" s="249" t="str" cm="1">
        <f t="array" ref="F58">Common_InputFunctions.Utility_DisplayArrayInTable(Refrigerants_SourceData.Refrigerants_ChemicalBlends_Data(), Table_RefrigerantBlends[[#Headers],[Blend]], 0)</f>
        <v>(38.0/2.0/60.0)</v>
      </c>
      <c r="G58" s="246"/>
      <c r="H58" s="246"/>
      <c r="I58" s="246"/>
      <c r="J58" s="246"/>
      <c r="K58" s="246"/>
      <c r="L58" s="246"/>
      <c r="M58" s="246"/>
      <c r="N58" s="246"/>
      <c r="O58" s="246"/>
      <c r="P58" s="246"/>
      <c r="Q58" s="246"/>
    </row>
    <row r="59" spans="1:17" ht="20.100000000000001" customHeight="1" x14ac:dyDescent="0.25">
      <c r="A59" s="5" t="str">
        <f>HYPERLINK("#'Constants - Ag Residue'!A1", "Constants - Ag residue")</f>
        <v>Constants - Ag residue</v>
      </c>
      <c r="D59" s="249" t="str" cm="1">
        <f t="array" ref="D59">Common_InputFunctions.Utility_DisplayArrayInTable(Refrigerants_SourceData.Refrigerants_ChemicalBlends_Data(), Table_RefrigerantBlends[[#Headers],[Blend]], 0)</f>
        <v>R-403A</v>
      </c>
      <c r="E59" s="249" t="str" cm="1">
        <f t="array" ref="E59">Common_InputFunctions.Utility_DisplayArrayInTable(Refrigerants_SourceData.Refrigerants_ChemicalBlends_Data(), Table_RefrigerantBlends[[#Headers],[Blend]], 0)</f>
        <v>HC-290/HCFC-22/PFC-218</v>
      </c>
      <c r="F59" s="249" t="str" cm="1">
        <f t="array" ref="F59">Common_InputFunctions.Utility_DisplayArrayInTable(Refrigerants_SourceData.Refrigerants_ChemicalBlends_Data(), Table_RefrigerantBlends[[#Headers],[Blend]], 0)</f>
        <v>(5.0/75.0/20.0)</v>
      </c>
      <c r="G59" s="246"/>
      <c r="H59" s="246"/>
      <c r="I59" s="246"/>
      <c r="J59" s="246"/>
      <c r="K59" s="246"/>
      <c r="L59" s="246"/>
      <c r="M59" s="246"/>
      <c r="N59" s="246"/>
      <c r="O59" s="246"/>
      <c r="P59" s="246"/>
      <c r="Q59" s="246"/>
    </row>
    <row r="60" spans="1:17" ht="20.100000000000001" customHeight="1" x14ac:dyDescent="0.25">
      <c r="A60" s="5" t="str">
        <f>HYPERLINK("#'Constants - Common Livestock'!A1", "Constants - Common Livestock")</f>
        <v>Constants - Common Livestock</v>
      </c>
      <c r="D60" s="249" t="str" cm="1">
        <f t="array" ref="D60">Common_InputFunctions.Utility_DisplayArrayInTable(Refrigerants_SourceData.Refrigerants_ChemicalBlends_Data(), Table_RefrigerantBlends[[#Headers],[Blend]], 0)</f>
        <v>R-403B</v>
      </c>
      <c r="E60" s="249" t="str" cm="1">
        <f t="array" ref="E60">Common_InputFunctions.Utility_DisplayArrayInTable(Refrigerants_SourceData.Refrigerants_ChemicalBlends_Data(), Table_RefrigerantBlends[[#Headers],[Blend]], 0)</f>
        <v>HC-290/HCFC-22/PFC-218</v>
      </c>
      <c r="F60" s="249" t="str" cm="1">
        <f t="array" ref="F60">Common_InputFunctions.Utility_DisplayArrayInTable(Refrigerants_SourceData.Refrigerants_ChemicalBlends_Data(), Table_RefrigerantBlends[[#Headers],[Blend]], 0)</f>
        <v>(5.0/56.0/39.0)</v>
      </c>
      <c r="G60" s="246"/>
      <c r="H60" s="246"/>
      <c r="I60" s="246"/>
      <c r="J60" s="246"/>
      <c r="K60" s="246"/>
      <c r="L60" s="246"/>
      <c r="M60" s="246"/>
      <c r="N60" s="246"/>
      <c r="O60" s="246"/>
      <c r="P60" s="246"/>
      <c r="Q60" s="246"/>
    </row>
    <row r="61" spans="1:17" ht="20.100000000000001" customHeight="1" x14ac:dyDescent="0.25">
      <c r="A61" s="5" t="str">
        <f>HYPERLINK("#'Constants - Electricity'!A1", "Constants - Electricity")</f>
        <v>Constants - Electricity</v>
      </c>
      <c r="D61" s="249" t="str" cm="1">
        <f t="array" ref="D61">Common_InputFunctions.Utility_DisplayArrayInTable(Refrigerants_SourceData.Refrigerants_ChemicalBlends_Data(), Table_RefrigerantBlends[[#Headers],[Blend]], 0)</f>
        <v>R-404A</v>
      </c>
      <c r="E61" s="249" t="str" cm="1">
        <f t="array" ref="E61">Common_InputFunctions.Utility_DisplayArrayInTable(Refrigerants_SourceData.Refrigerants_ChemicalBlends_Data(), Table_RefrigerantBlends[[#Headers],[Blend]], 0)</f>
        <v>HFC-125/HFC-143a/HFC-134a</v>
      </c>
      <c r="F61" s="249" t="str" cm="1">
        <f t="array" ref="F61">Common_InputFunctions.Utility_DisplayArrayInTable(Refrigerants_SourceData.Refrigerants_ChemicalBlends_Data(), Table_RefrigerantBlends[[#Headers],[Blend]], 0)</f>
        <v>(44.0/52.0/4.0)</v>
      </c>
      <c r="G61" s="246"/>
      <c r="H61" s="246"/>
      <c r="I61" s="246"/>
      <c r="J61" s="246"/>
      <c r="K61" s="246"/>
      <c r="L61" s="246"/>
      <c r="M61" s="246"/>
      <c r="N61" s="246"/>
      <c r="O61" s="246"/>
      <c r="P61" s="246"/>
      <c r="Q61" s="246"/>
    </row>
    <row r="62" spans="1:17" ht="20.100000000000001" customHeight="1" x14ac:dyDescent="0.25">
      <c r="A62" s="5" t="str">
        <f>HYPERLINK("#'Constants - Fertiliser'!A1", "Constants - Fertiliser")</f>
        <v>Constants - Fertiliser</v>
      </c>
      <c r="D62" s="249" t="str" cm="1">
        <f t="array" ref="D62">Common_InputFunctions.Utility_DisplayArrayInTable(Refrigerants_SourceData.Refrigerants_ChemicalBlends_Data(), Table_RefrigerantBlends[[#Headers],[Blend]], 0)</f>
        <v>R-405A</v>
      </c>
      <c r="E62" s="249" t="str" cm="1">
        <f t="array" ref="E62">Common_InputFunctions.Utility_DisplayArrayInTable(Refrigerants_SourceData.Refrigerants_ChemicalBlends_Data(), Table_RefrigerantBlends[[#Headers],[Blend]], 0)</f>
        <v>HCFC-22/ HFC-152a/HCFC-142b/PFC-318</v>
      </c>
      <c r="F62" s="249" t="str" cm="1">
        <f t="array" ref="F62">Common_InputFunctions.Utility_DisplayArrayInTable(Refrigerants_SourceData.Refrigerants_ChemicalBlends_Data(), Table_RefrigerantBlends[[#Headers],[Blend]], 0)</f>
        <v>(45.0/7.0/5.5/42.5)</v>
      </c>
      <c r="G62" s="246"/>
      <c r="H62" s="246"/>
      <c r="I62" s="246"/>
      <c r="J62" s="246"/>
      <c r="K62" s="246"/>
      <c r="L62" s="246"/>
      <c r="M62" s="246"/>
      <c r="N62" s="246"/>
      <c r="O62" s="246"/>
      <c r="P62" s="246"/>
      <c r="Q62" s="246"/>
    </row>
    <row r="63" spans="1:17" ht="20.100000000000001" customHeight="1" x14ac:dyDescent="0.25">
      <c r="A63" s="5" t="str">
        <f>HYPERLINK("#'Constants - Fuel'!A1", "Constants - Fuel")</f>
        <v>Constants - Fuel</v>
      </c>
      <c r="D63" s="249" t="str" cm="1">
        <f t="array" ref="D63">Common_InputFunctions.Utility_DisplayArrayInTable(Refrigerants_SourceData.Refrigerants_ChemicalBlends_Data(), Table_RefrigerantBlends[[#Headers],[Blend]], 0)</f>
        <v>R-406A</v>
      </c>
      <c r="E63" s="249" t="str" cm="1">
        <f t="array" ref="E63">Common_InputFunctions.Utility_DisplayArrayInTable(Refrigerants_SourceData.Refrigerants_ChemicalBlends_Data(), Table_RefrigerantBlends[[#Headers],[Blend]], 0)</f>
        <v>HCFC-22/HC-600a/HCFC-142b</v>
      </c>
      <c r="F63" s="249" t="str" cm="1">
        <f t="array" ref="F63">Common_InputFunctions.Utility_DisplayArrayInTable(Refrigerants_SourceData.Refrigerants_ChemicalBlends_Data(), Table_RefrigerantBlends[[#Headers],[Blend]], 0)</f>
        <v>(55.0/14.0/41.0)</v>
      </c>
      <c r="G63" s="246"/>
      <c r="H63" s="246"/>
      <c r="I63" s="246"/>
      <c r="J63" s="246"/>
      <c r="K63" s="246"/>
      <c r="L63" s="246"/>
      <c r="M63" s="246"/>
      <c r="N63" s="246"/>
      <c r="O63" s="246"/>
      <c r="P63" s="246"/>
      <c r="Q63" s="246"/>
    </row>
    <row r="64" spans="1:17" ht="20.100000000000001" customHeight="1" x14ac:dyDescent="0.25">
      <c r="A64" s="5" t="str">
        <f>HYPERLINK("#'Constants - Scope 3'!A1", "Constants - Scope 3")</f>
        <v>Constants - Scope 3</v>
      </c>
      <c r="D64" s="249" t="str" cm="1">
        <f t="array" ref="D64">Common_InputFunctions.Utility_DisplayArrayInTable(Refrigerants_SourceData.Refrigerants_ChemicalBlends_Data(), Table_RefrigerantBlends[[#Headers],[Blend]], 0)</f>
        <v>R-407A</v>
      </c>
      <c r="E64" s="249" t="str" cm="1">
        <f t="array" ref="E64">Common_InputFunctions.Utility_DisplayArrayInTable(Refrigerants_SourceData.Refrigerants_ChemicalBlends_Data(), Table_RefrigerantBlends[[#Headers],[Blend]], 0)</f>
        <v>HFC-32/HFC-125/HFC-134a</v>
      </c>
      <c r="F64" s="249" t="str" cm="1">
        <f t="array" ref="F64">Common_InputFunctions.Utility_DisplayArrayInTable(Refrigerants_SourceData.Refrigerants_ChemicalBlends_Data(), Table_RefrigerantBlends[[#Headers],[Blend]], 0)</f>
        <v>(20.0/40.0/40.0)</v>
      </c>
      <c r="G64" s="246"/>
      <c r="H64" s="246"/>
      <c r="I64" s="246"/>
      <c r="J64" s="246"/>
      <c r="K64" s="246"/>
      <c r="L64" s="246"/>
      <c r="M64" s="246"/>
      <c r="N64" s="246"/>
      <c r="O64" s="246"/>
      <c r="P64" s="246"/>
      <c r="Q64" s="246"/>
    </row>
    <row r="65" spans="1:17" ht="20.100000000000001" customHeight="1" x14ac:dyDescent="0.25">
      <c r="A65" s="5" t="str">
        <f>HYPERLINK("#'Constants - Common'!A1", "Constants - Common")</f>
        <v>Constants - Common</v>
      </c>
      <c r="D65" s="249" t="str" cm="1">
        <f t="array" ref="D65">Common_InputFunctions.Utility_DisplayArrayInTable(Refrigerants_SourceData.Refrigerants_ChemicalBlends_Data(), Table_RefrigerantBlends[[#Headers],[Blend]], 0)</f>
        <v>R-407B</v>
      </c>
      <c r="E65" s="249" t="str" cm="1">
        <f t="array" ref="E65">Common_InputFunctions.Utility_DisplayArrayInTable(Refrigerants_SourceData.Refrigerants_ChemicalBlends_Data(), Table_RefrigerantBlends[[#Headers],[Blend]], 0)</f>
        <v>HFC-32/HFC-125/HFC-134a</v>
      </c>
      <c r="F65" s="249" t="str" cm="1">
        <f t="array" ref="F65">Common_InputFunctions.Utility_DisplayArrayInTable(Refrigerants_SourceData.Refrigerants_ChemicalBlends_Data(), Table_RefrigerantBlends[[#Headers],[Blend]], 0)</f>
        <v>(10.0/70.0/20.0)</v>
      </c>
      <c r="G65" s="246"/>
      <c r="H65" s="246"/>
      <c r="I65" s="246"/>
      <c r="J65" s="246"/>
      <c r="K65" s="246"/>
      <c r="L65" s="246"/>
      <c r="M65" s="246"/>
      <c r="N65" s="246"/>
      <c r="O65" s="246"/>
      <c r="P65" s="246"/>
      <c r="Q65" s="246"/>
    </row>
    <row r="66" spans="1:17" ht="20.100000000000001" customHeight="1" x14ac:dyDescent="0.25">
      <c r="A66" s="83" t="str">
        <f>HYPERLINK("#'Constants - Refrigerants'!A1", "Constants - Refrigerants")</f>
        <v>Constants - Refrigerants</v>
      </c>
      <c r="D66" s="249" t="str" cm="1">
        <f t="array" ref="D66">Common_InputFunctions.Utility_DisplayArrayInTable(Refrigerants_SourceData.Refrigerants_ChemicalBlends_Data(), Table_RefrigerantBlends[[#Headers],[Blend]], 0)</f>
        <v>R-407C</v>
      </c>
      <c r="E66" s="249" t="str" cm="1">
        <f t="array" ref="E66">Common_InputFunctions.Utility_DisplayArrayInTable(Refrigerants_SourceData.Refrigerants_ChemicalBlends_Data(), Table_RefrigerantBlends[[#Headers],[Blend]], 0)</f>
        <v>HFC-32/HFC-125/HFC-134a</v>
      </c>
      <c r="F66" s="249" t="str" cm="1">
        <f t="array" ref="F66">Common_InputFunctions.Utility_DisplayArrayInTable(Refrigerants_SourceData.Refrigerants_ChemicalBlends_Data(), Table_RefrigerantBlends[[#Headers],[Blend]], 0)</f>
        <v>(23.0/25.0/52.0)</v>
      </c>
      <c r="G66" s="246"/>
      <c r="H66" s="246"/>
      <c r="I66" s="246"/>
      <c r="J66" s="246"/>
      <c r="K66" s="246"/>
      <c r="L66" s="246"/>
      <c r="M66" s="246"/>
      <c r="N66" s="246"/>
      <c r="O66" s="246"/>
      <c r="P66" s="246"/>
      <c r="Q66" s="246"/>
    </row>
    <row r="67" spans="1:17" ht="20.100000000000001" customHeight="1" x14ac:dyDescent="0.25">
      <c r="A67" s="5" t="str">
        <f>HYPERLINK("#'Constants - Solid Waste'!A1", "Constants - Solid Waste")</f>
        <v>Constants - Solid Waste</v>
      </c>
      <c r="D67" s="249" t="str" cm="1">
        <f t="array" ref="D67">Common_InputFunctions.Utility_DisplayArrayInTable(Refrigerants_SourceData.Refrigerants_ChemicalBlends_Data(), Table_RefrigerantBlends[[#Headers],[Blend]], 0)</f>
        <v>R-407D</v>
      </c>
      <c r="E67" s="249" t="str" cm="1">
        <f t="array" ref="E67">Common_InputFunctions.Utility_DisplayArrayInTable(Refrigerants_SourceData.Refrigerants_ChemicalBlends_Data(), Table_RefrigerantBlends[[#Headers],[Blend]], 0)</f>
        <v>HFC-32/HFC-125/HFC-134a</v>
      </c>
      <c r="F67" s="249" t="str" cm="1">
        <f t="array" ref="F67">Common_InputFunctions.Utility_DisplayArrayInTable(Refrigerants_SourceData.Refrigerants_ChemicalBlends_Data(), Table_RefrigerantBlends[[#Headers],[Blend]], 0)</f>
        <v>(15.0/15.0/70.0)</v>
      </c>
      <c r="G67" s="246"/>
      <c r="H67" s="246"/>
      <c r="I67" s="246"/>
      <c r="J67" s="246"/>
      <c r="K67" s="246"/>
      <c r="L67" s="246"/>
      <c r="M67" s="246"/>
      <c r="N67" s="246"/>
      <c r="O67" s="246"/>
      <c r="P67" s="246"/>
      <c r="Q67" s="246"/>
    </row>
    <row r="68" spans="1:17" ht="20.100000000000001" customHeight="1" x14ac:dyDescent="0.25">
      <c r="A68" s="5" t="str">
        <f>HYPERLINK("#'Acknowledgements'!A1", "Acknowledgements")</f>
        <v>Acknowledgements</v>
      </c>
      <c r="D68" s="249" t="str" cm="1">
        <f t="array" ref="D68">Common_InputFunctions.Utility_DisplayArrayInTable(Refrigerants_SourceData.Refrigerants_ChemicalBlends_Data(), Table_RefrigerantBlends[[#Headers],[Blend]], 0)</f>
        <v>R-407E</v>
      </c>
      <c r="E68" s="249" t="str" cm="1">
        <f t="array" ref="E68">Common_InputFunctions.Utility_DisplayArrayInTable(Refrigerants_SourceData.Refrigerants_ChemicalBlends_Data(), Table_RefrigerantBlends[[#Headers],[Blend]], 0)</f>
        <v>HFC-32/HFC-125/HFC-134a</v>
      </c>
      <c r="F68" s="249" t="str" cm="1">
        <f t="array" ref="F68">Common_InputFunctions.Utility_DisplayArrayInTable(Refrigerants_SourceData.Refrigerants_ChemicalBlends_Data(), Table_RefrigerantBlends[[#Headers],[Blend]], 0)</f>
        <v>(25.0/15.0/60.0)</v>
      </c>
      <c r="G68" s="246"/>
      <c r="H68" s="246"/>
      <c r="I68" s="246"/>
      <c r="J68" s="246"/>
      <c r="K68" s="246"/>
      <c r="L68" s="246"/>
      <c r="M68" s="246"/>
      <c r="N68" s="246"/>
      <c r="O68" s="246"/>
      <c r="P68" s="246"/>
      <c r="Q68" s="246"/>
    </row>
    <row r="69" spans="1:17" ht="20.100000000000001" customHeight="1" x14ac:dyDescent="0.25">
      <c r="D69" s="249" t="str" cm="1">
        <f t="array" ref="D69">Common_InputFunctions.Utility_DisplayArrayInTable(Refrigerants_SourceData.Refrigerants_ChemicalBlends_Data(), Table_RefrigerantBlends[[#Headers],[Blend]], 0)</f>
        <v>R-408A</v>
      </c>
      <c r="E69" s="249" t="str" cm="1">
        <f t="array" ref="E69">Common_InputFunctions.Utility_DisplayArrayInTable(Refrigerants_SourceData.Refrigerants_ChemicalBlends_Data(), Table_RefrigerantBlends[[#Headers],[Blend]], 0)</f>
        <v>HFC-125/HFC-143a/HCFC-22</v>
      </c>
      <c r="F69" s="249" t="str" cm="1">
        <f t="array" ref="F69">Common_InputFunctions.Utility_DisplayArrayInTable(Refrigerants_SourceData.Refrigerants_ChemicalBlends_Data(), Table_RefrigerantBlends[[#Headers],[Blend]], 0)</f>
        <v>(7.0/46.0/47.0)</v>
      </c>
      <c r="G69" s="246"/>
      <c r="H69" s="246"/>
      <c r="I69" s="246"/>
      <c r="J69" s="246"/>
      <c r="K69" s="246"/>
      <c r="L69" s="246"/>
      <c r="M69" s="246"/>
      <c r="N69" s="246"/>
      <c r="O69" s="246"/>
      <c r="P69" s="246"/>
      <c r="Q69" s="246"/>
    </row>
    <row r="70" spans="1:17" ht="20.100000000000001" customHeight="1" x14ac:dyDescent="0.25">
      <c r="D70" s="249" t="str" cm="1">
        <f t="array" ref="D70">Common_InputFunctions.Utility_DisplayArrayInTable(Refrigerants_SourceData.Refrigerants_ChemicalBlends_Data(), Table_RefrigerantBlends[[#Headers],[Blend]], 0)</f>
        <v>R-409A</v>
      </c>
      <c r="E70" s="249" t="str" cm="1">
        <f t="array" ref="E70">Common_InputFunctions.Utility_DisplayArrayInTable(Refrigerants_SourceData.Refrigerants_ChemicalBlends_Data(), Table_RefrigerantBlends[[#Headers],[Blend]], 0)</f>
        <v>HCFC-22/HCFC-124/HCFC-142b</v>
      </c>
      <c r="F70" s="249" t="str" cm="1">
        <f t="array" ref="F70">Common_InputFunctions.Utility_DisplayArrayInTable(Refrigerants_SourceData.Refrigerants_ChemicalBlends_Data(), Table_RefrigerantBlends[[#Headers],[Blend]], 0)</f>
        <v>(60.0/25.0/15.0)</v>
      </c>
      <c r="G70" s="246"/>
      <c r="H70" s="246"/>
      <c r="I70" s="246"/>
      <c r="J70" s="246"/>
      <c r="K70" s="246"/>
      <c r="L70" s="246"/>
      <c r="M70" s="246"/>
      <c r="N70" s="246"/>
      <c r="O70" s="246"/>
      <c r="P70" s="246"/>
      <c r="Q70" s="246"/>
    </row>
    <row r="71" spans="1:17" ht="20.100000000000001" customHeight="1" x14ac:dyDescent="0.25">
      <c r="D71" s="249" t="str" cm="1">
        <f t="array" ref="D71">Common_InputFunctions.Utility_DisplayArrayInTable(Refrigerants_SourceData.Refrigerants_ChemicalBlends_Data(), Table_RefrigerantBlends[[#Headers],[Blend]], 0)</f>
        <v>R-409B</v>
      </c>
      <c r="E71" s="249" t="str" cm="1">
        <f t="array" ref="E71">Common_InputFunctions.Utility_DisplayArrayInTable(Refrigerants_SourceData.Refrigerants_ChemicalBlends_Data(), Table_RefrigerantBlends[[#Headers],[Blend]], 0)</f>
        <v>HCFC-22/HCFC-124/HCFC-142b</v>
      </c>
      <c r="F71" s="249" t="str" cm="1">
        <f t="array" ref="F71">Common_InputFunctions.Utility_DisplayArrayInTable(Refrigerants_SourceData.Refrigerants_ChemicalBlends_Data(), Table_RefrigerantBlends[[#Headers],[Blend]], 0)</f>
        <v>(65.0/25.0/10.0)</v>
      </c>
      <c r="G71" s="246"/>
      <c r="H71" s="246"/>
      <c r="I71" s="246"/>
      <c r="J71" s="246"/>
      <c r="K71" s="246"/>
      <c r="L71" s="246"/>
      <c r="M71" s="246"/>
      <c r="N71" s="246"/>
      <c r="O71" s="246"/>
      <c r="P71" s="246"/>
      <c r="Q71" s="246"/>
    </row>
    <row r="72" spans="1:17" ht="20.100000000000001" customHeight="1" x14ac:dyDescent="0.25">
      <c r="D72" s="249" t="str" cm="1">
        <f t="array" ref="D72">Common_InputFunctions.Utility_DisplayArrayInTable(Refrigerants_SourceData.Refrigerants_ChemicalBlends_Data(), Table_RefrigerantBlends[[#Headers],[Blend]], 0)</f>
        <v>R-410A</v>
      </c>
      <c r="E72" s="249" t="str" cm="1">
        <f t="array" ref="E72">Common_InputFunctions.Utility_DisplayArrayInTable(Refrigerants_SourceData.Refrigerants_ChemicalBlends_Data(), Table_RefrigerantBlends[[#Headers],[Blend]], 0)</f>
        <v>HFC-32/HFC-125</v>
      </c>
      <c r="F72" s="249" t="str" cm="1">
        <f t="array" ref="F72">Common_InputFunctions.Utility_DisplayArrayInTable(Refrigerants_SourceData.Refrigerants_ChemicalBlends_Data(), Table_RefrigerantBlends[[#Headers],[Blend]], 0)</f>
        <v>(50.0/50.0)</v>
      </c>
      <c r="G72" s="246"/>
      <c r="H72" s="246"/>
      <c r="I72" s="246"/>
      <c r="J72" s="246"/>
      <c r="K72" s="246"/>
      <c r="L72" s="246"/>
      <c r="M72" s="246"/>
      <c r="N72" s="246"/>
      <c r="O72" s="246"/>
      <c r="P72" s="246"/>
      <c r="Q72" s="246"/>
    </row>
    <row r="73" spans="1:17" ht="20.100000000000001" customHeight="1" x14ac:dyDescent="0.25">
      <c r="D73" s="249" t="str" cm="1">
        <f t="array" ref="D73">Common_InputFunctions.Utility_DisplayArrayInTable(Refrigerants_SourceData.Refrigerants_ChemicalBlends_Data(), Table_RefrigerantBlends[[#Headers],[Blend]], 0)</f>
        <v>R-410B</v>
      </c>
      <c r="E73" s="249" t="str" cm="1">
        <f t="array" ref="E73">Common_InputFunctions.Utility_DisplayArrayInTable(Refrigerants_SourceData.Refrigerants_ChemicalBlends_Data(), Table_RefrigerantBlends[[#Headers],[Blend]], 0)</f>
        <v>HFC-32/HFC-125</v>
      </c>
      <c r="F73" s="249" t="str" cm="1">
        <f t="array" ref="F73">Common_InputFunctions.Utility_DisplayArrayInTable(Refrigerants_SourceData.Refrigerants_ChemicalBlends_Data(), Table_RefrigerantBlends[[#Headers],[Blend]], 0)</f>
        <v>(45.0/55.0)</v>
      </c>
      <c r="G73" s="246"/>
      <c r="H73" s="246"/>
      <c r="I73" s="246"/>
      <c r="J73" s="246"/>
      <c r="K73" s="246"/>
      <c r="L73" s="246"/>
      <c r="M73" s="246"/>
      <c r="N73" s="246"/>
      <c r="O73" s="246"/>
      <c r="P73" s="246"/>
      <c r="Q73" s="246"/>
    </row>
    <row r="74" spans="1:17" ht="20.100000000000001" customHeight="1" x14ac:dyDescent="0.25">
      <c r="D74" s="249" t="str" cm="1">
        <f t="array" ref="D74">Common_InputFunctions.Utility_DisplayArrayInTable(Refrigerants_SourceData.Refrigerants_ChemicalBlends_Data(), Table_RefrigerantBlends[[#Headers],[Blend]], 0)</f>
        <v>R-411A</v>
      </c>
      <c r="E74" s="249" t="str" cm="1">
        <f t="array" ref="E74">Common_InputFunctions.Utility_DisplayArrayInTable(Refrigerants_SourceData.Refrigerants_ChemicalBlends_Data(), Table_RefrigerantBlends[[#Headers],[Blend]], 0)</f>
        <v>HC-1270/HCFC-22/HFC-152a</v>
      </c>
      <c r="F74" s="249" t="str" cm="1">
        <f t="array" ref="F74">Common_InputFunctions.Utility_DisplayArrayInTable(Refrigerants_SourceData.Refrigerants_ChemicalBlends_Data(), Table_RefrigerantBlends[[#Headers],[Blend]], 0)</f>
        <v>(1.5/87.5/11.0)</v>
      </c>
      <c r="G74" s="246"/>
      <c r="H74" s="246"/>
      <c r="I74" s="246"/>
      <c r="J74" s="246"/>
      <c r="K74" s="246"/>
      <c r="L74" s="246"/>
      <c r="M74" s="246"/>
      <c r="N74" s="246"/>
      <c r="O74" s="246"/>
      <c r="P74" s="246"/>
      <c r="Q74" s="246"/>
    </row>
    <row r="75" spans="1:17" ht="20.100000000000001" customHeight="1" x14ac:dyDescent="0.25">
      <c r="D75" s="249" t="str" cm="1">
        <f t="array" ref="D75">Common_InputFunctions.Utility_DisplayArrayInTable(Refrigerants_SourceData.Refrigerants_ChemicalBlends_Data(), Table_RefrigerantBlends[[#Headers],[Blend]], 0)</f>
        <v>R-411B</v>
      </c>
      <c r="E75" s="249" t="str" cm="1">
        <f t="array" ref="E75">Common_InputFunctions.Utility_DisplayArrayInTable(Refrigerants_SourceData.Refrigerants_ChemicalBlends_Data(), Table_RefrigerantBlends[[#Headers],[Blend]], 0)</f>
        <v>HC-1270/HCFC-22/HFC-152a</v>
      </c>
      <c r="F75" s="249" t="str" cm="1">
        <f t="array" ref="F75">Common_InputFunctions.Utility_DisplayArrayInTable(Refrigerants_SourceData.Refrigerants_ChemicalBlends_Data(), Table_RefrigerantBlends[[#Headers],[Blend]], 0)</f>
        <v>(3.0/94.0/3.0)</v>
      </c>
      <c r="G75" s="246"/>
      <c r="H75" s="246"/>
      <c r="I75" s="246"/>
      <c r="J75" s="246"/>
      <c r="K75" s="246"/>
      <c r="L75" s="246"/>
      <c r="M75" s="246"/>
      <c r="N75" s="246"/>
      <c r="O75" s="246"/>
      <c r="P75" s="246"/>
      <c r="Q75" s="246"/>
    </row>
    <row r="76" spans="1:17" ht="20.100000000000001" customHeight="1" x14ac:dyDescent="0.25">
      <c r="D76" s="249" t="str" cm="1">
        <f t="array" ref="D76">Common_InputFunctions.Utility_DisplayArrayInTable(Refrigerants_SourceData.Refrigerants_ChemicalBlends_Data(), Table_RefrigerantBlends[[#Headers],[Blend]], 0)</f>
        <v>R-411C</v>
      </c>
      <c r="E76" s="249" t="str" cm="1">
        <f t="array" ref="E76">Common_InputFunctions.Utility_DisplayArrayInTable(Refrigerants_SourceData.Refrigerants_ChemicalBlends_Data(), Table_RefrigerantBlends[[#Headers],[Blend]], 0)</f>
        <v>HC-1270/HCFC-22/HFC-152a</v>
      </c>
      <c r="F76" s="249" t="str" cm="1">
        <f t="array" ref="F76">Common_InputFunctions.Utility_DisplayArrayInTable(Refrigerants_SourceData.Refrigerants_ChemicalBlends_Data(), Table_RefrigerantBlends[[#Headers],[Blend]], 0)</f>
        <v>(3.0/95.5/1.5)</v>
      </c>
      <c r="G76" s="246"/>
      <c r="H76" s="246"/>
      <c r="I76" s="246"/>
      <c r="J76" s="246"/>
      <c r="K76" s="246"/>
      <c r="L76" s="246"/>
      <c r="M76" s="246"/>
      <c r="N76" s="246"/>
      <c r="O76" s="246"/>
      <c r="P76" s="246"/>
      <c r="Q76" s="246"/>
    </row>
    <row r="77" spans="1:17" ht="20.100000000000001" customHeight="1" x14ac:dyDescent="0.25">
      <c r="D77" s="249" t="str" cm="1">
        <f t="array" ref="D77">Common_InputFunctions.Utility_DisplayArrayInTable(Refrigerants_SourceData.Refrigerants_ChemicalBlends_Data(), Table_RefrigerantBlends[[#Headers],[Blend]], 0)</f>
        <v>R-412A</v>
      </c>
      <c r="E77" s="249" t="str" cm="1">
        <f t="array" ref="E77">Common_InputFunctions.Utility_DisplayArrayInTable(Refrigerants_SourceData.Refrigerants_ChemicalBlends_Data(), Table_RefrigerantBlends[[#Headers],[Blend]], 0)</f>
        <v>HCFC-22/PFC-218/HCFC-142b</v>
      </c>
      <c r="F77" s="249" t="str" cm="1">
        <f t="array" ref="F77">Common_InputFunctions.Utility_DisplayArrayInTable(Refrigerants_SourceData.Refrigerants_ChemicalBlends_Data(), Table_RefrigerantBlends[[#Headers],[Blend]], 0)</f>
        <v>(70.0/5.0/25.0)</v>
      </c>
      <c r="G77" s="246"/>
      <c r="H77" s="246"/>
      <c r="I77" s="246"/>
      <c r="J77" s="246"/>
      <c r="K77" s="246"/>
      <c r="L77" s="246"/>
      <c r="M77" s="246"/>
      <c r="N77" s="246"/>
      <c r="O77" s="246"/>
      <c r="P77" s="246"/>
      <c r="Q77" s="246"/>
    </row>
    <row r="78" spans="1:17" ht="20.100000000000001" customHeight="1" x14ac:dyDescent="0.25">
      <c r="D78" s="249" t="str" cm="1">
        <f t="array" ref="D78">Common_InputFunctions.Utility_DisplayArrayInTable(Refrigerants_SourceData.Refrigerants_ChemicalBlends_Data(), Table_RefrigerantBlends[[#Headers],[Blend]], 0)</f>
        <v>R-413A</v>
      </c>
      <c r="E78" s="249" t="str" cm="1">
        <f t="array" ref="E78">Common_InputFunctions.Utility_DisplayArrayInTable(Refrigerants_SourceData.Refrigerants_ChemicalBlends_Data(), Table_RefrigerantBlends[[#Headers],[Blend]], 0)</f>
        <v>PFC-218/HFC-134a/HC-600a</v>
      </c>
      <c r="F78" s="249" t="str" cm="1">
        <f t="array" ref="F78">Common_InputFunctions.Utility_DisplayArrayInTable(Refrigerants_SourceData.Refrigerants_ChemicalBlends_Data(), Table_RefrigerantBlends[[#Headers],[Blend]], 0)</f>
        <v>(9.0/88.0/3.0)</v>
      </c>
      <c r="G78" s="246"/>
      <c r="H78" s="246"/>
      <c r="I78" s="246"/>
      <c r="J78" s="246"/>
      <c r="K78" s="246"/>
      <c r="L78" s="246"/>
      <c r="M78" s="246"/>
      <c r="N78" s="246"/>
      <c r="O78" s="246"/>
      <c r="P78" s="246"/>
      <c r="Q78" s="246"/>
    </row>
    <row r="79" spans="1:17" ht="20.100000000000001" customHeight="1" x14ac:dyDescent="0.25">
      <c r="D79" s="249" t="str" cm="1">
        <f t="array" ref="D79">Common_InputFunctions.Utility_DisplayArrayInTable(Refrigerants_SourceData.Refrigerants_ChemicalBlends_Data(), Table_RefrigerantBlends[[#Headers],[Blend]], 0)</f>
        <v>R-414A</v>
      </c>
      <c r="E79" s="249" t="str" cm="1">
        <f t="array" ref="E79">Common_InputFunctions.Utility_DisplayArrayInTable(Refrigerants_SourceData.Refrigerants_ChemicalBlends_Data(), Table_RefrigerantBlends[[#Headers],[Blend]], 0)</f>
        <v>HCFC-22/HCFC-124/HC-600a/HCFC-142b</v>
      </c>
      <c r="F79" s="249" t="str" cm="1">
        <f t="array" ref="F79">Common_InputFunctions.Utility_DisplayArrayInTable(Refrigerants_SourceData.Refrigerants_ChemicalBlends_Data(), Table_RefrigerantBlends[[#Headers],[Blend]], 0)</f>
        <v>(51.0/28.5/4.0/16.5)</v>
      </c>
      <c r="G79" s="246"/>
      <c r="H79" s="246"/>
      <c r="I79" s="246"/>
      <c r="J79" s="246"/>
      <c r="K79" s="246"/>
      <c r="L79" s="246"/>
      <c r="M79" s="246"/>
      <c r="N79" s="246"/>
      <c r="O79" s="246"/>
      <c r="P79" s="246"/>
      <c r="Q79" s="246"/>
    </row>
    <row r="80" spans="1:17" ht="20.100000000000001" customHeight="1" x14ac:dyDescent="0.25">
      <c r="D80" s="249" t="str" cm="1">
        <f t="array" ref="D80">Common_InputFunctions.Utility_DisplayArrayInTable(Refrigerants_SourceData.Refrigerants_ChemicalBlends_Data(), Table_RefrigerantBlends[[#Headers],[Blend]], 0)</f>
        <v>R-414B</v>
      </c>
      <c r="E80" s="249" t="str" cm="1">
        <f t="array" ref="E80">Common_InputFunctions.Utility_DisplayArrayInTable(Refrigerants_SourceData.Refrigerants_ChemicalBlends_Data(), Table_RefrigerantBlends[[#Headers],[Blend]], 0)</f>
        <v>HCFC-22/HCFC-124/HC-600a/HCFC-142b</v>
      </c>
      <c r="F80" s="249" t="str" cm="1">
        <f t="array" ref="F80">Common_InputFunctions.Utility_DisplayArrayInTable(Refrigerants_SourceData.Refrigerants_ChemicalBlends_Data(), Table_RefrigerantBlends[[#Headers],[Blend]], 0)</f>
        <v>(50.0/39.0/1.5/9.5)</v>
      </c>
      <c r="G80" s="246"/>
      <c r="H80" s="246"/>
      <c r="I80" s="246"/>
      <c r="J80" s="246"/>
      <c r="K80" s="246"/>
      <c r="L80" s="246"/>
      <c r="M80" s="246"/>
      <c r="N80" s="246"/>
      <c r="O80" s="246"/>
      <c r="P80" s="246"/>
      <c r="Q80" s="246"/>
    </row>
    <row r="81" spans="4:17" ht="20.100000000000001" customHeight="1" x14ac:dyDescent="0.25">
      <c r="D81" s="249" t="str" cm="1">
        <f t="array" ref="D81">Common_InputFunctions.Utility_DisplayArrayInTable(Refrigerants_SourceData.Refrigerants_ChemicalBlends_Data(), Table_RefrigerantBlends[[#Headers],[Blend]], 0)</f>
        <v>R-415A</v>
      </c>
      <c r="E81" s="249" t="str" cm="1">
        <f t="array" ref="E81">Common_InputFunctions.Utility_DisplayArrayInTable(Refrigerants_SourceData.Refrigerants_ChemicalBlends_Data(), Table_RefrigerantBlends[[#Headers],[Blend]], 0)</f>
        <v>HCFC-22/HFC-152a</v>
      </c>
      <c r="F81" s="249" t="str" cm="1">
        <f t="array" ref="F81">Common_InputFunctions.Utility_DisplayArrayInTable(Refrigerants_SourceData.Refrigerants_ChemicalBlends_Data(), Table_RefrigerantBlends[[#Headers],[Blend]], 0)</f>
        <v>(82.0/18.0)</v>
      </c>
      <c r="G81" s="246"/>
      <c r="H81" s="246"/>
      <c r="I81" s="246"/>
      <c r="J81" s="246"/>
      <c r="K81" s="246"/>
      <c r="L81" s="246"/>
      <c r="M81" s="246"/>
      <c r="N81" s="246"/>
      <c r="O81" s="246"/>
      <c r="P81" s="246"/>
      <c r="Q81" s="246"/>
    </row>
    <row r="82" spans="4:17" ht="20.100000000000001" customHeight="1" x14ac:dyDescent="0.25">
      <c r="D82" s="249" t="str" cm="1">
        <f t="array" ref="D82">Common_InputFunctions.Utility_DisplayArrayInTable(Refrigerants_SourceData.Refrigerants_ChemicalBlends_Data(), Table_RefrigerantBlends[[#Headers],[Blend]], 0)</f>
        <v>R-415B</v>
      </c>
      <c r="E82" s="249" t="str" cm="1">
        <f t="array" ref="E82">Common_InputFunctions.Utility_DisplayArrayInTable(Refrigerants_SourceData.Refrigerants_ChemicalBlends_Data(), Table_RefrigerantBlends[[#Headers],[Blend]], 0)</f>
        <v>HCFC-22/HFC-152a</v>
      </c>
      <c r="F82" s="249" t="str" cm="1">
        <f t="array" ref="F82">Common_InputFunctions.Utility_DisplayArrayInTable(Refrigerants_SourceData.Refrigerants_ChemicalBlends_Data(), Table_RefrigerantBlends[[#Headers],[Blend]], 0)</f>
        <v>(25.0/75.0)</v>
      </c>
      <c r="G82" s="246"/>
      <c r="H82" s="246"/>
      <c r="I82" s="246"/>
      <c r="J82" s="246"/>
      <c r="K82" s="246"/>
      <c r="L82" s="246"/>
      <c r="M82" s="246"/>
      <c r="N82" s="246"/>
      <c r="O82" s="246"/>
      <c r="P82" s="246"/>
      <c r="Q82" s="246"/>
    </row>
    <row r="83" spans="4:17" ht="20.100000000000001" customHeight="1" x14ac:dyDescent="0.25">
      <c r="D83" s="249" t="str" cm="1">
        <f t="array" ref="D83">Common_InputFunctions.Utility_DisplayArrayInTable(Refrigerants_SourceData.Refrigerants_ChemicalBlends_Data(), Table_RefrigerantBlends[[#Headers],[Blend]], 0)</f>
        <v>R-416A</v>
      </c>
      <c r="E83" s="249" t="str" cm="1">
        <f t="array" ref="E83">Common_InputFunctions.Utility_DisplayArrayInTable(Refrigerants_SourceData.Refrigerants_ChemicalBlends_Data(), Table_RefrigerantBlends[[#Headers],[Blend]], 0)</f>
        <v>HFC-134a/HCFC-124/HC-600</v>
      </c>
      <c r="F83" s="249" t="str" cm="1">
        <f t="array" ref="F83">Common_InputFunctions.Utility_DisplayArrayInTable(Refrigerants_SourceData.Refrigerants_ChemicalBlends_Data(), Table_RefrigerantBlends[[#Headers],[Blend]], 0)</f>
        <v>(59.0/39.5/1.5)</v>
      </c>
      <c r="G83" s="246"/>
      <c r="H83" s="246"/>
      <c r="I83" s="246"/>
      <c r="J83" s="246"/>
      <c r="K83" s="246"/>
      <c r="L83" s="246"/>
      <c r="M83" s="246"/>
      <c r="N83" s="246"/>
      <c r="O83" s="246"/>
      <c r="P83" s="246"/>
      <c r="Q83" s="246"/>
    </row>
    <row r="84" spans="4:17" ht="20.100000000000001" customHeight="1" x14ac:dyDescent="0.25">
      <c r="D84" s="249" t="str" cm="1">
        <f t="array" ref="D84">Common_InputFunctions.Utility_DisplayArrayInTable(Refrigerants_SourceData.Refrigerants_ChemicalBlends_Data(), Table_RefrigerantBlends[[#Headers],[Blend]], 0)</f>
        <v>R-417A</v>
      </c>
      <c r="E84" s="249" t="str" cm="1">
        <f t="array" ref="E84">Common_InputFunctions.Utility_DisplayArrayInTable(Refrigerants_SourceData.Refrigerants_ChemicalBlends_Data(), Table_RefrigerantBlends[[#Headers],[Blend]], 0)</f>
        <v>HFC-125/HFC-134a/HC-600</v>
      </c>
      <c r="F84" s="249" t="str" cm="1">
        <f t="array" ref="F84">Common_InputFunctions.Utility_DisplayArrayInTable(Refrigerants_SourceData.Refrigerants_ChemicalBlends_Data(), Table_RefrigerantBlends[[#Headers],[Blend]], 0)</f>
        <v>(46.6/50.0/3.4)</v>
      </c>
      <c r="G84" s="246"/>
      <c r="H84" s="246"/>
      <c r="I84" s="246"/>
      <c r="J84" s="246"/>
      <c r="K84" s="246"/>
      <c r="L84" s="246"/>
      <c r="M84" s="246"/>
      <c r="N84" s="246"/>
      <c r="O84" s="246"/>
      <c r="P84" s="246"/>
      <c r="Q84" s="246"/>
    </row>
    <row r="85" spans="4:17" ht="20.100000000000001" customHeight="1" x14ac:dyDescent="0.25">
      <c r="D85" s="249" t="str" cm="1">
        <f t="array" ref="D85">Common_InputFunctions.Utility_DisplayArrayInTable(Refrigerants_SourceData.Refrigerants_ChemicalBlends_Data(), Table_RefrigerantBlends[[#Headers],[Blend]], 0)</f>
        <v>R-418A</v>
      </c>
      <c r="E85" s="249" t="str" cm="1">
        <f t="array" ref="E85">Common_InputFunctions.Utility_DisplayArrayInTable(Refrigerants_SourceData.Refrigerants_ChemicalBlends_Data(), Table_RefrigerantBlends[[#Headers],[Blend]], 0)</f>
        <v>HC-290/HCFC-22/HFC-152a</v>
      </c>
      <c r="F85" s="249" t="str" cm="1">
        <f t="array" ref="F85">Common_InputFunctions.Utility_DisplayArrayInTable(Refrigerants_SourceData.Refrigerants_ChemicalBlends_Data(), Table_RefrigerantBlends[[#Headers],[Blend]], 0)</f>
        <v>(1.5/96.0/2.5)</v>
      </c>
      <c r="G85" s="246"/>
      <c r="H85" s="246"/>
      <c r="I85" s="246"/>
      <c r="J85" s="246"/>
      <c r="K85" s="246"/>
      <c r="L85" s="246"/>
      <c r="M85" s="246"/>
      <c r="N85" s="246"/>
      <c r="O85" s="246"/>
      <c r="P85" s="246"/>
      <c r="Q85" s="246"/>
    </row>
    <row r="86" spans="4:17" ht="20.100000000000001" customHeight="1" x14ac:dyDescent="0.25">
      <c r="D86" s="249" t="str" cm="1">
        <f t="array" ref="D86">Common_InputFunctions.Utility_DisplayArrayInTable(Refrigerants_SourceData.Refrigerants_ChemicalBlends_Data(), Table_RefrigerantBlends[[#Headers],[Blend]], 0)</f>
        <v>R-419A</v>
      </c>
      <c r="E86" s="249" t="str" cm="1">
        <f t="array" ref="E86">Common_InputFunctions.Utility_DisplayArrayInTable(Refrigerants_SourceData.Refrigerants_ChemicalBlends_Data(), Table_RefrigerantBlends[[#Headers],[Blend]], 0)</f>
        <v>HFC-125/HFC-134a/HE-E170</v>
      </c>
      <c r="F86" s="249" t="str" cm="1">
        <f t="array" ref="F86">Common_InputFunctions.Utility_DisplayArrayInTable(Refrigerants_SourceData.Refrigerants_ChemicalBlends_Data(), Table_RefrigerantBlends[[#Headers],[Blend]], 0)</f>
        <v>(77.0/19.0/4.0)</v>
      </c>
      <c r="G86" s="246"/>
      <c r="H86" s="246"/>
      <c r="I86" s="246"/>
      <c r="J86" s="246"/>
      <c r="K86" s="246"/>
      <c r="L86" s="246"/>
      <c r="M86" s="246"/>
      <c r="N86" s="246"/>
      <c r="O86" s="246"/>
      <c r="P86" s="246"/>
      <c r="Q86" s="246"/>
    </row>
    <row r="87" spans="4:17" ht="20.100000000000001" customHeight="1" x14ac:dyDescent="0.25">
      <c r="D87" s="249" t="str" cm="1">
        <f t="array" ref="D87">Common_InputFunctions.Utility_DisplayArrayInTable(Refrigerants_SourceData.Refrigerants_ChemicalBlends_Data(), Table_RefrigerantBlends[[#Headers],[Blend]], 0)</f>
        <v>R-420A</v>
      </c>
      <c r="E87" s="249" t="str" cm="1">
        <f t="array" ref="E87">Common_InputFunctions.Utility_DisplayArrayInTable(Refrigerants_SourceData.Refrigerants_ChemicalBlends_Data(), Table_RefrigerantBlends[[#Headers],[Blend]], 0)</f>
        <v>HFC-134a/HCFC-142b</v>
      </c>
      <c r="F87" s="249" t="str" cm="1">
        <f t="array" ref="F87">Common_InputFunctions.Utility_DisplayArrayInTable(Refrigerants_SourceData.Refrigerants_ChemicalBlends_Data(), Table_RefrigerantBlends[[#Headers],[Blend]], 0)</f>
        <v>(88.0/12.0)</v>
      </c>
      <c r="G87" s="246"/>
      <c r="H87" s="246"/>
      <c r="I87" s="246"/>
      <c r="J87" s="246"/>
      <c r="K87" s="246"/>
      <c r="L87" s="246"/>
      <c r="M87" s="246"/>
      <c r="N87" s="246"/>
      <c r="O87" s="246"/>
      <c r="P87" s="246"/>
      <c r="Q87" s="246"/>
    </row>
    <row r="88" spans="4:17" ht="20.100000000000001" customHeight="1" x14ac:dyDescent="0.25">
      <c r="D88" s="249" t="str" cm="1">
        <f t="array" ref="D88">Common_InputFunctions.Utility_DisplayArrayInTable(Refrigerants_SourceData.Refrigerants_ChemicalBlends_Data(), Table_RefrigerantBlends[[#Headers],[Blend]], 0)</f>
        <v>R-421A</v>
      </c>
      <c r="E88" s="249" t="str" cm="1">
        <f t="array" ref="E88">Common_InputFunctions.Utility_DisplayArrayInTable(Refrigerants_SourceData.Refrigerants_ChemicalBlends_Data(), Table_RefrigerantBlends[[#Headers],[Blend]], 0)</f>
        <v>HFC-125/HFC-134a</v>
      </c>
      <c r="F88" s="249" t="str" cm="1">
        <f t="array" ref="F88">Common_InputFunctions.Utility_DisplayArrayInTable(Refrigerants_SourceData.Refrigerants_ChemicalBlends_Data(), Table_RefrigerantBlends[[#Headers],[Blend]], 0)</f>
        <v>(58.0/42.0)</v>
      </c>
      <c r="G88" s="246"/>
      <c r="H88" s="246"/>
      <c r="I88" s="246"/>
      <c r="J88" s="246"/>
      <c r="K88" s="246"/>
      <c r="L88" s="246"/>
      <c r="M88" s="246"/>
      <c r="N88" s="246"/>
      <c r="O88" s="246"/>
      <c r="P88" s="246"/>
      <c r="Q88" s="246"/>
    </row>
    <row r="89" spans="4:17" ht="20.100000000000001" customHeight="1" x14ac:dyDescent="0.25">
      <c r="D89" s="249" t="str" cm="1">
        <f t="array" ref="D89">Common_InputFunctions.Utility_DisplayArrayInTable(Refrigerants_SourceData.Refrigerants_ChemicalBlends_Data(), Table_RefrigerantBlends[[#Headers],[Blend]], 0)</f>
        <v>R-422A</v>
      </c>
      <c r="E89" s="249" t="str" cm="1">
        <f t="array" ref="E89">Common_InputFunctions.Utility_DisplayArrayInTable(Refrigerants_SourceData.Refrigerants_ChemicalBlends_Data(), Table_RefrigerantBlends[[#Headers],[Blend]], 0)</f>
        <v>HFC-125/HFC-134a/HC-600a</v>
      </c>
      <c r="F89" s="249" t="str" cm="1">
        <f t="array" ref="F89">Common_InputFunctions.Utility_DisplayArrayInTable(Refrigerants_SourceData.Refrigerants_ChemicalBlends_Data(), Table_RefrigerantBlends[[#Headers],[Blend]], 0)</f>
        <v>(85.1/11.5/3.4)</v>
      </c>
      <c r="G89" s="246"/>
      <c r="H89" s="246"/>
      <c r="I89" s="246"/>
      <c r="J89" s="246"/>
      <c r="K89" s="246"/>
      <c r="L89" s="246"/>
      <c r="M89" s="246"/>
      <c r="N89" s="246"/>
      <c r="O89" s="246"/>
      <c r="P89" s="246"/>
      <c r="Q89" s="246"/>
    </row>
    <row r="90" spans="4:17" ht="20.100000000000001" customHeight="1" x14ac:dyDescent="0.25">
      <c r="D90" s="249" t="str" cm="1">
        <f t="array" ref="D90">Common_InputFunctions.Utility_DisplayArrayInTable(Refrigerants_SourceData.Refrigerants_ChemicalBlends_Data(), Table_RefrigerantBlends[[#Headers],[Blend]], 0)</f>
        <v>R-422B</v>
      </c>
      <c r="E90" s="249" t="str" cm="1">
        <f t="array" ref="E90">Common_InputFunctions.Utility_DisplayArrayInTable(Refrigerants_SourceData.Refrigerants_ChemicalBlends_Data(), Table_RefrigerantBlends[[#Headers],[Blend]], 0)</f>
        <v>HFC-125/HFC-134a/HC-600a</v>
      </c>
      <c r="F90" s="249" t="str" cm="1">
        <f t="array" ref="F90">Common_InputFunctions.Utility_DisplayArrayInTable(Refrigerants_SourceData.Refrigerants_ChemicalBlends_Data(), Table_RefrigerantBlends[[#Headers],[Blend]], 0)</f>
        <v>(55.0/42.0/3.0)</v>
      </c>
      <c r="G90" s="246"/>
      <c r="H90" s="246"/>
      <c r="I90" s="246"/>
      <c r="J90" s="246"/>
      <c r="K90" s="246"/>
      <c r="L90" s="246"/>
      <c r="M90" s="246"/>
      <c r="N90" s="246"/>
      <c r="O90" s="246"/>
      <c r="P90" s="246"/>
      <c r="Q90" s="246"/>
    </row>
    <row r="91" spans="4:17" ht="20.100000000000001" customHeight="1" x14ac:dyDescent="0.25">
      <c r="D91" s="249" t="str" cm="1">
        <f t="array" ref="D91">Common_InputFunctions.Utility_DisplayArrayInTable(Refrigerants_SourceData.Refrigerants_ChemicalBlends_Data(), Table_RefrigerantBlends[[#Headers],[Blend]], 0)</f>
        <v>R-422C</v>
      </c>
      <c r="E91" s="249" t="str" cm="1">
        <f t="array" ref="E91">Common_InputFunctions.Utility_DisplayArrayInTable(Refrigerants_SourceData.Refrigerants_ChemicalBlends_Data(), Table_RefrigerantBlends[[#Headers],[Blend]], 0)</f>
        <v>HFC-125/HFC-134a/HC-600a</v>
      </c>
      <c r="F91" s="249" t="str" cm="1">
        <f t="array" ref="F91">Common_InputFunctions.Utility_DisplayArrayInTable(Refrigerants_SourceData.Refrigerants_ChemicalBlends_Data(), Table_RefrigerantBlends[[#Headers],[Blend]], 0)</f>
        <v>(82.0/15.0/3.0)</v>
      </c>
      <c r="G91" s="246"/>
      <c r="H91" s="246"/>
      <c r="I91" s="246"/>
      <c r="J91" s="246"/>
      <c r="K91" s="246"/>
      <c r="L91" s="246"/>
      <c r="M91" s="246"/>
      <c r="N91" s="246"/>
      <c r="O91" s="246"/>
      <c r="P91" s="246"/>
      <c r="Q91" s="246"/>
    </row>
    <row r="92" spans="4:17" ht="20.100000000000001" customHeight="1" x14ac:dyDescent="0.25">
      <c r="D92" s="249" t="str" cm="1">
        <f t="array" ref="D92">Common_InputFunctions.Utility_DisplayArrayInTable(Refrigerants_SourceData.Refrigerants_ChemicalBlends_Data(), Table_RefrigerantBlends[[#Headers],[Blend]], 0)</f>
        <v>R-500</v>
      </c>
      <c r="E92" s="249" t="str" cm="1">
        <f t="array" ref="E92">Common_InputFunctions.Utility_DisplayArrayInTable(Refrigerants_SourceData.Refrigerants_ChemicalBlends_Data(), Table_RefrigerantBlends[[#Headers],[Blend]], 0)</f>
        <v>CFC-12/HFC-152a</v>
      </c>
      <c r="F92" s="249" t="str" cm="1">
        <f t="array" ref="F92">Common_InputFunctions.Utility_DisplayArrayInTable(Refrigerants_SourceData.Refrigerants_ChemicalBlends_Data(), Table_RefrigerantBlends[[#Headers],[Blend]], 0)</f>
        <v>(73.8/26.2)</v>
      </c>
      <c r="G92" s="246"/>
      <c r="H92" s="246"/>
      <c r="I92" s="246"/>
      <c r="J92" s="246"/>
      <c r="K92" s="246"/>
      <c r="L92" s="246"/>
      <c r="M92" s="246"/>
      <c r="N92" s="246"/>
      <c r="O92" s="246"/>
      <c r="P92" s="246"/>
      <c r="Q92" s="246"/>
    </row>
    <row r="93" spans="4:17" ht="20.100000000000001" customHeight="1" x14ac:dyDescent="0.25">
      <c r="D93" s="249" t="str" cm="1">
        <f t="array" ref="D93">Common_InputFunctions.Utility_DisplayArrayInTable(Refrigerants_SourceData.Refrigerants_ChemicalBlends_Data(), Table_RefrigerantBlends[[#Headers],[Blend]], 0)</f>
        <v>R-501</v>
      </c>
      <c r="E93" s="249" t="str" cm="1">
        <f t="array" ref="E93">Common_InputFunctions.Utility_DisplayArrayInTable(Refrigerants_SourceData.Refrigerants_ChemicalBlends_Data(), Table_RefrigerantBlends[[#Headers],[Blend]], 0)</f>
        <v>HCFC-22/CFC-12</v>
      </c>
      <c r="F93" s="249" t="str" cm="1">
        <f t="array" ref="F93">Common_InputFunctions.Utility_DisplayArrayInTable(Refrigerants_SourceData.Refrigerants_ChemicalBlends_Data(), Table_RefrigerantBlends[[#Headers],[Blend]], 0)</f>
        <v>(75.0/25.0)</v>
      </c>
      <c r="G93" s="246"/>
      <c r="H93" s="246"/>
      <c r="I93" s="246"/>
      <c r="J93" s="246"/>
      <c r="K93" s="246"/>
      <c r="L93" s="246"/>
      <c r="M93" s="246"/>
      <c r="N93" s="246"/>
      <c r="O93" s="246"/>
      <c r="P93" s="246"/>
      <c r="Q93" s="246"/>
    </row>
    <row r="94" spans="4:17" ht="20.100000000000001" customHeight="1" x14ac:dyDescent="0.25">
      <c r="D94" s="249" t="str" cm="1">
        <f t="array" ref="D94">Common_InputFunctions.Utility_DisplayArrayInTable(Refrigerants_SourceData.Refrigerants_ChemicalBlends_Data(), Table_RefrigerantBlends[[#Headers],[Blend]], 0)</f>
        <v>R-502</v>
      </c>
      <c r="E94" s="249" t="str" cm="1">
        <f t="array" ref="E94">Common_InputFunctions.Utility_DisplayArrayInTable(Refrigerants_SourceData.Refrigerants_ChemicalBlends_Data(), Table_RefrigerantBlends[[#Headers],[Blend]], 0)</f>
        <v>HCFC-22/CFC-115</v>
      </c>
      <c r="F94" s="249" t="str" cm="1">
        <f t="array" ref="F94">Common_InputFunctions.Utility_DisplayArrayInTable(Refrigerants_SourceData.Refrigerants_ChemicalBlends_Data(), Table_RefrigerantBlends[[#Headers],[Blend]], 0)</f>
        <v>(48.8/51.2)</v>
      </c>
      <c r="G94" s="246"/>
      <c r="H94" s="246"/>
      <c r="I94" s="246"/>
      <c r="J94" s="246"/>
      <c r="K94" s="246"/>
      <c r="L94" s="246"/>
      <c r="M94" s="246"/>
      <c r="N94" s="246"/>
      <c r="O94" s="246"/>
      <c r="P94" s="246"/>
      <c r="Q94" s="246"/>
    </row>
    <row r="95" spans="4:17" ht="20.100000000000001" customHeight="1" x14ac:dyDescent="0.25">
      <c r="D95" s="249" t="str" cm="1">
        <f t="array" ref="D95">Common_InputFunctions.Utility_DisplayArrayInTable(Refrigerants_SourceData.Refrigerants_ChemicalBlends_Data(), Table_RefrigerantBlends[[#Headers],[Blend]], 0)</f>
        <v>R-503</v>
      </c>
      <c r="E95" s="249" t="str" cm="1">
        <f t="array" ref="E95">Common_InputFunctions.Utility_DisplayArrayInTable(Refrigerants_SourceData.Refrigerants_ChemicalBlends_Data(), Table_RefrigerantBlends[[#Headers],[Blend]], 0)</f>
        <v>HFC-23/CFC-13</v>
      </c>
      <c r="F95" s="249" t="str" cm="1">
        <f t="array" ref="F95">Common_InputFunctions.Utility_DisplayArrayInTable(Refrigerants_SourceData.Refrigerants_ChemicalBlends_Data(), Table_RefrigerantBlends[[#Headers],[Blend]], 0)</f>
        <v>(40.1/59.9)</v>
      </c>
      <c r="G95" s="246"/>
      <c r="H95" s="246"/>
      <c r="I95" s="246"/>
      <c r="J95" s="246"/>
      <c r="K95" s="246"/>
      <c r="L95" s="246"/>
      <c r="M95" s="246"/>
      <c r="N95" s="246"/>
      <c r="O95" s="246"/>
      <c r="P95" s="246"/>
      <c r="Q95" s="246"/>
    </row>
    <row r="96" spans="4:17" ht="20.100000000000001" customHeight="1" x14ac:dyDescent="0.25">
      <c r="D96" s="249" t="str" cm="1">
        <f t="array" ref="D96">Common_InputFunctions.Utility_DisplayArrayInTable(Refrigerants_SourceData.Refrigerants_ChemicalBlends_Data(), Table_RefrigerantBlends[[#Headers],[Blend]], 0)</f>
        <v>R-504</v>
      </c>
      <c r="E96" s="249" t="str" cm="1">
        <f t="array" ref="E96">Common_InputFunctions.Utility_DisplayArrayInTable(Refrigerants_SourceData.Refrigerants_ChemicalBlends_Data(), Table_RefrigerantBlends[[#Headers],[Blend]], 0)</f>
        <v>HFC-32/CFC-115</v>
      </c>
      <c r="F96" s="249" t="str" cm="1">
        <f t="array" ref="F96">Common_InputFunctions.Utility_DisplayArrayInTable(Refrigerants_SourceData.Refrigerants_ChemicalBlends_Data(), Table_RefrigerantBlends[[#Headers],[Blend]], 0)</f>
        <v>(48.2/51.8)</v>
      </c>
      <c r="G96" s="246"/>
      <c r="H96" s="246"/>
      <c r="I96" s="246"/>
      <c r="J96" s="246"/>
      <c r="K96" s="246"/>
      <c r="L96" s="246"/>
      <c r="M96" s="246"/>
      <c r="N96" s="246"/>
      <c r="O96" s="246"/>
      <c r="P96" s="246"/>
      <c r="Q96" s="246"/>
    </row>
    <row r="97" spans="4:17" ht="20.100000000000001" customHeight="1" x14ac:dyDescent="0.25">
      <c r="D97" s="249" t="str" cm="1">
        <f t="array" ref="D97">Common_InputFunctions.Utility_DisplayArrayInTable(Refrigerants_SourceData.Refrigerants_ChemicalBlends_Data(), Table_RefrigerantBlends[[#Headers],[Blend]], 0)</f>
        <v>R-505</v>
      </c>
      <c r="E97" s="249" t="str" cm="1">
        <f t="array" ref="E97">Common_InputFunctions.Utility_DisplayArrayInTable(Refrigerants_SourceData.Refrigerants_ChemicalBlends_Data(), Table_RefrigerantBlends[[#Headers],[Blend]], 0)</f>
        <v>CFC-12/HCFC-31</v>
      </c>
      <c r="F97" s="249" t="str" cm="1">
        <f t="array" ref="F97">Common_InputFunctions.Utility_DisplayArrayInTable(Refrigerants_SourceData.Refrigerants_ChemicalBlends_Data(), Table_RefrigerantBlends[[#Headers],[Blend]], 0)</f>
        <v>(78.0/22.0)</v>
      </c>
      <c r="G97" s="246"/>
      <c r="H97" s="246"/>
      <c r="I97" s="246"/>
      <c r="J97" s="246"/>
      <c r="K97" s="246"/>
      <c r="L97" s="246"/>
      <c r="M97" s="246"/>
      <c r="N97" s="246"/>
      <c r="O97" s="246"/>
      <c r="P97" s="246"/>
      <c r="Q97" s="246"/>
    </row>
    <row r="98" spans="4:17" ht="20.100000000000001" customHeight="1" x14ac:dyDescent="0.25">
      <c r="D98" s="249" t="str" cm="1">
        <f t="array" ref="D98">Common_InputFunctions.Utility_DisplayArrayInTable(Refrigerants_SourceData.Refrigerants_ChemicalBlends_Data(), Table_RefrigerantBlends[[#Headers],[Blend]], 0)</f>
        <v>R-506</v>
      </c>
      <c r="E98" s="249" t="str" cm="1">
        <f t="array" ref="E98">Common_InputFunctions.Utility_DisplayArrayInTable(Refrigerants_SourceData.Refrigerants_ChemicalBlends_Data(), Table_RefrigerantBlends[[#Headers],[Blend]], 0)</f>
        <v>CFC-31/CFC-114</v>
      </c>
      <c r="F98" s="249" t="str" cm="1">
        <f t="array" ref="F98">Common_InputFunctions.Utility_DisplayArrayInTable(Refrigerants_SourceData.Refrigerants_ChemicalBlends_Data(), Table_RefrigerantBlends[[#Headers],[Blend]], 0)</f>
        <v>(55.1/44.9)</v>
      </c>
      <c r="G98" s="246"/>
      <c r="H98" s="246"/>
      <c r="I98" s="246"/>
      <c r="J98" s="246"/>
      <c r="K98" s="246"/>
      <c r="L98" s="246"/>
      <c r="M98" s="246"/>
      <c r="N98" s="246"/>
      <c r="O98" s="246"/>
      <c r="P98" s="246"/>
      <c r="Q98" s="246"/>
    </row>
    <row r="99" spans="4:17" ht="20.100000000000001" customHeight="1" x14ac:dyDescent="0.25">
      <c r="D99" s="249" t="str" cm="1">
        <f t="array" ref="D99">Common_InputFunctions.Utility_DisplayArrayInTable(Refrigerants_SourceData.Refrigerants_ChemicalBlends_Data(), Table_RefrigerantBlends[[#Headers],[Blend]], 0)</f>
        <v>R-507A</v>
      </c>
      <c r="E99" s="249" t="str" cm="1">
        <f t="array" ref="E99">Common_InputFunctions.Utility_DisplayArrayInTable(Refrigerants_SourceData.Refrigerants_ChemicalBlends_Data(), Table_RefrigerantBlends[[#Headers],[Blend]], 0)</f>
        <v>HFC-125/HFC-143a</v>
      </c>
      <c r="F99" s="249" t="str" cm="1">
        <f t="array" ref="F99">Common_InputFunctions.Utility_DisplayArrayInTable(Refrigerants_SourceData.Refrigerants_ChemicalBlends_Data(), Table_RefrigerantBlends[[#Headers],[Blend]], 0)</f>
        <v>(50.0/50.0)</v>
      </c>
      <c r="G99" s="246"/>
      <c r="H99" s="246"/>
      <c r="I99" s="246"/>
      <c r="J99" s="246"/>
      <c r="K99" s="246"/>
      <c r="L99" s="246"/>
      <c r="M99" s="246"/>
      <c r="N99" s="246"/>
      <c r="O99" s="246"/>
      <c r="P99" s="246"/>
      <c r="Q99" s="246"/>
    </row>
    <row r="100" spans="4:17" ht="20.100000000000001" customHeight="1" x14ac:dyDescent="0.25">
      <c r="D100" s="249" t="str" cm="1">
        <f t="array" ref="D100">Common_InputFunctions.Utility_DisplayArrayInTable(Refrigerants_SourceData.Refrigerants_ChemicalBlends_Data(), Table_RefrigerantBlends[[#Headers],[Blend]], 0)</f>
        <v>R-508A</v>
      </c>
      <c r="E100" s="249" t="str" cm="1">
        <f t="array" ref="E100">Common_InputFunctions.Utility_DisplayArrayInTable(Refrigerants_SourceData.Refrigerants_ChemicalBlends_Data(), Table_RefrigerantBlends[[#Headers],[Blend]], 0)</f>
        <v>HFC-23/PFC-116</v>
      </c>
      <c r="F100" s="249" t="str" cm="1">
        <f t="array" ref="F100">Common_InputFunctions.Utility_DisplayArrayInTable(Refrigerants_SourceData.Refrigerants_ChemicalBlends_Data(), Table_RefrigerantBlends[[#Headers],[Blend]], 0)</f>
        <v>(39.0/61.0)</v>
      </c>
      <c r="G100" s="246"/>
      <c r="H100" s="246"/>
      <c r="I100" s="246"/>
      <c r="J100" s="246"/>
      <c r="K100" s="246"/>
      <c r="L100" s="246"/>
      <c r="M100" s="246"/>
      <c r="N100" s="246"/>
      <c r="O100" s="246"/>
      <c r="P100" s="246"/>
      <c r="Q100" s="246"/>
    </row>
    <row r="101" spans="4:17" ht="20.100000000000001" customHeight="1" x14ac:dyDescent="0.25">
      <c r="D101" s="249" t="str" cm="1">
        <f t="array" ref="D101">Common_InputFunctions.Utility_DisplayArrayInTable(Refrigerants_SourceData.Refrigerants_ChemicalBlends_Data(), Table_RefrigerantBlends[[#Headers],[Blend]], 0)</f>
        <v>R-508B</v>
      </c>
      <c r="E101" s="249" t="str" cm="1">
        <f t="array" ref="E101">Common_InputFunctions.Utility_DisplayArrayInTable(Refrigerants_SourceData.Refrigerants_ChemicalBlends_Data(), Table_RefrigerantBlends[[#Headers],[Blend]], 0)</f>
        <v>HFC-23/PFC-116</v>
      </c>
      <c r="F101" s="249" t="str" cm="1">
        <f t="array" ref="F101">Common_InputFunctions.Utility_DisplayArrayInTable(Refrigerants_SourceData.Refrigerants_ChemicalBlends_Data(), Table_RefrigerantBlends[[#Headers],[Blend]], 0)</f>
        <v>(46.0/54.0)</v>
      </c>
      <c r="G101" s="246"/>
      <c r="H101" s="246"/>
      <c r="I101" s="246"/>
      <c r="J101" s="246"/>
      <c r="K101" s="246"/>
      <c r="L101" s="246"/>
      <c r="M101" s="246"/>
      <c r="N101" s="246"/>
      <c r="O101" s="246"/>
      <c r="P101" s="246"/>
      <c r="Q101" s="246"/>
    </row>
    <row r="102" spans="4:17" ht="20.100000000000001" customHeight="1" x14ac:dyDescent="0.25">
      <c r="D102" s="249" t="str" cm="1">
        <f t="array" ref="D102">Common_InputFunctions.Utility_DisplayArrayInTable(Refrigerants_SourceData.Refrigerants_ChemicalBlends_Data(), Table_RefrigerantBlends[[#Headers],[Blend]], 0)</f>
        <v>R-509A</v>
      </c>
      <c r="E102" s="249" t="str" cm="1">
        <f t="array" ref="E102">Common_InputFunctions.Utility_DisplayArrayInTable(Refrigerants_SourceData.Refrigerants_ChemicalBlends_Data(), Table_RefrigerantBlends[[#Headers],[Blend]], 0)</f>
        <v>HCFC-22/PFC-218</v>
      </c>
      <c r="F102" s="249" t="str" cm="1">
        <f t="array" ref="F102">Common_InputFunctions.Utility_DisplayArrayInTable(Refrigerants_SourceData.Refrigerants_ChemicalBlends_Data(), Table_RefrigerantBlends[[#Headers],[Blend]], 0)</f>
        <v>(44.0/56.0)</v>
      </c>
      <c r="G102" s="246"/>
      <c r="H102" s="246"/>
      <c r="I102" s="246"/>
      <c r="J102" s="246"/>
      <c r="K102" s="246"/>
      <c r="L102" s="246"/>
      <c r="M102" s="246"/>
      <c r="N102" s="246"/>
      <c r="O102" s="246"/>
      <c r="P102" s="246"/>
      <c r="Q102" s="246"/>
    </row>
    <row r="103" spans="4:17" ht="20.100000000000001" customHeight="1" x14ac:dyDescent="0.25">
      <c r="D103" s="246"/>
      <c r="E103" s="246"/>
      <c r="F103" s="246"/>
      <c r="G103" s="246"/>
      <c r="H103" s="246"/>
      <c r="I103" s="246"/>
      <c r="J103" s="246"/>
      <c r="K103" s="246"/>
      <c r="L103" s="246"/>
      <c r="M103" s="246"/>
      <c r="N103" s="246"/>
      <c r="O103" s="246"/>
      <c r="P103" s="246"/>
      <c r="Q103" s="246"/>
    </row>
    <row r="104" spans="4:17" ht="20.100000000000001" customHeight="1" x14ac:dyDescent="0.25">
      <c r="D104" s="250"/>
      <c r="E104" s="250"/>
      <c r="F104" s="250"/>
      <c r="G104" s="250"/>
      <c r="H104" s="250"/>
      <c r="I104" s="250"/>
      <c r="J104" s="250"/>
      <c r="K104" s="250"/>
      <c r="L104" s="250"/>
      <c r="M104" s="250"/>
      <c r="N104" s="250"/>
      <c r="O104" s="250"/>
      <c r="P104" s="250"/>
      <c r="Q104" s="250"/>
    </row>
    <row r="105" spans="4:17" ht="20.100000000000001" customHeight="1" x14ac:dyDescent="0.25">
      <c r="D105" s="2" t="s">
        <v>1046</v>
      </c>
      <c r="E105" s="246"/>
      <c r="F105" s="246"/>
      <c r="G105" s="246"/>
      <c r="H105" s="246"/>
      <c r="I105" s="246"/>
      <c r="J105" s="246"/>
      <c r="K105" s="246"/>
      <c r="L105" s="246"/>
      <c r="M105" s="246"/>
      <c r="N105" s="246"/>
      <c r="O105" s="246"/>
      <c r="P105" s="246"/>
      <c r="Q105" s="246"/>
    </row>
    <row r="106" spans="4:17" ht="20.100000000000001" customHeight="1" x14ac:dyDescent="0.25">
      <c r="D106" s="35" t="str">
        <f>"  ℹ️  This table lists the refrigerant blends from the table '"&amp;D49&amp;"' and each constituent gas in separate cells. For each constituent gas, it GWP value is found from the '"&amp;D5&amp;"' table. Then the GWPs for each constituent gas are miltiplied by their blend fraction, and added together to make a GWP for the blend."</f>
        <v xml:space="preserve">  ℹ️  This table lists the refrigerant blends from the table 'Blended refrigerants (many containing HFCS and/or PFCS)' and each constituent gas in separate cells. For each constituent gas, it GWP value is found from the 'Global Warming Potentials' table. Then the GWPs for each constituent gas are miltiplied by their blend fraction, and added together to make a GWP for the blend.</v>
      </c>
      <c r="E106" s="38"/>
      <c r="F106" s="35"/>
      <c r="G106" s="37"/>
      <c r="H106" s="37"/>
      <c r="I106" s="37"/>
      <c r="J106" s="37"/>
      <c r="K106" s="37"/>
      <c r="L106" s="37"/>
      <c r="M106" s="37"/>
      <c r="N106" s="38"/>
      <c r="O106" s="246"/>
      <c r="P106" s="246"/>
      <c r="Q106" s="246"/>
    </row>
    <row r="107" spans="4:17" ht="20.100000000000001" customHeight="1" x14ac:dyDescent="0.25">
      <c r="D107" s="25" t="str">
        <f>"⚠️NOTE: Some constituent gases are not listed in the '" &amp; D5 &amp; "' table. This is because those gases are not reportable under AR5."</f>
        <v>⚠️NOTE: Some constituent gases are not listed in the 'Global Warming Potentials' table. This is because those gases are not reportable under AR5.</v>
      </c>
      <c r="E107" s="246"/>
      <c r="F107" s="246"/>
      <c r="G107" s="246"/>
      <c r="H107" s="246"/>
      <c r="I107" s="246"/>
      <c r="J107" s="246"/>
      <c r="K107" s="246"/>
      <c r="L107" s="246"/>
      <c r="M107" s="246"/>
      <c r="N107" s="246"/>
      <c r="O107" s="246"/>
      <c r="P107" s="246"/>
      <c r="Q107" s="246"/>
    </row>
    <row r="108" spans="4:17" ht="20.100000000000001" customHeight="1" x14ac:dyDescent="0.25">
      <c r="D108" s="25" t="str">
        <f>"⚠️NOTE: Because there are no specified blends of R-400 in the table '" &amp; D49 &amp; "' We have specified three blends: 'R-400 50/50', 'R-400 60/40' and 'R-400 80/20'"</f>
        <v>⚠️NOTE: Because there are no specified blends of R-400 in the table 'Blended refrigerants (many containing HFCS and/or PFCS)' We have specified three blends: 'R-400 50/50', 'R-400 60/40' and 'R-400 80/20'</v>
      </c>
      <c r="E108" s="246"/>
      <c r="F108" s="246"/>
      <c r="G108" s="246"/>
      <c r="H108" s="246"/>
      <c r="I108" s="246"/>
      <c r="J108" s="246"/>
      <c r="K108" s="246"/>
      <c r="L108" s="246"/>
      <c r="M108" s="246"/>
      <c r="N108" s="246"/>
      <c r="O108" s="246"/>
      <c r="P108" s="246"/>
      <c r="Q108" s="246"/>
    </row>
    <row r="109" spans="4:17" ht="20.100000000000001" customHeight="1" x14ac:dyDescent="0.25">
      <c r="D109" s="249" t="s">
        <v>1043</v>
      </c>
      <c r="E109" s="249" t="s">
        <v>1047</v>
      </c>
      <c r="F109" s="249" t="s">
        <v>1048</v>
      </c>
      <c r="G109" s="249" t="s">
        <v>1049</v>
      </c>
      <c r="H109" s="249" t="s">
        <v>1050</v>
      </c>
      <c r="I109" s="249" t="s">
        <v>1051</v>
      </c>
      <c r="J109" s="249" t="s">
        <v>1052</v>
      </c>
      <c r="K109" s="249" t="s">
        <v>1053</v>
      </c>
      <c r="L109" s="249" t="s">
        <v>1054</v>
      </c>
      <c r="M109" s="249" t="s">
        <v>1055</v>
      </c>
      <c r="N109" s="249" t="s">
        <v>1056</v>
      </c>
      <c r="O109" s="249" t="s">
        <v>1057</v>
      </c>
      <c r="P109" s="249" t="s">
        <v>1058</v>
      </c>
      <c r="Q109" s="249" t="s">
        <v>1059</v>
      </c>
    </row>
    <row r="110" spans="4:17" ht="20.100000000000001" customHeight="1" x14ac:dyDescent="0.25">
      <c r="D110" s="249" t="str">
        <f>$D$53 &amp; " 50/50"</f>
        <v>R-400 50/50</v>
      </c>
      <c r="E110" s="249" t="str" cm="1">
        <f t="array" ref="E110">IFERROR(INDEX(TRANSPOSE(Common_InputFunctions.Utility_SplitStringIntoArray($E$53, "/")), 1), "")</f>
        <v>CFC-12</v>
      </c>
      <c r="F110" s="249" t="str" cm="1">
        <f t="array" ref="F110">IFERROR(INDEX(TRANSPOSE(Common_InputFunctions.Utility_SplitStringIntoArray($E$53, "/")), 2), "")</f>
        <v>CFC-114</v>
      </c>
      <c r="G110" s="249" t="str" cm="1">
        <f t="array" ref="G110">IFERROR(INDEX(TRANSPOSE(Common_InputFunctions.Utility_SplitStringIntoArray($E$53, "/")), 3), "")</f>
        <v/>
      </c>
      <c r="H110" s="249" t="str" cm="1">
        <f t="array" ref="H110">IFERROR(INDEX(TRANSPOSE(Common_InputFunctions.Utility_SplitStringIntoArray($E$53, "/")), 4), "")</f>
        <v/>
      </c>
      <c r="I110" s="249">
        <v>0.5</v>
      </c>
      <c r="J110" s="249">
        <v>0.5</v>
      </c>
      <c r="K110" s="249"/>
      <c r="L110" s="249"/>
      <c r="M110" s="249" cm="1">
        <f t="array" ref="M110">IFERROR(Table_RefrigerantBlends_Cleaned[[#This Row],[Constituent 1 fraction]]*Common_InputFunctions.Utility_LookupValueInTableNumber(Table_RefrigerantBlends_Cleaned[[#This Row],[Constituent 1]], Table_RefrigerantChemicalGWP[Gas - FC name], Table_RefrigerantChemicalGWP[Global warming potential (AR5)]),"")</f>
        <v>5100</v>
      </c>
      <c r="N110" s="249" cm="1">
        <f t="array" ref="N110">IFERROR(Table_RefrigerantBlends_Cleaned[[#This Row],[Constituent 1 fraction]]*Common_InputFunctions.Utility_LookupValueInTableNumber(Table_RefrigerantBlends_Cleaned[[#This Row],[Constituent 2]], Table_RefrigerantChemicalGWP[Gas - FC name], Table_RefrigerantChemicalGWP[Global warming potential (AR5)]),"")</f>
        <v>4295</v>
      </c>
      <c r="O110" s="249" cm="1">
        <f t="array" ref="O110">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0" s="249" cm="1">
        <f t="array" ref="P110">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0" s="249" cm="1">
        <f t="array" ref="Q11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4697.5</v>
      </c>
    </row>
    <row r="111" spans="4:17" ht="20.100000000000001" customHeight="1" x14ac:dyDescent="0.25">
      <c r="D111" s="249" t="str">
        <f>$D$53 &amp; " 60/40"</f>
        <v>R-400 60/40</v>
      </c>
      <c r="E111" s="249" t="str" cm="1">
        <f t="array" ref="E111">IFERROR(INDEX(TRANSPOSE(Common_InputFunctions.Utility_SplitStringIntoArray($E$53, "/")), 1), "")</f>
        <v>CFC-12</v>
      </c>
      <c r="F111" s="249" t="str" cm="1">
        <f t="array" ref="F111">IFERROR(INDEX(TRANSPOSE(Common_InputFunctions.Utility_SplitStringIntoArray($E$53, "/")), 2), "")</f>
        <v>CFC-114</v>
      </c>
      <c r="G111" s="249" t="str" cm="1">
        <f t="array" ref="G111">IFERROR(INDEX(TRANSPOSE(Common_InputFunctions.Utility_SplitStringIntoArray($E$53, "/")), 3), "")</f>
        <v/>
      </c>
      <c r="H111" s="249" t="str" cm="1">
        <f t="array" ref="H111">IFERROR(INDEX(TRANSPOSE(Common_InputFunctions.Utility_SplitStringIntoArray($E$53, "/")), 4), "")</f>
        <v/>
      </c>
      <c r="I111" s="249">
        <v>0.6</v>
      </c>
      <c r="J111" s="249">
        <v>0.4</v>
      </c>
      <c r="K111" s="249"/>
      <c r="L111" s="249"/>
      <c r="M111" s="249" cm="1">
        <f t="array" ref="M111">IFERROR(Table_RefrigerantBlends_Cleaned[[#This Row],[Constituent 1 fraction]]*Common_InputFunctions.Utility_LookupValueInTableNumber(Table_RefrigerantBlends_Cleaned[[#This Row],[Constituent 1]], Table_RefrigerantChemicalGWP[Gas - FC name], Table_RefrigerantChemicalGWP[Global warming potential (AR5)]),"")</f>
        <v>6120</v>
      </c>
      <c r="N111" s="249" cm="1">
        <f t="array" ref="N111">IFERROR(Table_RefrigerantBlends_Cleaned[[#This Row],[Constituent 1 fraction]]*Common_InputFunctions.Utility_LookupValueInTableNumber(Table_RefrigerantBlends_Cleaned[[#This Row],[Constituent 2]], Table_RefrigerantChemicalGWP[Gas - FC name], Table_RefrigerantChemicalGWP[Global warming potential (AR5)]),"")</f>
        <v>5154</v>
      </c>
      <c r="O111" s="249" cm="1">
        <f t="array" ref="O111">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1" s="249" cm="1">
        <f t="array" ref="P111">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1" s="249" cm="1">
        <f t="array" ref="Q11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5733.6</v>
      </c>
    </row>
    <row r="112" spans="4:17" ht="20.100000000000001" customHeight="1" x14ac:dyDescent="0.25">
      <c r="D112" s="249" t="str">
        <f>$D$53 &amp; " 80/20"</f>
        <v>R-400 80/20</v>
      </c>
      <c r="E112" s="249" t="str" cm="1">
        <f t="array" ref="E112">IFERROR(INDEX(TRANSPOSE(Common_InputFunctions.Utility_SplitStringIntoArray($E$53, "/")), 1), "")</f>
        <v>CFC-12</v>
      </c>
      <c r="F112" s="249" t="str" cm="1">
        <f t="array" ref="F112">IFERROR(INDEX(TRANSPOSE(Common_InputFunctions.Utility_SplitStringIntoArray($E$53, "/")), 2), "")</f>
        <v>CFC-114</v>
      </c>
      <c r="G112" s="249" t="str" cm="1">
        <f t="array" ref="G112">IFERROR(INDEX(TRANSPOSE(Common_InputFunctions.Utility_SplitStringIntoArray($E$53, "/")), 3), "")</f>
        <v/>
      </c>
      <c r="H112" s="249" t="str" cm="1">
        <f t="array" ref="H112">IFERROR(INDEX(TRANSPOSE(Common_InputFunctions.Utility_SplitStringIntoArray($E$53, "/")), 4), "")</f>
        <v/>
      </c>
      <c r="I112" s="249">
        <v>0.8</v>
      </c>
      <c r="J112" s="249">
        <v>0.2</v>
      </c>
      <c r="K112" s="249"/>
      <c r="L112" s="249"/>
      <c r="M112" s="249" cm="1">
        <f t="array" ref="M112">IFERROR(Table_RefrigerantBlends_Cleaned[[#This Row],[Constituent 1 fraction]]*Common_InputFunctions.Utility_LookupValueInTableNumber(Table_RefrigerantBlends_Cleaned[[#This Row],[Constituent 1]], Table_RefrigerantChemicalGWP[Gas - FC name], Table_RefrigerantChemicalGWP[Global warming potential (AR5)]),"")</f>
        <v>8160</v>
      </c>
      <c r="N112" s="249" cm="1">
        <f t="array" ref="N112">IFERROR(Table_RefrigerantBlends_Cleaned[[#This Row],[Constituent 1 fraction]]*Common_InputFunctions.Utility_LookupValueInTableNumber(Table_RefrigerantBlends_Cleaned[[#This Row],[Constituent 2]], Table_RefrigerantChemicalGWP[Gas - FC name], Table_RefrigerantChemicalGWP[Global warming potential (AR5)]),"")</f>
        <v>6872</v>
      </c>
      <c r="O112" s="249" cm="1">
        <f t="array" ref="O112">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2" s="249" cm="1">
        <f t="array" ref="P112">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2" s="249" cm="1">
        <f t="array" ref="Q11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7902.4</v>
      </c>
    </row>
    <row r="113" spans="4:17" ht="20.100000000000001" customHeight="1" x14ac:dyDescent="0.25">
      <c r="D113" s="249" t="str">
        <f t="shared" ref="D113:D161" si="0">D54</f>
        <v>R-401A</v>
      </c>
      <c r="E113" s="249" t="str" cm="1">
        <f t="array" ref="E113">IFERROR(INDEX(TRANSPOSE(Common_InputFunctions.Utility_SplitStringIntoArray($E54, "/")), 1), "")</f>
        <v>HCFC-22</v>
      </c>
      <c r="F113" s="249" t="str" cm="1">
        <f t="array" ref="F113">IFERROR(INDEX(TRANSPOSE(Common_InputFunctions.Utility_SplitStringIntoArray($E54, "/")), 2), "")</f>
        <v>HFC-152a</v>
      </c>
      <c r="G113" s="249" t="str" cm="1">
        <f t="array" ref="G113">IFERROR(INDEX(TRANSPOSE(Common_InputFunctions.Utility_SplitStringIntoArray($E54, "/")), 3), "")</f>
        <v>HCFC-124</v>
      </c>
      <c r="H113" s="249" t="str" cm="1">
        <f t="array" ref="H113">IFERROR(INDEX(TRANSPOSE(Common_InputFunctions.Utility_SplitStringIntoArray($E54, "/")), 4), "")</f>
        <v/>
      </c>
      <c r="I113" s="249" cm="1">
        <f t="array" ref="I113">IFERROR(INDEX(TRANSPOSE(Common_InputFunctions.Utility_SplitStringIntoArray($F54, "/", "(", ")")), 1)*0.01, 0)</f>
        <v>0.53</v>
      </c>
      <c r="J113" s="249" cm="1">
        <f t="array" ref="J113">IFERROR(INDEX(TRANSPOSE(Common_InputFunctions.Utility_SplitStringIntoArray($F54, "/", "(", ")")), 2)*0.01, 0)</f>
        <v>0.13</v>
      </c>
      <c r="K113" s="249" cm="1">
        <f t="array" ref="K113">IFERROR(INDEX(TRANSPOSE(Common_InputFunctions.Utility_SplitStringIntoArray($F54, "/", "(", ")")), 3)*0.01, 0)</f>
        <v>0.34</v>
      </c>
      <c r="L113" s="249" cm="1">
        <f t="array" ref="L113">IFERROR(INDEX(TRANSPOSE(Common_InputFunctions.Utility_SplitStringIntoArray($F54, "/", "(", ")")), 4)*0.01, 0)</f>
        <v>0</v>
      </c>
      <c r="M113" s="249" cm="1">
        <f t="array" ref="M113">IFERROR(Table_RefrigerantBlends_Cleaned[[#This Row],[Constituent 1 fraction]]*Common_InputFunctions.Utility_LookupValueInTableNumber(Table_RefrigerantBlends_Cleaned[[#This Row],[Constituent 1]], Table_RefrigerantChemicalGWP[Gas - FC name], Table_RefrigerantChemicalGWP[Global warming potential (AR5)]),"")</f>
        <v>932.80000000000007</v>
      </c>
      <c r="N113" s="249" cm="1">
        <f t="array" ref="N113">IFERROR(Table_RefrigerantBlends_Cleaned[[#This Row],[Constituent 2 fraction]]*Common_InputFunctions.Utility_LookupValueInTableNumber(Table_RefrigerantBlends_Cleaned[[#This Row],[Constituent 2]], Table_RefrigerantChemicalGWP[Gas - FC name], Table_RefrigerantChemicalGWP[Global warming potential (AR5)]), "")</f>
        <v>17.940000000000001</v>
      </c>
      <c r="O113" s="249" cm="1">
        <f t="array" ref="O113">IFERROR(Table_RefrigerantBlends_Cleaned[[#This Row],[Constituent 3 fraction]]*Common_InputFunctions.Utility_LookupValueInTableNumber(Table_RefrigerantBlends_Cleaned[[#This Row],[Constituent 3]], Table_RefrigerantChemicalGWP[Gas - FC name], Table_RefrigerantChemicalGWP[Global warming potential (AR5)]), "")</f>
        <v>179.18</v>
      </c>
      <c r="P113" s="249" cm="1">
        <f t="array" ref="P11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3" s="249" cm="1">
        <f t="array" ref="Q11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557.63740000000007</v>
      </c>
    </row>
    <row r="114" spans="4:17" ht="20.100000000000001" customHeight="1" x14ac:dyDescent="0.25">
      <c r="D114" s="249" t="str">
        <f t="shared" si="0"/>
        <v>R-401B</v>
      </c>
      <c r="E114" s="249" t="str" cm="1">
        <f t="array" ref="E114">IFERROR(INDEX(TRANSPOSE(Common_InputFunctions.Utility_SplitStringIntoArray($E55, "/")), 1), "")</f>
        <v>HCFC-22</v>
      </c>
      <c r="F114" s="249" t="str" cm="1">
        <f t="array" ref="F114">IFERROR(INDEX(TRANSPOSE(Common_InputFunctions.Utility_SplitStringIntoArray($E55, "/")), 2), "")</f>
        <v>HFC-152a</v>
      </c>
      <c r="G114" s="249" t="str" cm="1">
        <f t="array" ref="G114">IFERROR(INDEX(TRANSPOSE(Common_InputFunctions.Utility_SplitStringIntoArray($E55, "/")), 3), "")</f>
        <v>HCFC-124</v>
      </c>
      <c r="H114" s="249" t="str" cm="1">
        <f t="array" ref="H114">IFERROR(INDEX(TRANSPOSE(Common_InputFunctions.Utility_SplitStringIntoArray($E55, "/")), 4), "")</f>
        <v/>
      </c>
      <c r="I114" s="249" cm="1">
        <f t="array" ref="I114">IFERROR(INDEX(TRANSPOSE(Common_InputFunctions.Utility_SplitStringIntoArray($F55, "/", "(", ")")), 1)*0.01, 0)</f>
        <v>0.61</v>
      </c>
      <c r="J114" s="249" cm="1">
        <f t="array" ref="J114">IFERROR(INDEX(TRANSPOSE(Common_InputFunctions.Utility_SplitStringIntoArray($F55, "/", "(", ")")), 2)*0.01, 0)</f>
        <v>0.11</v>
      </c>
      <c r="K114" s="249" cm="1">
        <f t="array" ref="K114">IFERROR(INDEX(TRANSPOSE(Common_InputFunctions.Utility_SplitStringIntoArray($F55, "/", "(", ")")), 3)*0.01, 0)</f>
        <v>0.28000000000000003</v>
      </c>
      <c r="L114" s="249" cm="1">
        <f t="array" ref="L114">IFERROR(INDEX(TRANSPOSE(Common_InputFunctions.Utility_SplitStringIntoArray($F55, "/", "(", ")")), 4)*0.01, 0)</f>
        <v>0</v>
      </c>
      <c r="M114" s="249" cm="1">
        <f t="array" ref="M114">IFERROR(Table_RefrigerantBlends_Cleaned[[#This Row],[Constituent 1 fraction]]*Common_InputFunctions.Utility_LookupValueInTableNumber(Table_RefrigerantBlends_Cleaned[[#This Row],[Constituent 1]], Table_RefrigerantChemicalGWP[Gas - FC name], Table_RefrigerantChemicalGWP[Global warming potential (AR5)]),"")</f>
        <v>1073.5999999999999</v>
      </c>
      <c r="N114" s="249" cm="1">
        <f t="array" ref="N114">IFERROR(Table_RefrigerantBlends_Cleaned[[#This Row],[Constituent 2 fraction]]*Common_InputFunctions.Utility_LookupValueInTableNumber(Table_RefrigerantBlends_Cleaned[[#This Row],[Constituent 2]], Table_RefrigerantChemicalGWP[Gas - FC name], Table_RefrigerantChemicalGWP[Global warming potential (AR5)]), "")</f>
        <v>15.18</v>
      </c>
      <c r="O114" s="249" cm="1">
        <f t="array" ref="O114">IFERROR(Table_RefrigerantBlends_Cleaned[[#This Row],[Constituent 3 fraction]]*Common_InputFunctions.Utility_LookupValueInTableNumber(Table_RefrigerantBlends_Cleaned[[#This Row],[Constituent 3]], Table_RefrigerantChemicalGWP[Gas - FC name], Table_RefrigerantChemicalGWP[Global warming potential (AR5)]), "")</f>
        <v>147.56</v>
      </c>
      <c r="P114" s="249" cm="1">
        <f t="array" ref="P11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4" s="249" cm="1">
        <f t="array" ref="Q11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697.88260000000002</v>
      </c>
    </row>
    <row r="115" spans="4:17" ht="20.100000000000001" customHeight="1" x14ac:dyDescent="0.25">
      <c r="D115" s="249" t="str">
        <f t="shared" si="0"/>
        <v>R-401C</v>
      </c>
      <c r="E115" s="249" t="str" cm="1">
        <f t="array" ref="E115">IFERROR(INDEX(TRANSPOSE(Common_InputFunctions.Utility_SplitStringIntoArray($E56, "/")), 1), "")</f>
        <v>HCFC-22</v>
      </c>
      <c r="F115" s="249" t="str" cm="1">
        <f t="array" ref="F115">IFERROR(INDEX(TRANSPOSE(Common_InputFunctions.Utility_SplitStringIntoArray($E56, "/")), 2), "")</f>
        <v>HFC-152a</v>
      </c>
      <c r="G115" s="249" t="str" cm="1">
        <f t="array" ref="G115">IFERROR(INDEX(TRANSPOSE(Common_InputFunctions.Utility_SplitStringIntoArray($E56, "/")), 3), "")</f>
        <v>HCFC-124</v>
      </c>
      <c r="H115" s="249" t="str" cm="1">
        <f t="array" ref="H115">IFERROR(INDEX(TRANSPOSE(Common_InputFunctions.Utility_SplitStringIntoArray($E56, "/")), 4), "")</f>
        <v/>
      </c>
      <c r="I115" s="249" cm="1">
        <f t="array" ref="I115">IFERROR(INDEX(TRANSPOSE(Common_InputFunctions.Utility_SplitStringIntoArray($F56, "/", "(", ")")), 1)*0.01, 0)</f>
        <v>0.33</v>
      </c>
      <c r="J115" s="249" cm="1">
        <f t="array" ref="J115">IFERROR(INDEX(TRANSPOSE(Common_InputFunctions.Utility_SplitStringIntoArray($F56, "/", "(", ")")), 2)*0.01, 0)</f>
        <v>0.15</v>
      </c>
      <c r="K115" s="249" cm="1">
        <f t="array" ref="K115">IFERROR(INDEX(TRANSPOSE(Common_InputFunctions.Utility_SplitStringIntoArray($F56, "/", "(", ")")), 3)*0.01, 0)</f>
        <v>0.52</v>
      </c>
      <c r="L115" s="249" cm="1">
        <f t="array" ref="L115">IFERROR(INDEX(TRANSPOSE(Common_InputFunctions.Utility_SplitStringIntoArray($F56, "/", "(", ")")), 4)*0.01, 0)</f>
        <v>0</v>
      </c>
      <c r="M115" s="249" cm="1">
        <f t="array" ref="M115">IFERROR(Table_RefrigerantBlends_Cleaned[[#This Row],[Constituent 1 fraction]]*Common_InputFunctions.Utility_LookupValueInTableNumber(Table_RefrigerantBlends_Cleaned[[#This Row],[Constituent 1]], Table_RefrigerantChemicalGWP[Gas - FC name], Table_RefrigerantChemicalGWP[Global warming potential (AR5)]),"")</f>
        <v>580.80000000000007</v>
      </c>
      <c r="N115" s="249" cm="1">
        <f t="array" ref="N115">IFERROR(Table_RefrigerantBlends_Cleaned[[#This Row],[Constituent 2 fraction]]*Common_InputFunctions.Utility_LookupValueInTableNumber(Table_RefrigerantBlends_Cleaned[[#This Row],[Constituent 2]], Table_RefrigerantChemicalGWP[Gas - FC name], Table_RefrigerantChemicalGWP[Global warming potential (AR5)]), "")</f>
        <v>20.7</v>
      </c>
      <c r="O115" s="249" cm="1">
        <f t="array" ref="O115">IFERROR(Table_RefrigerantBlends_Cleaned[[#This Row],[Constituent 3 fraction]]*Common_InputFunctions.Utility_LookupValueInTableNumber(Table_RefrigerantBlends_Cleaned[[#This Row],[Constituent 3]], Table_RefrigerantChemicalGWP[Gas - FC name], Table_RefrigerantChemicalGWP[Global warming potential (AR5)]), "")</f>
        <v>274.04000000000002</v>
      </c>
      <c r="P115" s="249" cm="1">
        <f t="array" ref="P11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5" s="249" cm="1">
        <f t="array" ref="Q11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337.26980000000003</v>
      </c>
    </row>
    <row r="116" spans="4:17" ht="20.100000000000001" customHeight="1" x14ac:dyDescent="0.25">
      <c r="D116" s="249" t="str">
        <f t="shared" si="0"/>
        <v>R-402A</v>
      </c>
      <c r="E116" s="249" t="str" cm="1">
        <f t="array" ref="E116">IFERROR(INDEX(TRANSPOSE(Common_InputFunctions.Utility_SplitStringIntoArray($E57, "/")), 1), "")</f>
        <v>HFC-125</v>
      </c>
      <c r="F116" s="249" t="str" cm="1">
        <f t="array" ref="F116">IFERROR(INDEX(TRANSPOSE(Common_InputFunctions.Utility_SplitStringIntoArray($E57, "/")), 2), "")</f>
        <v>HC-290</v>
      </c>
      <c r="G116" s="249" t="str" cm="1">
        <f t="array" ref="G116">IFERROR(INDEX(TRANSPOSE(Common_InputFunctions.Utility_SplitStringIntoArray($E57, "/")), 3), "")</f>
        <v>HCFC-22</v>
      </c>
      <c r="H116" s="249" t="str" cm="1">
        <f t="array" ref="H116">IFERROR(INDEX(TRANSPOSE(Common_InputFunctions.Utility_SplitStringIntoArray($E57, "/")), 4), "")</f>
        <v/>
      </c>
      <c r="I116" s="249" cm="1">
        <f t="array" ref="I116">IFERROR(INDEX(TRANSPOSE(Common_InputFunctions.Utility_SplitStringIntoArray($F57, "/", "(", ")")), 1)*0.01, 0)</f>
        <v>0.6</v>
      </c>
      <c r="J116" s="249" cm="1">
        <f t="array" ref="J116">IFERROR(INDEX(TRANSPOSE(Common_InputFunctions.Utility_SplitStringIntoArray($F57, "/", "(", ")")), 2)*0.01, 0)</f>
        <v>0.02</v>
      </c>
      <c r="K116" s="249" cm="1">
        <f t="array" ref="K116">IFERROR(INDEX(TRANSPOSE(Common_InputFunctions.Utility_SplitStringIntoArray($F57, "/", "(", ")")), 3)*0.01, 0)</f>
        <v>0.38</v>
      </c>
      <c r="L116" s="249" cm="1">
        <f t="array" ref="L116">IFERROR(INDEX(TRANSPOSE(Common_InputFunctions.Utility_SplitStringIntoArray($F57, "/", "(", ")")), 4)*0.01, 0)</f>
        <v>0</v>
      </c>
      <c r="M116" s="249" cm="1">
        <f t="array" ref="M116">IFERROR(Table_RefrigerantBlends_Cleaned[[#This Row],[Constituent 1 fraction]]*Common_InputFunctions.Utility_LookupValueInTableNumber(Table_RefrigerantBlends_Cleaned[[#This Row],[Constituent 1]], Table_RefrigerantChemicalGWP[Gas - FC name], Table_RefrigerantChemicalGWP[Global warming potential (AR5)]),"")</f>
        <v>1902</v>
      </c>
      <c r="N116" s="249" cm="1">
        <f t="array" ref="N116">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16" s="249" cm="1">
        <f t="array" ref="O116">IFERROR(Table_RefrigerantBlends_Cleaned[[#This Row],[Constituent 3 fraction]]*Common_InputFunctions.Utility_LookupValueInTableNumber(Table_RefrigerantBlends_Cleaned[[#This Row],[Constituent 3]], Table_RefrigerantChemicalGWP[Gas - FC name], Table_RefrigerantChemicalGWP[Global warming potential (AR5)]), "")</f>
        <v>668.8</v>
      </c>
      <c r="P116" s="249" cm="1">
        <f t="array" ref="P11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6" s="249" cm="1">
        <f t="array" ref="Q11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1395.3440000000001</v>
      </c>
    </row>
    <row r="117" spans="4:17" ht="20.100000000000001" customHeight="1" x14ac:dyDescent="0.25">
      <c r="D117" s="249" t="str">
        <f t="shared" si="0"/>
        <v>R-402B</v>
      </c>
      <c r="E117" s="249" t="str" cm="1">
        <f t="array" ref="E117">IFERROR(INDEX(TRANSPOSE(Common_InputFunctions.Utility_SplitStringIntoArray($E58, "/")), 1), "")</f>
        <v>HFC-125</v>
      </c>
      <c r="F117" s="249" t="str" cm="1">
        <f t="array" ref="F117">IFERROR(INDEX(TRANSPOSE(Common_InputFunctions.Utility_SplitStringIntoArray($E58, "/")), 2), "")</f>
        <v>HC-290</v>
      </c>
      <c r="G117" s="249" t="str" cm="1">
        <f t="array" ref="G117">IFERROR(INDEX(TRANSPOSE(Common_InputFunctions.Utility_SplitStringIntoArray($E58, "/")), 3), "")</f>
        <v>HCFC-22</v>
      </c>
      <c r="H117" s="249" t="str" cm="1">
        <f t="array" ref="H117">IFERROR(INDEX(TRANSPOSE(Common_InputFunctions.Utility_SplitStringIntoArray($E58, "/")), 4), "")</f>
        <v/>
      </c>
      <c r="I117" s="249" cm="1">
        <f t="array" ref="I117">IFERROR(INDEX(TRANSPOSE(Common_InputFunctions.Utility_SplitStringIntoArray($F58, "/", "(", ")")), 1)*0.01, 0)</f>
        <v>0.38</v>
      </c>
      <c r="J117" s="249" cm="1">
        <f t="array" ref="J117">IFERROR(INDEX(TRANSPOSE(Common_InputFunctions.Utility_SplitStringIntoArray($F58, "/", "(", ")")), 2)*0.01, 0)</f>
        <v>0.02</v>
      </c>
      <c r="K117" s="249" cm="1">
        <f t="array" ref="K117">IFERROR(INDEX(TRANSPOSE(Common_InputFunctions.Utility_SplitStringIntoArray($F58, "/", "(", ")")), 3)*0.01, 0)</f>
        <v>0.6</v>
      </c>
      <c r="L117" s="249" cm="1">
        <f t="array" ref="L117">IFERROR(INDEX(TRANSPOSE(Common_InputFunctions.Utility_SplitStringIntoArray($F58, "/", "(", ")")), 4)*0.01, 0)</f>
        <v>0</v>
      </c>
      <c r="M117" s="249" cm="1">
        <f t="array" ref="M117">IFERROR(Table_RefrigerantBlends_Cleaned[[#This Row],[Constituent 1 fraction]]*Common_InputFunctions.Utility_LookupValueInTableNumber(Table_RefrigerantBlends_Cleaned[[#This Row],[Constituent 1]], Table_RefrigerantChemicalGWP[Gas - FC name], Table_RefrigerantChemicalGWP[Global warming potential (AR5)]),"")</f>
        <v>1204.5999999999999</v>
      </c>
      <c r="N117" s="249" cm="1">
        <f t="array" ref="N117">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17" s="249" cm="1">
        <f t="array" ref="O117">IFERROR(Table_RefrigerantBlends_Cleaned[[#This Row],[Constituent 3 fraction]]*Common_InputFunctions.Utility_LookupValueInTableNumber(Table_RefrigerantBlends_Cleaned[[#This Row],[Constituent 3]], Table_RefrigerantChemicalGWP[Gas - FC name], Table_RefrigerantChemicalGWP[Global warming potential (AR5)]), "")</f>
        <v>1056</v>
      </c>
      <c r="P117" s="249" cm="1">
        <f t="array" ref="P11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7" s="249" cm="1">
        <f t="array" ref="Q11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1091.348</v>
      </c>
    </row>
    <row r="118" spans="4:17" ht="20.100000000000001" customHeight="1" x14ac:dyDescent="0.25">
      <c r="D118" s="249" t="str">
        <f t="shared" si="0"/>
        <v>R-403A</v>
      </c>
      <c r="E118" s="249" t="str" cm="1">
        <f t="array" ref="E118">IFERROR(INDEX(TRANSPOSE(Common_InputFunctions.Utility_SplitStringIntoArray($E59, "/")), 1), "")</f>
        <v>HC-290</v>
      </c>
      <c r="F118" s="249" t="str" cm="1">
        <f t="array" ref="F118">IFERROR(INDEX(TRANSPOSE(Common_InputFunctions.Utility_SplitStringIntoArray($E59, "/")), 2), "")</f>
        <v>HCFC-22</v>
      </c>
      <c r="G118" s="249" t="str" cm="1">
        <f t="array" ref="G118">IFERROR(INDEX(TRANSPOSE(Common_InputFunctions.Utility_SplitStringIntoArray($E59, "/")), 3), "")</f>
        <v>PFC-218</v>
      </c>
      <c r="H118" s="249" t="str" cm="1">
        <f t="array" ref="H118">IFERROR(INDEX(TRANSPOSE(Common_InputFunctions.Utility_SplitStringIntoArray($E59, "/")), 4), "")</f>
        <v/>
      </c>
      <c r="I118" s="249" cm="1">
        <f t="array" ref="I118">IFERROR(INDEX(TRANSPOSE(Common_InputFunctions.Utility_SplitStringIntoArray($F59, "/", "(", ")")), 1)*0.01, 0)</f>
        <v>0.05</v>
      </c>
      <c r="J118" s="249" cm="1">
        <f t="array" ref="J118">IFERROR(INDEX(TRANSPOSE(Common_InputFunctions.Utility_SplitStringIntoArray($F59, "/", "(", ")")), 2)*0.01, 0)</f>
        <v>0.75</v>
      </c>
      <c r="K118" s="249" cm="1">
        <f t="array" ref="K118">IFERROR(INDEX(TRANSPOSE(Common_InputFunctions.Utility_SplitStringIntoArray($F59, "/", "(", ")")), 3)*0.01, 0)</f>
        <v>0.2</v>
      </c>
      <c r="L118" s="249" cm="1">
        <f t="array" ref="L118">IFERROR(INDEX(TRANSPOSE(Common_InputFunctions.Utility_SplitStringIntoArray($F59, "/", "(", ")")), 4)*0.01, 0)</f>
        <v>0</v>
      </c>
      <c r="M118" s="249" cm="1">
        <f t="array" ref="M118">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18" s="249" cm="1">
        <f t="array" ref="N118">IFERROR(Table_RefrigerantBlends_Cleaned[[#This Row],[Constituent 2 fraction]]*Common_InputFunctions.Utility_LookupValueInTableNumber(Table_RefrigerantBlends_Cleaned[[#This Row],[Constituent 2]], Table_RefrigerantChemicalGWP[Gas - FC name], Table_RefrigerantChemicalGWP[Global warming potential (AR5)]), "")</f>
        <v>1320</v>
      </c>
      <c r="O118" s="249" cm="1">
        <f t="array" ref="O118">IFERROR(Table_RefrigerantBlends_Cleaned[[#This Row],[Constituent 3 fraction]]*Common_InputFunctions.Utility_LookupValueInTableNumber(Table_RefrigerantBlends_Cleaned[[#This Row],[Constituent 3]], Table_RefrigerantChemicalGWP[Gas - FC name], Table_RefrigerantChemicalGWP[Global warming potential (AR5)]), "")</f>
        <v>1780</v>
      </c>
      <c r="P118" s="249" cm="1">
        <f t="array" ref="P11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8" s="249" cm="1">
        <f t="array" ref="Q11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1346</v>
      </c>
    </row>
    <row r="119" spans="4:17" ht="20.100000000000001" customHeight="1" x14ac:dyDescent="0.25">
      <c r="D119" s="249" t="str">
        <f t="shared" si="0"/>
        <v>R-403B</v>
      </c>
      <c r="E119" s="249" t="str" cm="1">
        <f t="array" ref="E119">IFERROR(INDEX(TRANSPOSE(Common_InputFunctions.Utility_SplitStringIntoArray($E60, "/")), 1), "")</f>
        <v>HC-290</v>
      </c>
      <c r="F119" s="249" t="str" cm="1">
        <f t="array" ref="F119">IFERROR(INDEX(TRANSPOSE(Common_InputFunctions.Utility_SplitStringIntoArray($E60, "/")), 2), "")</f>
        <v>HCFC-22</v>
      </c>
      <c r="G119" s="249" t="str" cm="1">
        <f t="array" ref="G119">IFERROR(INDEX(TRANSPOSE(Common_InputFunctions.Utility_SplitStringIntoArray($E60, "/")), 3), "")</f>
        <v>PFC-218</v>
      </c>
      <c r="H119" s="249" t="str" cm="1">
        <f t="array" ref="H119">IFERROR(INDEX(TRANSPOSE(Common_InputFunctions.Utility_SplitStringIntoArray($E60, "/")), 4), "")</f>
        <v/>
      </c>
      <c r="I119" s="249" cm="1">
        <f t="array" ref="I119">IFERROR(INDEX(TRANSPOSE(Common_InputFunctions.Utility_SplitStringIntoArray($F60, "/", "(", ")")), 1)*0.01, 0)</f>
        <v>0.05</v>
      </c>
      <c r="J119" s="249" cm="1">
        <f t="array" ref="J119">IFERROR(INDEX(TRANSPOSE(Common_InputFunctions.Utility_SplitStringIntoArray($F60, "/", "(", ")")), 2)*0.01, 0)</f>
        <v>0.56000000000000005</v>
      </c>
      <c r="K119" s="249" cm="1">
        <f t="array" ref="K119">IFERROR(INDEX(TRANSPOSE(Common_InputFunctions.Utility_SplitStringIntoArray($F60, "/", "(", ")")), 3)*0.01, 0)</f>
        <v>0.39</v>
      </c>
      <c r="L119" s="249" cm="1">
        <f t="array" ref="L119">IFERROR(INDEX(TRANSPOSE(Common_InputFunctions.Utility_SplitStringIntoArray($F60, "/", "(", ")")), 4)*0.01, 0)</f>
        <v>0</v>
      </c>
      <c r="M119" s="249" cm="1">
        <f t="array" ref="M119">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19" s="249" cm="1">
        <f t="array" ref="N119">IFERROR(Table_RefrigerantBlends_Cleaned[[#This Row],[Constituent 2 fraction]]*Common_InputFunctions.Utility_LookupValueInTableNumber(Table_RefrigerantBlends_Cleaned[[#This Row],[Constituent 2]], Table_RefrigerantChemicalGWP[Gas - FC name], Table_RefrigerantChemicalGWP[Global warming potential (AR5)]), "")</f>
        <v>985.60000000000014</v>
      </c>
      <c r="O119" s="249" cm="1">
        <f t="array" ref="O119">IFERROR(Table_RefrigerantBlends_Cleaned[[#This Row],[Constituent 3 fraction]]*Common_InputFunctions.Utility_LookupValueInTableNumber(Table_RefrigerantBlends_Cleaned[[#This Row],[Constituent 3]], Table_RefrigerantChemicalGWP[Gas - FC name], Table_RefrigerantChemicalGWP[Global warming potential (AR5)]), "")</f>
        <v>3471</v>
      </c>
      <c r="P119" s="249" cm="1">
        <f t="array" ref="P11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9" s="249" cm="1">
        <f t="array" ref="Q11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1905.6260000000002</v>
      </c>
    </row>
    <row r="120" spans="4:17" ht="20.100000000000001" customHeight="1" x14ac:dyDescent="0.25">
      <c r="D120" s="249" t="str">
        <f t="shared" si="0"/>
        <v>R-404A</v>
      </c>
      <c r="E120" s="249" t="str" cm="1">
        <f t="array" ref="E120">IFERROR(INDEX(TRANSPOSE(Common_InputFunctions.Utility_SplitStringIntoArray($E61, "/")), 1), "")</f>
        <v>HFC-125</v>
      </c>
      <c r="F120" s="249" t="str" cm="1">
        <f t="array" ref="F120">IFERROR(INDEX(TRANSPOSE(Common_InputFunctions.Utility_SplitStringIntoArray($E61, "/")), 2), "")</f>
        <v>HFC-143a</v>
      </c>
      <c r="G120" s="249" t="str" cm="1">
        <f t="array" ref="G120">IFERROR(INDEX(TRANSPOSE(Common_InputFunctions.Utility_SplitStringIntoArray($E61, "/")), 3), "")</f>
        <v>HFC-134a</v>
      </c>
      <c r="H120" s="249" t="str" cm="1">
        <f t="array" ref="H120">IFERROR(INDEX(TRANSPOSE(Common_InputFunctions.Utility_SplitStringIntoArray($E61, "/")), 4), "")</f>
        <v/>
      </c>
      <c r="I120" s="249" cm="1">
        <f t="array" ref="I120">IFERROR(INDEX(TRANSPOSE(Common_InputFunctions.Utility_SplitStringIntoArray($F61, "/", "(", ")")), 1)*0.01, 0)</f>
        <v>0.44</v>
      </c>
      <c r="J120" s="249" cm="1">
        <f t="array" ref="J120">IFERROR(INDEX(TRANSPOSE(Common_InputFunctions.Utility_SplitStringIntoArray($F61, "/", "(", ")")), 2)*0.01, 0)</f>
        <v>0.52</v>
      </c>
      <c r="K120" s="249" cm="1">
        <f t="array" ref="K120">IFERROR(INDEX(TRANSPOSE(Common_InputFunctions.Utility_SplitStringIntoArray($F61, "/", "(", ")")), 3)*0.01, 0)</f>
        <v>0.04</v>
      </c>
      <c r="L120" s="249" cm="1">
        <f t="array" ref="L120">IFERROR(INDEX(TRANSPOSE(Common_InputFunctions.Utility_SplitStringIntoArray($F61, "/", "(", ")")), 4)*0.01, 0)</f>
        <v>0</v>
      </c>
      <c r="M120" s="249" cm="1">
        <f t="array" ref="M120">IFERROR(Table_RefrigerantBlends_Cleaned[[#This Row],[Constituent 1 fraction]]*Common_InputFunctions.Utility_LookupValueInTableNumber(Table_RefrigerantBlends_Cleaned[[#This Row],[Constituent 1]], Table_RefrigerantChemicalGWP[Gas - FC name], Table_RefrigerantChemicalGWP[Global warming potential (AR5)]),"")</f>
        <v>1394.8</v>
      </c>
      <c r="N120" s="249" cm="1">
        <f t="array" ref="N120">IFERROR(Table_RefrigerantBlends_Cleaned[[#This Row],[Constituent 2 fraction]]*Common_InputFunctions.Utility_LookupValueInTableNumber(Table_RefrigerantBlends_Cleaned[[#This Row],[Constituent 2]], Table_RefrigerantChemicalGWP[Gas - FC name], Table_RefrigerantChemicalGWP[Global warming potential (AR5)]), "")</f>
        <v>2496</v>
      </c>
      <c r="O120" s="249" cm="1">
        <f t="array" ref="O120">IFERROR(Table_RefrigerantBlends_Cleaned[[#This Row],[Constituent 3 fraction]]*Common_InputFunctions.Utility_LookupValueInTableNumber(Table_RefrigerantBlends_Cleaned[[#This Row],[Constituent 3]], Table_RefrigerantChemicalGWP[Gas - FC name], Table_RefrigerantChemicalGWP[Global warming potential (AR5)]), "")</f>
        <v>52</v>
      </c>
      <c r="P120" s="249" cm="1">
        <f t="array" ref="P12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0" s="249" cm="1">
        <f t="array" ref="Q12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1913.712</v>
      </c>
    </row>
    <row r="121" spans="4:17" ht="20.100000000000001" customHeight="1" x14ac:dyDescent="0.25">
      <c r="D121" s="249" t="str">
        <f t="shared" si="0"/>
        <v>R-405A</v>
      </c>
      <c r="E121" s="249" t="str" cm="1">
        <f t="array" ref="E121">IFERROR(INDEX(TRANSPOSE(Common_InputFunctions.Utility_SplitStringIntoArray($E62, "/")), 1), "")</f>
        <v>HCFC-22</v>
      </c>
      <c r="F121" s="249" t="str" cm="1">
        <f t="array" ref="F121">IFERROR(INDEX(TRANSPOSE(Common_InputFunctions.Utility_SplitStringIntoArray($E62, "/")), 2), "")</f>
        <v>HFC-152a</v>
      </c>
      <c r="G121" s="249" t="str" cm="1">
        <f t="array" ref="G121">IFERROR(INDEX(TRANSPOSE(Common_InputFunctions.Utility_SplitStringIntoArray($E62, "/")), 3), "")</f>
        <v>HCFC-142b</v>
      </c>
      <c r="H121" s="249" t="str" cm="1">
        <f t="array" ref="H121">IFERROR(INDEX(TRANSPOSE(Common_InputFunctions.Utility_SplitStringIntoArray($E62, "/")), 4), "")</f>
        <v>PFC-318</v>
      </c>
      <c r="I121" s="249" cm="1">
        <f t="array" ref="I121">IFERROR(INDEX(TRANSPOSE(Common_InputFunctions.Utility_SplitStringIntoArray($F62, "/", "(", ")")), 1)*0.01, 0)</f>
        <v>0.45</v>
      </c>
      <c r="J121" s="249" cm="1">
        <f t="array" ref="J121">IFERROR(INDEX(TRANSPOSE(Common_InputFunctions.Utility_SplitStringIntoArray($F62, "/", "(", ")")), 2)*0.01, 0)</f>
        <v>7.0000000000000007E-2</v>
      </c>
      <c r="K121" s="249" cm="1">
        <f t="array" ref="K121">IFERROR(INDEX(TRANSPOSE(Common_InputFunctions.Utility_SplitStringIntoArray($F62, "/", "(", ")")), 3)*0.01, 0)</f>
        <v>5.5E-2</v>
      </c>
      <c r="L121" s="249" cm="1">
        <f t="array" ref="L121">IFERROR(INDEX(TRANSPOSE(Common_InputFunctions.Utility_SplitStringIntoArray($F62, "/", "(", ")")), 4)*0.01, 0)</f>
        <v>0.42499999999999999</v>
      </c>
      <c r="M121" s="249" cm="1">
        <f t="array" ref="M121">IFERROR(Table_RefrigerantBlends_Cleaned[[#This Row],[Constituent 1 fraction]]*Common_InputFunctions.Utility_LookupValueInTableNumber(Table_RefrigerantBlends_Cleaned[[#This Row],[Constituent 1]], Table_RefrigerantChemicalGWP[Gas - FC name], Table_RefrigerantChemicalGWP[Global warming potential (AR5)]),"")</f>
        <v>792</v>
      </c>
      <c r="N121" s="249" cm="1">
        <f t="array" ref="N121">IFERROR(Table_RefrigerantBlends_Cleaned[[#This Row],[Constituent 2 fraction]]*Common_InputFunctions.Utility_LookupValueInTableNumber(Table_RefrigerantBlends_Cleaned[[#This Row],[Constituent 2]], Table_RefrigerantChemicalGWP[Gas - FC name], Table_RefrigerantChemicalGWP[Global warming potential (AR5)]), "")</f>
        <v>9.66</v>
      </c>
      <c r="O121" s="249" cm="1">
        <f t="array" ref="O121">IFERROR(Table_RefrigerantBlends_Cleaned[[#This Row],[Constituent 3 fraction]]*Common_InputFunctions.Utility_LookupValueInTableNumber(Table_RefrigerantBlends_Cleaned[[#This Row],[Constituent 3]], Table_RefrigerantChemicalGWP[Gas - FC name], Table_RefrigerantChemicalGWP[Global warming potential (AR5)]), "")</f>
        <v>108.9</v>
      </c>
      <c r="P121" s="249" cm="1">
        <f t="array" ref="P121">IFERROR(Table_RefrigerantBlends_Cleaned[[#This Row],[Constituent 4 fraction]]*Common_InputFunctions.Utility_LookupValueInTableNumber(Table_RefrigerantBlends_Cleaned[[#This Row],[Constituent 4]], Table_RefrigerantChemicalGWP[Gas - FC name], Table_RefrigerantChemicalGWP[Global warming potential (AR5)]), "")</f>
        <v>4054.5</v>
      </c>
      <c r="Q121" s="249" cm="1">
        <f t="array" ref="Q12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2086.2282</v>
      </c>
    </row>
    <row r="122" spans="4:17" ht="20.100000000000001" customHeight="1" x14ac:dyDescent="0.25">
      <c r="D122" s="249" t="str">
        <f t="shared" si="0"/>
        <v>R-406A</v>
      </c>
      <c r="E122" s="249" t="str" cm="1">
        <f t="array" ref="E122">IFERROR(INDEX(TRANSPOSE(Common_InputFunctions.Utility_SplitStringIntoArray($E63, "/")), 1), "")</f>
        <v>HCFC-22</v>
      </c>
      <c r="F122" s="249" t="str" cm="1">
        <f t="array" ref="F122">IFERROR(INDEX(TRANSPOSE(Common_InputFunctions.Utility_SplitStringIntoArray($E63, "/")), 2), "")</f>
        <v>HC-600a</v>
      </c>
      <c r="G122" s="249" t="str" cm="1">
        <f t="array" ref="G122">IFERROR(INDEX(TRANSPOSE(Common_InputFunctions.Utility_SplitStringIntoArray($E63, "/")), 3), "")</f>
        <v>HCFC-142b</v>
      </c>
      <c r="H122" s="249" t="str" cm="1">
        <f t="array" ref="H122">IFERROR(INDEX(TRANSPOSE(Common_InputFunctions.Utility_SplitStringIntoArray($E63, "/")), 4), "")</f>
        <v/>
      </c>
      <c r="I122" s="249" cm="1">
        <f t="array" ref="I122">IFERROR(INDEX(TRANSPOSE(Common_InputFunctions.Utility_SplitStringIntoArray($F63, "/", "(", ")")), 1)*0.01, 0)</f>
        <v>0.55000000000000004</v>
      </c>
      <c r="J122" s="249" cm="1">
        <f t="array" ref="J122">IFERROR(INDEX(TRANSPOSE(Common_InputFunctions.Utility_SplitStringIntoArray($F63, "/", "(", ")")), 2)*0.01, 0)</f>
        <v>0.14000000000000001</v>
      </c>
      <c r="K122" s="249" cm="1">
        <f t="array" ref="K122">IFERROR(INDEX(TRANSPOSE(Common_InputFunctions.Utility_SplitStringIntoArray($F63, "/", "(", ")")), 3)*0.01, 0)</f>
        <v>0.41000000000000003</v>
      </c>
      <c r="L122" s="249" cm="1">
        <f t="array" ref="L122">IFERROR(INDEX(TRANSPOSE(Common_InputFunctions.Utility_SplitStringIntoArray($F63, "/", "(", ")")), 4)*0.01, 0)</f>
        <v>0</v>
      </c>
      <c r="M122" s="249" cm="1">
        <f t="array" ref="M122">IFERROR(Table_RefrigerantBlends_Cleaned[[#This Row],[Constituent 1 fraction]]*Common_InputFunctions.Utility_LookupValueInTableNumber(Table_RefrigerantBlends_Cleaned[[#This Row],[Constituent 1]], Table_RefrigerantChemicalGWP[Gas - FC name], Table_RefrigerantChemicalGWP[Global warming potential (AR5)]),"")</f>
        <v>968.00000000000011</v>
      </c>
      <c r="N122" s="249" cm="1">
        <f t="array" ref="N122">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22" s="249" cm="1">
        <f t="array" ref="O122">IFERROR(Table_RefrigerantBlends_Cleaned[[#This Row],[Constituent 3 fraction]]*Common_InputFunctions.Utility_LookupValueInTableNumber(Table_RefrigerantBlends_Cleaned[[#This Row],[Constituent 3]], Table_RefrigerantChemicalGWP[Gas - FC name], Table_RefrigerantChemicalGWP[Global warming potential (AR5)]), "")</f>
        <v>811.80000000000007</v>
      </c>
      <c r="P122" s="249" cm="1">
        <f t="array" ref="P12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2" s="249" cm="1">
        <f t="array" ref="Q12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865.23800000000017</v>
      </c>
    </row>
    <row r="123" spans="4:17" ht="20.100000000000001" customHeight="1" x14ac:dyDescent="0.25">
      <c r="D123" s="249" t="str">
        <f t="shared" si="0"/>
        <v>R-407A</v>
      </c>
      <c r="E123" s="249" t="str" cm="1">
        <f t="array" ref="E123">IFERROR(INDEX(TRANSPOSE(Common_InputFunctions.Utility_SplitStringIntoArray($E64, "/")), 1), "")</f>
        <v>HFC-32</v>
      </c>
      <c r="F123" s="249" t="str" cm="1">
        <f t="array" ref="F123">IFERROR(INDEX(TRANSPOSE(Common_InputFunctions.Utility_SplitStringIntoArray($E64, "/")), 2), "")</f>
        <v>HFC-125</v>
      </c>
      <c r="G123" s="249" t="str" cm="1">
        <f t="array" ref="G123">IFERROR(INDEX(TRANSPOSE(Common_InputFunctions.Utility_SplitStringIntoArray($E64, "/")), 3), "")</f>
        <v>HFC-134a</v>
      </c>
      <c r="H123" s="249" t="str" cm="1">
        <f t="array" ref="H123">IFERROR(INDEX(TRANSPOSE(Common_InputFunctions.Utility_SplitStringIntoArray($E64, "/")), 4), "")</f>
        <v/>
      </c>
      <c r="I123" s="249" cm="1">
        <f t="array" ref="I123">IFERROR(INDEX(TRANSPOSE(Common_InputFunctions.Utility_SplitStringIntoArray($F64, "/", "(", ")")), 1)*0.01, 0)</f>
        <v>0.2</v>
      </c>
      <c r="J123" s="249" cm="1">
        <f t="array" ref="J123">IFERROR(INDEX(TRANSPOSE(Common_InputFunctions.Utility_SplitStringIntoArray($F64, "/", "(", ")")), 2)*0.01, 0)</f>
        <v>0.4</v>
      </c>
      <c r="K123" s="249" cm="1">
        <f t="array" ref="K123">IFERROR(INDEX(TRANSPOSE(Common_InputFunctions.Utility_SplitStringIntoArray($F64, "/", "(", ")")), 3)*0.01, 0)</f>
        <v>0.4</v>
      </c>
      <c r="L123" s="249" cm="1">
        <f t="array" ref="L123">IFERROR(INDEX(TRANSPOSE(Common_InputFunctions.Utility_SplitStringIntoArray($F64, "/", "(", ")")), 4)*0.01, 0)</f>
        <v>0</v>
      </c>
      <c r="M123" s="249" cm="1">
        <f t="array" ref="M123">IFERROR(Table_RefrigerantBlends_Cleaned[[#This Row],[Constituent 1 fraction]]*Common_InputFunctions.Utility_LookupValueInTableNumber(Table_RefrigerantBlends_Cleaned[[#This Row],[Constituent 1]], Table_RefrigerantChemicalGWP[Gas - FC name], Table_RefrigerantChemicalGWP[Global warming potential (AR5)]),"")</f>
        <v>135.4</v>
      </c>
      <c r="N123" s="249" cm="1">
        <f t="array" ref="N123">IFERROR(Table_RefrigerantBlends_Cleaned[[#This Row],[Constituent 2 fraction]]*Common_InputFunctions.Utility_LookupValueInTableNumber(Table_RefrigerantBlends_Cleaned[[#This Row],[Constituent 2]], Table_RefrigerantChemicalGWP[Gas - FC name], Table_RefrigerantChemicalGWP[Global warming potential (AR5)]), "")</f>
        <v>1268</v>
      </c>
      <c r="O123" s="249" cm="1">
        <f t="array" ref="O123">IFERROR(Table_RefrigerantBlends_Cleaned[[#This Row],[Constituent 3 fraction]]*Common_InputFunctions.Utility_LookupValueInTableNumber(Table_RefrigerantBlends_Cleaned[[#This Row],[Constituent 3]], Table_RefrigerantChemicalGWP[Gas - FC name], Table_RefrigerantChemicalGWP[Global warming potential (AR5)]), "")</f>
        <v>520</v>
      </c>
      <c r="P123" s="249" cm="1">
        <f t="array" ref="P12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3" s="249" cm="1">
        <f t="array" ref="Q12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742.28000000000009</v>
      </c>
    </row>
    <row r="124" spans="4:17" ht="20.100000000000001" customHeight="1" x14ac:dyDescent="0.25">
      <c r="D124" s="249" t="str">
        <f t="shared" si="0"/>
        <v>R-407B</v>
      </c>
      <c r="E124" s="249" t="str" cm="1">
        <f t="array" ref="E124">IFERROR(INDEX(TRANSPOSE(Common_InputFunctions.Utility_SplitStringIntoArray($E65, "/")), 1), "")</f>
        <v>HFC-32</v>
      </c>
      <c r="F124" s="249" t="str" cm="1">
        <f t="array" ref="F124">IFERROR(INDEX(TRANSPOSE(Common_InputFunctions.Utility_SplitStringIntoArray($E65, "/")), 2), "")</f>
        <v>HFC-125</v>
      </c>
      <c r="G124" s="249" t="str" cm="1">
        <f t="array" ref="G124">IFERROR(INDEX(TRANSPOSE(Common_InputFunctions.Utility_SplitStringIntoArray($E65, "/")), 3), "")</f>
        <v>HFC-134a</v>
      </c>
      <c r="H124" s="249" t="str" cm="1">
        <f t="array" ref="H124">IFERROR(INDEX(TRANSPOSE(Common_InputFunctions.Utility_SplitStringIntoArray($E65, "/")), 4), "")</f>
        <v/>
      </c>
      <c r="I124" s="249" cm="1">
        <f t="array" ref="I124">IFERROR(INDEX(TRANSPOSE(Common_InputFunctions.Utility_SplitStringIntoArray($F65, "/", "(", ")")), 1)*0.01, 0)</f>
        <v>0.1</v>
      </c>
      <c r="J124" s="249" cm="1">
        <f t="array" ref="J124">IFERROR(INDEX(TRANSPOSE(Common_InputFunctions.Utility_SplitStringIntoArray($F65, "/", "(", ")")), 2)*0.01, 0)</f>
        <v>0.70000000000000007</v>
      </c>
      <c r="K124" s="249" cm="1">
        <f t="array" ref="K124">IFERROR(INDEX(TRANSPOSE(Common_InputFunctions.Utility_SplitStringIntoArray($F65, "/", "(", ")")), 3)*0.01, 0)</f>
        <v>0.2</v>
      </c>
      <c r="L124" s="249" cm="1">
        <f t="array" ref="L124">IFERROR(INDEX(TRANSPOSE(Common_InputFunctions.Utility_SplitStringIntoArray($F65, "/", "(", ")")), 4)*0.01, 0)</f>
        <v>0</v>
      </c>
      <c r="M124" s="249" cm="1">
        <f t="array" ref="M124">IFERROR(Table_RefrigerantBlends_Cleaned[[#This Row],[Constituent 1 fraction]]*Common_InputFunctions.Utility_LookupValueInTableNumber(Table_RefrigerantBlends_Cleaned[[#This Row],[Constituent 1]], Table_RefrigerantChemicalGWP[Gas - FC name], Table_RefrigerantChemicalGWP[Global warming potential (AR5)]),"")</f>
        <v>67.7</v>
      </c>
      <c r="N124" s="249" cm="1">
        <f t="array" ref="N124">IFERROR(Table_RefrigerantBlends_Cleaned[[#This Row],[Constituent 2 fraction]]*Common_InputFunctions.Utility_LookupValueInTableNumber(Table_RefrigerantBlends_Cleaned[[#This Row],[Constituent 2]], Table_RefrigerantChemicalGWP[Gas - FC name], Table_RefrigerantChemicalGWP[Global warming potential (AR5)]), "")</f>
        <v>2219</v>
      </c>
      <c r="O124" s="249" cm="1">
        <f t="array" ref="O124">IFERROR(Table_RefrigerantBlends_Cleaned[[#This Row],[Constituent 3 fraction]]*Common_InputFunctions.Utility_LookupValueInTableNumber(Table_RefrigerantBlends_Cleaned[[#This Row],[Constituent 3]], Table_RefrigerantChemicalGWP[Gas - FC name], Table_RefrigerantChemicalGWP[Global warming potential (AR5)]), "")</f>
        <v>260</v>
      </c>
      <c r="P124" s="249" cm="1">
        <f t="array" ref="P12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4" s="249" cm="1">
        <f t="array" ref="Q12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1612.0700000000002</v>
      </c>
    </row>
    <row r="125" spans="4:17" ht="20.100000000000001" customHeight="1" x14ac:dyDescent="0.25">
      <c r="D125" s="249" t="str">
        <f t="shared" si="0"/>
        <v>R-407C</v>
      </c>
      <c r="E125" s="249" t="str" cm="1">
        <f t="array" ref="E125">IFERROR(INDEX(TRANSPOSE(Common_InputFunctions.Utility_SplitStringIntoArray($E66, "/")), 1), "")</f>
        <v>HFC-32</v>
      </c>
      <c r="F125" s="249" t="str" cm="1">
        <f t="array" ref="F125">IFERROR(INDEX(TRANSPOSE(Common_InputFunctions.Utility_SplitStringIntoArray($E66, "/")), 2), "")</f>
        <v>HFC-125</v>
      </c>
      <c r="G125" s="249" t="str" cm="1">
        <f t="array" ref="G125">IFERROR(INDEX(TRANSPOSE(Common_InputFunctions.Utility_SplitStringIntoArray($E66, "/")), 3), "")</f>
        <v>HFC-134a</v>
      </c>
      <c r="H125" s="249" t="str" cm="1">
        <f t="array" ref="H125">IFERROR(INDEX(TRANSPOSE(Common_InputFunctions.Utility_SplitStringIntoArray($E66, "/")), 4), "")</f>
        <v/>
      </c>
      <c r="I125" s="249" cm="1">
        <f t="array" ref="I125">IFERROR(INDEX(TRANSPOSE(Common_InputFunctions.Utility_SplitStringIntoArray($F66, "/", "(", ")")), 1)*0.01, 0)</f>
        <v>0.23</v>
      </c>
      <c r="J125" s="249" cm="1">
        <f t="array" ref="J125">IFERROR(INDEX(TRANSPOSE(Common_InputFunctions.Utility_SplitStringIntoArray($F66, "/", "(", ")")), 2)*0.01, 0)</f>
        <v>0.25</v>
      </c>
      <c r="K125" s="249" cm="1">
        <f t="array" ref="K125">IFERROR(INDEX(TRANSPOSE(Common_InputFunctions.Utility_SplitStringIntoArray($F66, "/", "(", ")")), 3)*0.01, 0)</f>
        <v>0.52</v>
      </c>
      <c r="L125" s="249" cm="1">
        <f t="array" ref="L125">IFERROR(INDEX(TRANSPOSE(Common_InputFunctions.Utility_SplitStringIntoArray($F66, "/", "(", ")")), 4)*0.01, 0)</f>
        <v>0</v>
      </c>
      <c r="M125" s="249" cm="1">
        <f t="array" ref="M125">IFERROR(Table_RefrigerantBlends_Cleaned[[#This Row],[Constituent 1 fraction]]*Common_InputFunctions.Utility_LookupValueInTableNumber(Table_RefrigerantBlends_Cleaned[[#This Row],[Constituent 1]], Table_RefrigerantChemicalGWP[Gas - FC name], Table_RefrigerantChemicalGWP[Global warming potential (AR5)]),"")</f>
        <v>155.71</v>
      </c>
      <c r="N125" s="249" cm="1">
        <f t="array" ref="N125">IFERROR(Table_RefrigerantBlends_Cleaned[[#This Row],[Constituent 2 fraction]]*Common_InputFunctions.Utility_LookupValueInTableNumber(Table_RefrigerantBlends_Cleaned[[#This Row],[Constituent 2]], Table_RefrigerantChemicalGWP[Gas - FC name], Table_RefrigerantChemicalGWP[Global warming potential (AR5)]), "")</f>
        <v>792.5</v>
      </c>
      <c r="O125" s="249" cm="1">
        <f t="array" ref="O125">IFERROR(Table_RefrigerantBlends_Cleaned[[#This Row],[Constituent 3 fraction]]*Common_InputFunctions.Utility_LookupValueInTableNumber(Table_RefrigerantBlends_Cleaned[[#This Row],[Constituent 3]], Table_RefrigerantChemicalGWP[Gas - FC name], Table_RefrigerantChemicalGWP[Global warming potential (AR5)]), "")</f>
        <v>676</v>
      </c>
      <c r="P125" s="249" cm="1">
        <f t="array" ref="P12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5" s="249" cm="1">
        <f t="array" ref="Q12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585.45830000000001</v>
      </c>
    </row>
    <row r="126" spans="4:17" ht="20.100000000000001" customHeight="1" x14ac:dyDescent="0.25">
      <c r="D126" s="249" t="str">
        <f t="shared" si="0"/>
        <v>R-407D</v>
      </c>
      <c r="E126" s="249" t="str" cm="1">
        <f t="array" ref="E126">IFERROR(INDEX(TRANSPOSE(Common_InputFunctions.Utility_SplitStringIntoArray($E67, "/")), 1), "")</f>
        <v>HFC-32</v>
      </c>
      <c r="F126" s="249" t="str" cm="1">
        <f t="array" ref="F126">IFERROR(INDEX(TRANSPOSE(Common_InputFunctions.Utility_SplitStringIntoArray($E67, "/")), 2), "")</f>
        <v>HFC-125</v>
      </c>
      <c r="G126" s="249" t="str" cm="1">
        <f t="array" ref="G126">IFERROR(INDEX(TRANSPOSE(Common_InputFunctions.Utility_SplitStringIntoArray($E67, "/")), 3), "")</f>
        <v>HFC-134a</v>
      </c>
      <c r="H126" s="249" t="str" cm="1">
        <f t="array" ref="H126">IFERROR(INDEX(TRANSPOSE(Common_InputFunctions.Utility_SplitStringIntoArray($E67, "/")), 4), "")</f>
        <v/>
      </c>
      <c r="I126" s="249" cm="1">
        <f t="array" ref="I126">IFERROR(INDEX(TRANSPOSE(Common_InputFunctions.Utility_SplitStringIntoArray($F67, "/", "(", ")")), 1)*0.01, 0)</f>
        <v>0.15</v>
      </c>
      <c r="J126" s="249" cm="1">
        <f t="array" ref="J126">IFERROR(INDEX(TRANSPOSE(Common_InputFunctions.Utility_SplitStringIntoArray($F67, "/", "(", ")")), 2)*0.01, 0)</f>
        <v>0.15</v>
      </c>
      <c r="K126" s="249" cm="1">
        <f t="array" ref="K126">IFERROR(INDEX(TRANSPOSE(Common_InputFunctions.Utility_SplitStringIntoArray($F67, "/", "(", ")")), 3)*0.01, 0)</f>
        <v>0.70000000000000007</v>
      </c>
      <c r="L126" s="249" cm="1">
        <f t="array" ref="L126">IFERROR(INDEX(TRANSPOSE(Common_InputFunctions.Utility_SplitStringIntoArray($F67, "/", "(", ")")), 4)*0.01, 0)</f>
        <v>0</v>
      </c>
      <c r="M126" s="249" cm="1">
        <f t="array" ref="M126">IFERROR(Table_RefrigerantBlends_Cleaned[[#This Row],[Constituent 1 fraction]]*Common_InputFunctions.Utility_LookupValueInTableNumber(Table_RefrigerantBlends_Cleaned[[#This Row],[Constituent 1]], Table_RefrigerantChemicalGWP[Gas - FC name], Table_RefrigerantChemicalGWP[Global warming potential (AR5)]),"")</f>
        <v>101.55</v>
      </c>
      <c r="N126" s="249" cm="1">
        <f t="array" ref="N126">IFERROR(Table_RefrigerantBlends_Cleaned[[#This Row],[Constituent 2 fraction]]*Common_InputFunctions.Utility_LookupValueInTableNumber(Table_RefrigerantBlends_Cleaned[[#This Row],[Constituent 2]], Table_RefrigerantChemicalGWP[Gas - FC name], Table_RefrigerantChemicalGWP[Global warming potential (AR5)]), "")</f>
        <v>475.5</v>
      </c>
      <c r="O126" s="249" cm="1">
        <f t="array" ref="O126">IFERROR(Table_RefrigerantBlends_Cleaned[[#This Row],[Constituent 3 fraction]]*Common_InputFunctions.Utility_LookupValueInTableNumber(Table_RefrigerantBlends_Cleaned[[#This Row],[Constituent 3]], Table_RefrigerantChemicalGWP[Gas - FC name], Table_RefrigerantChemicalGWP[Global warming potential (AR5)]), "")</f>
        <v>910.00000000000011</v>
      </c>
      <c r="P126" s="249" cm="1">
        <f t="array" ref="P12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6" s="249" cm="1">
        <f t="array" ref="Q12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723.55750000000012</v>
      </c>
    </row>
    <row r="127" spans="4:17" ht="20.100000000000001" customHeight="1" x14ac:dyDescent="0.25">
      <c r="D127" s="249" t="str">
        <f t="shared" si="0"/>
        <v>R-407E</v>
      </c>
      <c r="E127" s="249" t="str" cm="1">
        <f t="array" ref="E127">IFERROR(INDEX(TRANSPOSE(Common_InputFunctions.Utility_SplitStringIntoArray($E68, "/")), 1), "")</f>
        <v>HFC-32</v>
      </c>
      <c r="F127" s="249" t="str" cm="1">
        <f t="array" ref="F127">IFERROR(INDEX(TRANSPOSE(Common_InputFunctions.Utility_SplitStringIntoArray($E68, "/")), 2), "")</f>
        <v>HFC-125</v>
      </c>
      <c r="G127" s="249" t="str" cm="1">
        <f t="array" ref="G127">IFERROR(INDEX(TRANSPOSE(Common_InputFunctions.Utility_SplitStringIntoArray($E68, "/")), 3), "")</f>
        <v>HFC-134a</v>
      </c>
      <c r="H127" s="249" t="str" cm="1">
        <f t="array" ref="H127">IFERROR(INDEX(TRANSPOSE(Common_InputFunctions.Utility_SplitStringIntoArray($E68, "/")), 4), "")</f>
        <v/>
      </c>
      <c r="I127" s="249" cm="1">
        <f t="array" ref="I127">IFERROR(INDEX(TRANSPOSE(Common_InputFunctions.Utility_SplitStringIntoArray($F68, "/", "(", ")")), 1)*0.01, 0)</f>
        <v>0.25</v>
      </c>
      <c r="J127" s="249" cm="1">
        <f t="array" ref="J127">IFERROR(INDEX(TRANSPOSE(Common_InputFunctions.Utility_SplitStringIntoArray($F68, "/", "(", ")")), 2)*0.01, 0)</f>
        <v>0.15</v>
      </c>
      <c r="K127" s="249" cm="1">
        <f t="array" ref="K127">IFERROR(INDEX(TRANSPOSE(Common_InputFunctions.Utility_SplitStringIntoArray($F68, "/", "(", ")")), 3)*0.01, 0)</f>
        <v>0.6</v>
      </c>
      <c r="L127" s="249" cm="1">
        <f t="array" ref="L127">IFERROR(INDEX(TRANSPOSE(Common_InputFunctions.Utility_SplitStringIntoArray($F68, "/", "(", ")")), 4)*0.01, 0)</f>
        <v>0</v>
      </c>
      <c r="M127" s="249" cm="1">
        <f t="array" ref="M127">IFERROR(Table_RefrigerantBlends_Cleaned[[#This Row],[Constituent 1 fraction]]*Common_InputFunctions.Utility_LookupValueInTableNumber(Table_RefrigerantBlends_Cleaned[[#This Row],[Constituent 1]], Table_RefrigerantChemicalGWP[Gas - FC name], Table_RefrigerantChemicalGWP[Global warming potential (AR5)]),"")</f>
        <v>169.25</v>
      </c>
      <c r="N127" s="249" cm="1">
        <f t="array" ref="N127">IFERROR(Table_RefrigerantBlends_Cleaned[[#This Row],[Constituent 2 fraction]]*Common_InputFunctions.Utility_LookupValueInTableNumber(Table_RefrigerantBlends_Cleaned[[#This Row],[Constituent 2]], Table_RefrigerantChemicalGWP[Gas - FC name], Table_RefrigerantChemicalGWP[Global warming potential (AR5)]), "")</f>
        <v>475.5</v>
      </c>
      <c r="O127" s="249" cm="1">
        <f t="array" ref="O127">IFERROR(Table_RefrigerantBlends_Cleaned[[#This Row],[Constituent 3 fraction]]*Common_InputFunctions.Utility_LookupValueInTableNumber(Table_RefrigerantBlends_Cleaned[[#This Row],[Constituent 3]], Table_RefrigerantChemicalGWP[Gas - FC name], Table_RefrigerantChemicalGWP[Global warming potential (AR5)]), "")</f>
        <v>780</v>
      </c>
      <c r="P127" s="249" cm="1">
        <f t="array" ref="P12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7" s="249" cm="1">
        <f t="array" ref="Q12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581.63750000000005</v>
      </c>
    </row>
    <row r="128" spans="4:17" ht="20.100000000000001" customHeight="1" x14ac:dyDescent="0.25">
      <c r="D128" s="249" t="str">
        <f t="shared" si="0"/>
        <v>R-408A</v>
      </c>
      <c r="E128" s="249" t="str" cm="1">
        <f t="array" ref="E128">IFERROR(INDEX(TRANSPOSE(Common_InputFunctions.Utility_SplitStringIntoArray($E69, "/")), 1), "")</f>
        <v>HFC-125</v>
      </c>
      <c r="F128" s="249" t="str" cm="1">
        <f t="array" ref="F128">IFERROR(INDEX(TRANSPOSE(Common_InputFunctions.Utility_SplitStringIntoArray($E69, "/")), 2), "")</f>
        <v>HFC-143a</v>
      </c>
      <c r="G128" s="249" t="str" cm="1">
        <f t="array" ref="G128">IFERROR(INDEX(TRANSPOSE(Common_InputFunctions.Utility_SplitStringIntoArray($E69, "/")), 3), "")</f>
        <v>HCFC-22</v>
      </c>
      <c r="H128" s="249" t="str" cm="1">
        <f t="array" ref="H128">IFERROR(INDEX(TRANSPOSE(Common_InputFunctions.Utility_SplitStringIntoArray($E69, "/")), 4), "")</f>
        <v/>
      </c>
      <c r="I128" s="249" cm="1">
        <f t="array" ref="I128">IFERROR(INDEX(TRANSPOSE(Common_InputFunctions.Utility_SplitStringIntoArray($F69, "/", "(", ")")), 1)*0.01, 0)</f>
        <v>7.0000000000000007E-2</v>
      </c>
      <c r="J128" s="249" cm="1">
        <f t="array" ref="J128">IFERROR(INDEX(TRANSPOSE(Common_InputFunctions.Utility_SplitStringIntoArray($F69, "/", "(", ")")), 2)*0.01, 0)</f>
        <v>0.46</v>
      </c>
      <c r="K128" s="249" cm="1">
        <f t="array" ref="K128">IFERROR(INDEX(TRANSPOSE(Common_InputFunctions.Utility_SplitStringIntoArray($F69, "/", "(", ")")), 3)*0.01, 0)</f>
        <v>0.47000000000000003</v>
      </c>
      <c r="L128" s="249" cm="1">
        <f t="array" ref="L128">IFERROR(INDEX(TRANSPOSE(Common_InputFunctions.Utility_SplitStringIntoArray($F69, "/", "(", ")")), 4)*0.01, 0)</f>
        <v>0</v>
      </c>
      <c r="M128" s="249" cm="1">
        <f t="array" ref="M128">IFERROR(Table_RefrigerantBlends_Cleaned[[#This Row],[Constituent 1 fraction]]*Common_InputFunctions.Utility_LookupValueInTableNumber(Table_RefrigerantBlends_Cleaned[[#This Row],[Constituent 1]], Table_RefrigerantChemicalGWP[Gas - FC name], Table_RefrigerantChemicalGWP[Global warming potential (AR5)]),"")</f>
        <v>221.90000000000003</v>
      </c>
      <c r="N128" s="249" cm="1">
        <f t="array" ref="N128">IFERROR(Table_RefrigerantBlends_Cleaned[[#This Row],[Constituent 2 fraction]]*Common_InputFunctions.Utility_LookupValueInTableNumber(Table_RefrigerantBlends_Cleaned[[#This Row],[Constituent 2]], Table_RefrigerantChemicalGWP[Gas - FC name], Table_RefrigerantChemicalGWP[Global warming potential (AR5)]), "")</f>
        <v>2208</v>
      </c>
      <c r="O128" s="249" cm="1">
        <f t="array" ref="O128">IFERROR(Table_RefrigerantBlends_Cleaned[[#This Row],[Constituent 3 fraction]]*Common_InputFunctions.Utility_LookupValueInTableNumber(Table_RefrigerantBlends_Cleaned[[#This Row],[Constituent 3]], Table_RefrigerantChemicalGWP[Gas - FC name], Table_RefrigerantChemicalGWP[Global warming potential (AR5)]), "")</f>
        <v>827.2</v>
      </c>
      <c r="P128" s="249" cm="1">
        <f t="array" ref="P12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8" s="249" cm="1">
        <f t="array" ref="Q12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1419.9970000000001</v>
      </c>
    </row>
    <row r="129" spans="4:33" ht="20.100000000000001" customHeight="1" x14ac:dyDescent="0.25">
      <c r="D129" s="249" t="str">
        <f t="shared" si="0"/>
        <v>R-409A</v>
      </c>
      <c r="E129" s="249" t="str" cm="1">
        <f t="array" ref="E129">IFERROR(INDEX(TRANSPOSE(Common_InputFunctions.Utility_SplitStringIntoArray($E70, "/")), 1), "")</f>
        <v>HCFC-22</v>
      </c>
      <c r="F129" s="249" t="str" cm="1">
        <f t="array" ref="F129">IFERROR(INDEX(TRANSPOSE(Common_InputFunctions.Utility_SplitStringIntoArray($E70, "/")), 2), "")</f>
        <v>HCFC-124</v>
      </c>
      <c r="G129" s="249" t="str" cm="1">
        <f t="array" ref="G129">IFERROR(INDEX(TRANSPOSE(Common_InputFunctions.Utility_SplitStringIntoArray($E70, "/")), 3), "")</f>
        <v>HCFC-142b</v>
      </c>
      <c r="H129" s="249" t="str" cm="1">
        <f t="array" ref="H129">IFERROR(INDEX(TRANSPOSE(Common_InputFunctions.Utility_SplitStringIntoArray($E70, "/")), 4), "")</f>
        <v/>
      </c>
      <c r="I129" s="249" cm="1">
        <f t="array" ref="I129">IFERROR(INDEX(TRANSPOSE(Common_InputFunctions.Utility_SplitStringIntoArray($F70, "/", "(", ")")), 1)*0.01, 0)</f>
        <v>0.6</v>
      </c>
      <c r="J129" s="249" cm="1">
        <f t="array" ref="J129">IFERROR(INDEX(TRANSPOSE(Common_InputFunctions.Utility_SplitStringIntoArray($F70, "/", "(", ")")), 2)*0.01, 0)</f>
        <v>0.25</v>
      </c>
      <c r="K129" s="249" cm="1">
        <f t="array" ref="K129">IFERROR(INDEX(TRANSPOSE(Common_InputFunctions.Utility_SplitStringIntoArray($F70, "/", "(", ")")), 3)*0.01, 0)</f>
        <v>0.15</v>
      </c>
      <c r="L129" s="249" cm="1">
        <f t="array" ref="L129">IFERROR(INDEX(TRANSPOSE(Common_InputFunctions.Utility_SplitStringIntoArray($F70, "/", "(", ")")), 4)*0.01, 0)</f>
        <v>0</v>
      </c>
      <c r="M129" s="249" cm="1">
        <f t="array" ref="M129">IFERROR(Table_RefrigerantBlends_Cleaned[[#This Row],[Constituent 1 fraction]]*Common_InputFunctions.Utility_LookupValueInTableNumber(Table_RefrigerantBlends_Cleaned[[#This Row],[Constituent 1]], Table_RefrigerantChemicalGWP[Gas - FC name], Table_RefrigerantChemicalGWP[Global warming potential (AR5)]),"")</f>
        <v>1056</v>
      </c>
      <c r="N129" s="249" cm="1">
        <f t="array" ref="N129">IFERROR(Table_RefrigerantBlends_Cleaned[[#This Row],[Constituent 2 fraction]]*Common_InputFunctions.Utility_LookupValueInTableNumber(Table_RefrigerantBlends_Cleaned[[#This Row],[Constituent 2]], Table_RefrigerantChemicalGWP[Gas - FC name], Table_RefrigerantChemicalGWP[Global warming potential (AR5)]), "")</f>
        <v>131.75</v>
      </c>
      <c r="O129" s="249" cm="1">
        <f t="array" ref="O129">IFERROR(Table_RefrigerantBlends_Cleaned[[#This Row],[Constituent 3 fraction]]*Common_InputFunctions.Utility_LookupValueInTableNumber(Table_RefrigerantBlends_Cleaned[[#This Row],[Constituent 3]], Table_RefrigerantChemicalGWP[Gas - FC name], Table_RefrigerantChemicalGWP[Global warming potential (AR5)]), "")</f>
        <v>297</v>
      </c>
      <c r="P129" s="249" cm="1">
        <f t="array" ref="P12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9" s="249" cm="1">
        <f t="array" ref="Q12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711.08749999999998</v>
      </c>
    </row>
    <row r="130" spans="4:33" ht="20.100000000000001" customHeight="1" x14ac:dyDescent="0.25">
      <c r="D130" s="249" t="str">
        <f t="shared" si="0"/>
        <v>R-409B</v>
      </c>
      <c r="E130" s="249" t="str" cm="1">
        <f t="array" ref="E130">IFERROR(INDEX(TRANSPOSE(Common_InputFunctions.Utility_SplitStringIntoArray($E71, "/")), 1), "")</f>
        <v>HCFC-22</v>
      </c>
      <c r="F130" s="249" t="str" cm="1">
        <f t="array" ref="F130">IFERROR(INDEX(TRANSPOSE(Common_InputFunctions.Utility_SplitStringIntoArray($E71, "/")), 2), "")</f>
        <v>HCFC-124</v>
      </c>
      <c r="G130" s="249" t="str" cm="1">
        <f t="array" ref="G130">IFERROR(INDEX(TRANSPOSE(Common_InputFunctions.Utility_SplitStringIntoArray($E71, "/")), 3), "")</f>
        <v>HCFC-142b</v>
      </c>
      <c r="H130" s="249" t="str" cm="1">
        <f t="array" ref="H130">IFERROR(INDEX(TRANSPOSE(Common_InputFunctions.Utility_SplitStringIntoArray($E71, "/")), 4), "")</f>
        <v/>
      </c>
      <c r="I130" s="249" cm="1">
        <f t="array" ref="I130">IFERROR(INDEX(TRANSPOSE(Common_InputFunctions.Utility_SplitStringIntoArray($F71, "/", "(", ")")), 1)*0.01, 0)</f>
        <v>0.65</v>
      </c>
      <c r="J130" s="249" cm="1">
        <f t="array" ref="J130">IFERROR(INDEX(TRANSPOSE(Common_InputFunctions.Utility_SplitStringIntoArray($F71, "/", "(", ")")), 2)*0.01, 0)</f>
        <v>0.25</v>
      </c>
      <c r="K130" s="249" cm="1">
        <f t="array" ref="K130">IFERROR(INDEX(TRANSPOSE(Common_InputFunctions.Utility_SplitStringIntoArray($F71, "/", "(", ")")), 3)*0.01, 0)</f>
        <v>0.1</v>
      </c>
      <c r="L130" s="249" cm="1">
        <f t="array" ref="L130">IFERROR(INDEX(TRANSPOSE(Common_InputFunctions.Utility_SplitStringIntoArray($F71, "/", "(", ")")), 4)*0.01, 0)</f>
        <v>0</v>
      </c>
      <c r="M130" s="249" cm="1">
        <f t="array" ref="M130">IFERROR(Table_RefrigerantBlends_Cleaned[[#This Row],[Constituent 1 fraction]]*Common_InputFunctions.Utility_LookupValueInTableNumber(Table_RefrigerantBlends_Cleaned[[#This Row],[Constituent 1]], Table_RefrigerantChemicalGWP[Gas - FC name], Table_RefrigerantChemicalGWP[Global warming potential (AR5)]),"")</f>
        <v>1144</v>
      </c>
      <c r="N130" s="249" cm="1">
        <f t="array" ref="N130">IFERROR(Table_RefrigerantBlends_Cleaned[[#This Row],[Constituent 2 fraction]]*Common_InputFunctions.Utility_LookupValueInTableNumber(Table_RefrigerantBlends_Cleaned[[#This Row],[Constituent 2]], Table_RefrigerantChemicalGWP[Gas - FC name], Table_RefrigerantChemicalGWP[Global warming potential (AR5)]), "")</f>
        <v>131.75</v>
      </c>
      <c r="O130" s="249" cm="1">
        <f t="array" ref="O130">IFERROR(Table_RefrigerantBlends_Cleaned[[#This Row],[Constituent 3 fraction]]*Common_InputFunctions.Utility_LookupValueInTableNumber(Table_RefrigerantBlends_Cleaned[[#This Row],[Constituent 3]], Table_RefrigerantChemicalGWP[Gas - FC name], Table_RefrigerantChemicalGWP[Global warming potential (AR5)]), "")</f>
        <v>198</v>
      </c>
      <c r="P130" s="249" cm="1">
        <f t="array" ref="P13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0" s="249" cm="1">
        <f t="array" ref="Q13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796.33749999999998</v>
      </c>
      <c r="AG130" s="1"/>
    </row>
    <row r="131" spans="4:33" ht="20.100000000000001" customHeight="1" x14ac:dyDescent="0.25">
      <c r="D131" s="249" t="str">
        <f t="shared" si="0"/>
        <v>R-410A</v>
      </c>
      <c r="E131" s="249" t="str" cm="1">
        <f t="array" ref="E131">IFERROR(INDEX(TRANSPOSE(Common_InputFunctions.Utility_SplitStringIntoArray($E72, "/")), 1), "")</f>
        <v>HFC-32</v>
      </c>
      <c r="F131" s="249" t="str" cm="1">
        <f t="array" ref="F131">IFERROR(INDEX(TRANSPOSE(Common_InputFunctions.Utility_SplitStringIntoArray($E72, "/")), 2), "")</f>
        <v>HFC-125</v>
      </c>
      <c r="G131" s="249" t="str" cm="1">
        <f t="array" ref="G131">IFERROR(INDEX(TRANSPOSE(Common_InputFunctions.Utility_SplitStringIntoArray($E72, "/")), 3), "")</f>
        <v/>
      </c>
      <c r="H131" s="249" t="str" cm="1">
        <f t="array" ref="H131">IFERROR(INDEX(TRANSPOSE(Common_InputFunctions.Utility_SplitStringIntoArray($E72, "/")), 4), "")</f>
        <v/>
      </c>
      <c r="I131" s="249" cm="1">
        <f t="array" ref="I131">IFERROR(INDEX(TRANSPOSE(Common_InputFunctions.Utility_SplitStringIntoArray($F72, "/", "(", ")")), 1)*0.01, 0)</f>
        <v>0.5</v>
      </c>
      <c r="J131" s="249" cm="1">
        <f t="array" ref="J131">IFERROR(INDEX(TRANSPOSE(Common_InputFunctions.Utility_SplitStringIntoArray($F72, "/", "(", ")")), 2)*0.01, 0)</f>
        <v>0.5</v>
      </c>
      <c r="K131" s="249" cm="1">
        <f t="array" ref="K131">IFERROR(INDEX(TRANSPOSE(Common_InputFunctions.Utility_SplitStringIntoArray($F72, "/", "(", ")")), 3)*0.01, 0)</f>
        <v>0</v>
      </c>
      <c r="L131" s="249" cm="1">
        <f t="array" ref="L131">IFERROR(INDEX(TRANSPOSE(Common_InputFunctions.Utility_SplitStringIntoArray($F72, "/", "(", ")")), 4)*0.01, 0)</f>
        <v>0</v>
      </c>
      <c r="M131" s="249" cm="1">
        <f t="array" ref="M131">IFERROR(Table_RefrigerantBlends_Cleaned[[#This Row],[Constituent 1 fraction]]*Common_InputFunctions.Utility_LookupValueInTableNumber(Table_RefrigerantBlends_Cleaned[[#This Row],[Constituent 1]], Table_RefrigerantChemicalGWP[Gas - FC name], Table_RefrigerantChemicalGWP[Global warming potential (AR5)]),"")</f>
        <v>338.5</v>
      </c>
      <c r="N131" s="249" cm="1">
        <f t="array" ref="N131">IFERROR(Table_RefrigerantBlends_Cleaned[[#This Row],[Constituent 2 fraction]]*Common_InputFunctions.Utility_LookupValueInTableNumber(Table_RefrigerantBlends_Cleaned[[#This Row],[Constituent 2]], Table_RefrigerantChemicalGWP[Gas - FC name], Table_RefrigerantChemicalGWP[Global warming potential (AR5)]), "")</f>
        <v>1585</v>
      </c>
      <c r="O131" s="249" cm="1">
        <f t="array" ref="O13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1" s="249" cm="1">
        <f t="array" ref="P13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1" s="249" cm="1">
        <f t="array" ref="Q13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961.75</v>
      </c>
      <c r="AG131" s="1"/>
    </row>
    <row r="132" spans="4:33" ht="20.100000000000001" customHeight="1" x14ac:dyDescent="0.25">
      <c r="D132" s="249" t="str">
        <f t="shared" si="0"/>
        <v>R-410B</v>
      </c>
      <c r="E132" s="249" t="str" cm="1">
        <f t="array" ref="E132">IFERROR(INDEX(TRANSPOSE(Common_InputFunctions.Utility_SplitStringIntoArray($E73, "/")), 1), "")</f>
        <v>HFC-32</v>
      </c>
      <c r="F132" s="249" t="str" cm="1">
        <f t="array" ref="F132">IFERROR(INDEX(TRANSPOSE(Common_InputFunctions.Utility_SplitStringIntoArray($E73, "/")), 2), "")</f>
        <v>HFC-125</v>
      </c>
      <c r="G132" s="249" t="str" cm="1">
        <f t="array" ref="G132">IFERROR(INDEX(TRANSPOSE(Common_InputFunctions.Utility_SplitStringIntoArray($E73, "/")), 3), "")</f>
        <v/>
      </c>
      <c r="H132" s="249" t="str" cm="1">
        <f t="array" ref="H132">IFERROR(INDEX(TRANSPOSE(Common_InputFunctions.Utility_SplitStringIntoArray($E73, "/")), 4), "")</f>
        <v/>
      </c>
      <c r="I132" s="249" cm="1">
        <f t="array" ref="I132">IFERROR(INDEX(TRANSPOSE(Common_InputFunctions.Utility_SplitStringIntoArray($F73, "/", "(", ")")), 1)*0.01, 0)</f>
        <v>0.45</v>
      </c>
      <c r="J132" s="249" cm="1">
        <f t="array" ref="J132">IFERROR(INDEX(TRANSPOSE(Common_InputFunctions.Utility_SplitStringIntoArray($F73, "/", "(", ")")), 2)*0.01, 0)</f>
        <v>0.55000000000000004</v>
      </c>
      <c r="K132" s="249" cm="1">
        <f t="array" ref="K132">IFERROR(INDEX(TRANSPOSE(Common_InputFunctions.Utility_SplitStringIntoArray($F73, "/", "(", ")")), 3)*0.01, 0)</f>
        <v>0</v>
      </c>
      <c r="L132" s="249" cm="1">
        <f t="array" ref="L132">IFERROR(INDEX(TRANSPOSE(Common_InputFunctions.Utility_SplitStringIntoArray($F73, "/", "(", ")")), 4)*0.01, 0)</f>
        <v>0</v>
      </c>
      <c r="M132" s="249" cm="1">
        <f t="array" ref="M132">IFERROR(Table_RefrigerantBlends_Cleaned[[#This Row],[Constituent 1 fraction]]*Common_InputFunctions.Utility_LookupValueInTableNumber(Table_RefrigerantBlends_Cleaned[[#This Row],[Constituent 1]], Table_RefrigerantChemicalGWP[Gas - FC name], Table_RefrigerantChemicalGWP[Global warming potential (AR5)]),"")</f>
        <v>304.65000000000003</v>
      </c>
      <c r="N132" s="249" cm="1">
        <f t="array" ref="N132">IFERROR(Table_RefrigerantBlends_Cleaned[[#This Row],[Constituent 2 fraction]]*Common_InputFunctions.Utility_LookupValueInTableNumber(Table_RefrigerantBlends_Cleaned[[#This Row],[Constituent 2]], Table_RefrigerantChemicalGWP[Gas - FC name], Table_RefrigerantChemicalGWP[Global warming potential (AR5)]), "")</f>
        <v>1743.5000000000002</v>
      </c>
      <c r="O132" s="249" cm="1">
        <f t="array" ref="O13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2" s="249" cm="1">
        <f t="array" ref="P13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2" s="249" cm="1">
        <f t="array" ref="Q13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1096.0175000000002</v>
      </c>
      <c r="AG132" s="1"/>
    </row>
    <row r="133" spans="4:33" ht="20.100000000000001" customHeight="1" x14ac:dyDescent="0.25">
      <c r="D133" s="249" t="str">
        <f t="shared" si="0"/>
        <v>R-411A</v>
      </c>
      <c r="E133" s="249" t="str" cm="1">
        <f t="array" ref="E133">IFERROR(INDEX(TRANSPOSE(Common_InputFunctions.Utility_SplitStringIntoArray($E74, "/")), 1), "")</f>
        <v>HC-1270</v>
      </c>
      <c r="F133" s="249" t="str" cm="1">
        <f t="array" ref="F133">IFERROR(INDEX(TRANSPOSE(Common_InputFunctions.Utility_SplitStringIntoArray($E74, "/")), 2), "")</f>
        <v>HCFC-22</v>
      </c>
      <c r="G133" s="249" t="str" cm="1">
        <f t="array" ref="G133">IFERROR(INDEX(TRANSPOSE(Common_InputFunctions.Utility_SplitStringIntoArray($E74, "/")), 3), "")</f>
        <v>HFC-152a</v>
      </c>
      <c r="H133" s="249" t="str" cm="1">
        <f t="array" ref="H133">IFERROR(INDEX(TRANSPOSE(Common_InputFunctions.Utility_SplitStringIntoArray($E74, "/")), 4), "")</f>
        <v/>
      </c>
      <c r="I133" s="249" cm="1">
        <f t="array" ref="I133">IFERROR(INDEX(TRANSPOSE(Common_InputFunctions.Utility_SplitStringIntoArray($F74, "/", "(", ")")), 1)*0.01, 0)</f>
        <v>1.4999999999999999E-2</v>
      </c>
      <c r="J133" s="249" cm="1">
        <f t="array" ref="J133">IFERROR(INDEX(TRANSPOSE(Common_InputFunctions.Utility_SplitStringIntoArray($F74, "/", "(", ")")), 2)*0.01, 0)</f>
        <v>0.875</v>
      </c>
      <c r="K133" s="249" cm="1">
        <f t="array" ref="K133">IFERROR(INDEX(TRANSPOSE(Common_InputFunctions.Utility_SplitStringIntoArray($F74, "/", "(", ")")), 3)*0.01, 0)</f>
        <v>0.11</v>
      </c>
      <c r="L133" s="249" cm="1">
        <f t="array" ref="L133">IFERROR(INDEX(TRANSPOSE(Common_InputFunctions.Utility_SplitStringIntoArray($F74, "/", "(", ")")), 4)*0.01, 0)</f>
        <v>0</v>
      </c>
      <c r="M133" s="249" cm="1">
        <f t="array" ref="M133">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3" s="249" cm="1">
        <f t="array" ref="N133">IFERROR(Table_RefrigerantBlends_Cleaned[[#This Row],[Constituent 2 fraction]]*Common_InputFunctions.Utility_LookupValueInTableNumber(Table_RefrigerantBlends_Cleaned[[#This Row],[Constituent 2]], Table_RefrigerantChemicalGWP[Gas - FC name], Table_RefrigerantChemicalGWP[Global warming potential (AR5)]), "")</f>
        <v>1540</v>
      </c>
      <c r="O133" s="249" cm="1">
        <f t="array" ref="O133">IFERROR(Table_RefrigerantBlends_Cleaned[[#This Row],[Constituent 3 fraction]]*Common_InputFunctions.Utility_LookupValueInTableNumber(Table_RefrigerantBlends_Cleaned[[#This Row],[Constituent 3]], Table_RefrigerantChemicalGWP[Gas - FC name], Table_RefrigerantChemicalGWP[Global warming potential (AR5)]), "")</f>
        <v>15.18</v>
      </c>
      <c r="P133" s="249" cm="1">
        <f t="array" ref="P13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3" s="249" cm="1">
        <f t="array" ref="Q13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1349.1697999999999</v>
      </c>
      <c r="AG133" s="1"/>
    </row>
    <row r="134" spans="4:33" ht="20.100000000000001" customHeight="1" x14ac:dyDescent="0.25">
      <c r="D134" s="249" t="str">
        <f t="shared" si="0"/>
        <v>R-411B</v>
      </c>
      <c r="E134" s="249" t="str" cm="1">
        <f t="array" ref="E134">IFERROR(INDEX(TRANSPOSE(Common_InputFunctions.Utility_SplitStringIntoArray($E75, "/")), 1), "")</f>
        <v>HC-1270</v>
      </c>
      <c r="F134" s="249" t="str" cm="1">
        <f t="array" ref="F134">IFERROR(INDEX(TRANSPOSE(Common_InputFunctions.Utility_SplitStringIntoArray($E75, "/")), 2), "")</f>
        <v>HCFC-22</v>
      </c>
      <c r="G134" s="249" t="str" cm="1">
        <f t="array" ref="G134">IFERROR(INDEX(TRANSPOSE(Common_InputFunctions.Utility_SplitStringIntoArray($E75, "/")), 3), "")</f>
        <v>HFC-152a</v>
      </c>
      <c r="H134" s="249" t="str" cm="1">
        <f t="array" ref="H134">IFERROR(INDEX(TRANSPOSE(Common_InputFunctions.Utility_SplitStringIntoArray($E75, "/")), 4), "")</f>
        <v/>
      </c>
      <c r="I134" s="249" cm="1">
        <f t="array" ref="I134">IFERROR(INDEX(TRANSPOSE(Common_InputFunctions.Utility_SplitStringIntoArray($F75, "/", "(", ")")), 1)*0.01, 0)</f>
        <v>0.03</v>
      </c>
      <c r="J134" s="249" cm="1">
        <f t="array" ref="J134">IFERROR(INDEX(TRANSPOSE(Common_InputFunctions.Utility_SplitStringIntoArray($F75, "/", "(", ")")), 2)*0.01, 0)</f>
        <v>0.94000000000000006</v>
      </c>
      <c r="K134" s="249" cm="1">
        <f t="array" ref="K134">IFERROR(INDEX(TRANSPOSE(Common_InputFunctions.Utility_SplitStringIntoArray($F75, "/", "(", ")")), 3)*0.01, 0)</f>
        <v>0.03</v>
      </c>
      <c r="L134" s="249" cm="1">
        <f t="array" ref="L134">IFERROR(INDEX(TRANSPOSE(Common_InputFunctions.Utility_SplitStringIntoArray($F75, "/", "(", ")")), 4)*0.01, 0)</f>
        <v>0</v>
      </c>
      <c r="M134" s="249" cm="1">
        <f t="array" ref="M134">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4" s="249" cm="1">
        <f t="array" ref="N134">IFERROR(Table_RefrigerantBlends_Cleaned[[#This Row],[Constituent 2 fraction]]*Common_InputFunctions.Utility_LookupValueInTableNumber(Table_RefrigerantBlends_Cleaned[[#This Row],[Constituent 2]], Table_RefrigerantChemicalGWP[Gas - FC name], Table_RefrigerantChemicalGWP[Global warming potential (AR5)]), "")</f>
        <v>1654.4</v>
      </c>
      <c r="O134" s="249" cm="1">
        <f t="array" ref="O134">IFERROR(Table_RefrigerantBlends_Cleaned[[#This Row],[Constituent 3 fraction]]*Common_InputFunctions.Utility_LookupValueInTableNumber(Table_RefrigerantBlends_Cleaned[[#This Row],[Constituent 3]], Table_RefrigerantChemicalGWP[Gas - FC name], Table_RefrigerantChemicalGWP[Global warming potential (AR5)]), "")</f>
        <v>4.1399999999999997</v>
      </c>
      <c r="P134" s="249" cm="1">
        <f t="array" ref="P13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4" s="249" cm="1">
        <f t="array" ref="Q13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1555.2602000000002</v>
      </c>
      <c r="AG134" s="1"/>
    </row>
    <row r="135" spans="4:33" ht="20.100000000000001" customHeight="1" x14ac:dyDescent="0.25">
      <c r="D135" s="249" t="str">
        <f t="shared" si="0"/>
        <v>R-411C</v>
      </c>
      <c r="E135" s="249" t="str" cm="1">
        <f t="array" ref="E135">IFERROR(INDEX(TRANSPOSE(Common_InputFunctions.Utility_SplitStringIntoArray($E76, "/")), 1), "")</f>
        <v>HC-1270</v>
      </c>
      <c r="F135" s="249" t="str" cm="1">
        <f t="array" ref="F135">IFERROR(INDEX(TRANSPOSE(Common_InputFunctions.Utility_SplitStringIntoArray($E76, "/")), 2), "")</f>
        <v>HCFC-22</v>
      </c>
      <c r="G135" s="249" t="str" cm="1">
        <f t="array" ref="G135">IFERROR(INDEX(TRANSPOSE(Common_InputFunctions.Utility_SplitStringIntoArray($E76, "/")), 3), "")</f>
        <v>HFC-152a</v>
      </c>
      <c r="H135" s="249" t="str" cm="1">
        <f t="array" ref="H135">IFERROR(INDEX(TRANSPOSE(Common_InputFunctions.Utility_SplitStringIntoArray($E76, "/")), 4), "")</f>
        <v/>
      </c>
      <c r="I135" s="249" cm="1">
        <f t="array" ref="I135">IFERROR(INDEX(TRANSPOSE(Common_InputFunctions.Utility_SplitStringIntoArray($F76, "/", "(", ")")), 1)*0.01, 0)</f>
        <v>0.03</v>
      </c>
      <c r="J135" s="249" cm="1">
        <f t="array" ref="J135">IFERROR(INDEX(TRANSPOSE(Common_InputFunctions.Utility_SplitStringIntoArray($F76, "/", "(", ")")), 2)*0.01, 0)</f>
        <v>0.95500000000000007</v>
      </c>
      <c r="K135" s="249" cm="1">
        <f t="array" ref="K135">IFERROR(INDEX(TRANSPOSE(Common_InputFunctions.Utility_SplitStringIntoArray($F76, "/", "(", ")")), 3)*0.01, 0)</f>
        <v>1.4999999999999999E-2</v>
      </c>
      <c r="L135" s="249" cm="1">
        <f t="array" ref="L135">IFERROR(INDEX(TRANSPOSE(Common_InputFunctions.Utility_SplitStringIntoArray($F76, "/", "(", ")")), 4)*0.01, 0)</f>
        <v>0</v>
      </c>
      <c r="M135" s="249" cm="1">
        <f t="array" ref="M135">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5" s="249" cm="1">
        <f t="array" ref="N135">IFERROR(Table_RefrigerantBlends_Cleaned[[#This Row],[Constituent 2 fraction]]*Common_InputFunctions.Utility_LookupValueInTableNumber(Table_RefrigerantBlends_Cleaned[[#This Row],[Constituent 2]], Table_RefrigerantChemicalGWP[Gas - FC name], Table_RefrigerantChemicalGWP[Global warming potential (AR5)]), "")</f>
        <v>1680.8000000000002</v>
      </c>
      <c r="O135" s="249" cm="1">
        <f t="array" ref="O135">IFERROR(Table_RefrigerantBlends_Cleaned[[#This Row],[Constituent 3 fraction]]*Common_InputFunctions.Utility_LookupValueInTableNumber(Table_RefrigerantBlends_Cleaned[[#This Row],[Constituent 3]], Table_RefrigerantChemicalGWP[Gas - FC name], Table_RefrigerantChemicalGWP[Global warming potential (AR5)]), "")</f>
        <v>2.0699999999999998</v>
      </c>
      <c r="P135" s="249" cm="1">
        <f t="array" ref="P13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5" s="249" cm="1">
        <f t="array" ref="Q13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1605.1950500000003</v>
      </c>
      <c r="AG135" s="1"/>
    </row>
    <row r="136" spans="4:33" ht="20.100000000000001" customHeight="1" x14ac:dyDescent="0.25">
      <c r="D136" s="249" t="str">
        <f t="shared" si="0"/>
        <v>R-412A</v>
      </c>
      <c r="E136" s="249" t="str" cm="1">
        <f t="array" ref="E136">IFERROR(INDEX(TRANSPOSE(Common_InputFunctions.Utility_SplitStringIntoArray($E77, "/")), 1), "")</f>
        <v>HCFC-22</v>
      </c>
      <c r="F136" s="249" t="str" cm="1">
        <f t="array" ref="F136">IFERROR(INDEX(TRANSPOSE(Common_InputFunctions.Utility_SplitStringIntoArray($E77, "/")), 2), "")</f>
        <v>PFC-218</v>
      </c>
      <c r="G136" s="249" t="str" cm="1">
        <f t="array" ref="G136">IFERROR(INDEX(TRANSPOSE(Common_InputFunctions.Utility_SplitStringIntoArray($E77, "/")), 3), "")</f>
        <v>HCFC-142b</v>
      </c>
      <c r="H136" s="249" t="str" cm="1">
        <f t="array" ref="H136">IFERROR(INDEX(TRANSPOSE(Common_InputFunctions.Utility_SplitStringIntoArray($E77, "/")), 4), "")</f>
        <v/>
      </c>
      <c r="I136" s="249" cm="1">
        <f t="array" ref="I136">IFERROR(INDEX(TRANSPOSE(Common_InputFunctions.Utility_SplitStringIntoArray($F77, "/", "(", ")")), 1)*0.01, 0)</f>
        <v>0.70000000000000007</v>
      </c>
      <c r="J136" s="249" cm="1">
        <f t="array" ref="J136">IFERROR(INDEX(TRANSPOSE(Common_InputFunctions.Utility_SplitStringIntoArray($F77, "/", "(", ")")), 2)*0.01, 0)</f>
        <v>0.05</v>
      </c>
      <c r="K136" s="249" cm="1">
        <f t="array" ref="K136">IFERROR(INDEX(TRANSPOSE(Common_InputFunctions.Utility_SplitStringIntoArray($F77, "/", "(", ")")), 3)*0.01, 0)</f>
        <v>0.25</v>
      </c>
      <c r="L136" s="249" cm="1">
        <f t="array" ref="L136">IFERROR(INDEX(TRANSPOSE(Common_InputFunctions.Utility_SplitStringIntoArray($F77, "/", "(", ")")), 4)*0.01, 0)</f>
        <v>0</v>
      </c>
      <c r="M136" s="249" cm="1">
        <f t="array" ref="M136">IFERROR(Table_RefrigerantBlends_Cleaned[[#This Row],[Constituent 1 fraction]]*Common_InputFunctions.Utility_LookupValueInTableNumber(Table_RefrigerantBlends_Cleaned[[#This Row],[Constituent 1]], Table_RefrigerantChemicalGWP[Gas - FC name], Table_RefrigerantChemicalGWP[Global warming potential (AR5)]),"")</f>
        <v>1232.0000000000002</v>
      </c>
      <c r="N136" s="249" cm="1">
        <f t="array" ref="N136">IFERROR(Table_RefrigerantBlends_Cleaned[[#This Row],[Constituent 2 fraction]]*Common_InputFunctions.Utility_LookupValueInTableNumber(Table_RefrigerantBlends_Cleaned[[#This Row],[Constituent 2]], Table_RefrigerantChemicalGWP[Gas - FC name], Table_RefrigerantChemicalGWP[Global warming potential (AR5)]), "")</f>
        <v>445</v>
      </c>
      <c r="O136" s="249" cm="1">
        <f t="array" ref="O136">IFERROR(Table_RefrigerantBlends_Cleaned[[#This Row],[Constituent 3 fraction]]*Common_InputFunctions.Utility_LookupValueInTableNumber(Table_RefrigerantBlends_Cleaned[[#This Row],[Constituent 3]], Table_RefrigerantChemicalGWP[Gas - FC name], Table_RefrigerantChemicalGWP[Global warming potential (AR5)]), "")</f>
        <v>495</v>
      </c>
      <c r="P136" s="249" cm="1">
        <f t="array" ref="P13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6" s="249" cm="1">
        <f t="array" ref="Q13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1008.4000000000002</v>
      </c>
      <c r="AG136" s="1"/>
    </row>
    <row r="137" spans="4:33" ht="20.100000000000001" customHeight="1" x14ac:dyDescent="0.25">
      <c r="D137" s="249" t="str">
        <f t="shared" si="0"/>
        <v>R-413A</v>
      </c>
      <c r="E137" s="249" t="str" cm="1">
        <f t="array" ref="E137">IFERROR(INDEX(TRANSPOSE(Common_InputFunctions.Utility_SplitStringIntoArray($E78, "/")), 1), "")</f>
        <v>PFC-218</v>
      </c>
      <c r="F137" s="249" t="str" cm="1">
        <f t="array" ref="F137">IFERROR(INDEX(TRANSPOSE(Common_InputFunctions.Utility_SplitStringIntoArray($E78, "/")), 2), "")</f>
        <v>HFC-134a</v>
      </c>
      <c r="G137" s="249" t="str" cm="1">
        <f t="array" ref="G137">IFERROR(INDEX(TRANSPOSE(Common_InputFunctions.Utility_SplitStringIntoArray($E78, "/")), 3), "")</f>
        <v>HC-600a</v>
      </c>
      <c r="H137" s="249" t="str" cm="1">
        <f t="array" ref="H137">IFERROR(INDEX(TRANSPOSE(Common_InputFunctions.Utility_SplitStringIntoArray($E78, "/")), 4), "")</f>
        <v/>
      </c>
      <c r="I137" s="249" cm="1">
        <f t="array" ref="I137">IFERROR(INDEX(TRANSPOSE(Common_InputFunctions.Utility_SplitStringIntoArray($F78, "/", "(", ")")), 1)*0.01, 0)</f>
        <v>0.09</v>
      </c>
      <c r="J137" s="249" cm="1">
        <f t="array" ref="J137">IFERROR(INDEX(TRANSPOSE(Common_InputFunctions.Utility_SplitStringIntoArray($F78, "/", "(", ")")), 2)*0.01, 0)</f>
        <v>0.88</v>
      </c>
      <c r="K137" s="249" cm="1">
        <f t="array" ref="K137">IFERROR(INDEX(TRANSPOSE(Common_InputFunctions.Utility_SplitStringIntoArray($F78, "/", "(", ")")), 3)*0.01, 0)</f>
        <v>0.03</v>
      </c>
      <c r="L137" s="249" cm="1">
        <f t="array" ref="L137">IFERROR(INDEX(TRANSPOSE(Common_InputFunctions.Utility_SplitStringIntoArray($F78, "/", "(", ")")), 4)*0.01, 0)</f>
        <v>0</v>
      </c>
      <c r="M137" s="249" cm="1">
        <f t="array" ref="M137">IFERROR(Table_RefrigerantBlends_Cleaned[[#This Row],[Constituent 1 fraction]]*Common_InputFunctions.Utility_LookupValueInTableNumber(Table_RefrigerantBlends_Cleaned[[#This Row],[Constituent 1]], Table_RefrigerantChemicalGWP[Gas - FC name], Table_RefrigerantChemicalGWP[Global warming potential (AR5)]),"")</f>
        <v>801</v>
      </c>
      <c r="N137" s="249" cm="1">
        <f t="array" ref="N137">IFERROR(Table_RefrigerantBlends_Cleaned[[#This Row],[Constituent 2 fraction]]*Common_InputFunctions.Utility_LookupValueInTableNumber(Table_RefrigerantBlends_Cleaned[[#This Row],[Constituent 2]], Table_RefrigerantChemicalGWP[Gas - FC name], Table_RefrigerantChemicalGWP[Global warming potential (AR5)]), "")</f>
        <v>1144</v>
      </c>
      <c r="O137" s="249" cm="1">
        <f t="array" ref="O13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7" s="249" cm="1">
        <f t="array" ref="P13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7" s="249" cm="1">
        <f t="array" ref="Q13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1078.81</v>
      </c>
      <c r="AG137" s="1"/>
    </row>
    <row r="138" spans="4:33" ht="20.100000000000001" customHeight="1" x14ac:dyDescent="0.25">
      <c r="D138" s="249" t="str">
        <f t="shared" si="0"/>
        <v>R-414A</v>
      </c>
      <c r="E138" s="249" t="str" cm="1">
        <f t="array" ref="E138">IFERROR(INDEX(TRANSPOSE(Common_InputFunctions.Utility_SplitStringIntoArray($E79, "/")), 1), "")</f>
        <v>HCFC-22</v>
      </c>
      <c r="F138" s="249" t="str" cm="1">
        <f t="array" ref="F138">IFERROR(INDEX(TRANSPOSE(Common_InputFunctions.Utility_SplitStringIntoArray($E79, "/")), 2), "")</f>
        <v>HCFC-124</v>
      </c>
      <c r="G138" s="249" t="str" cm="1">
        <f t="array" ref="G138">IFERROR(INDEX(TRANSPOSE(Common_InputFunctions.Utility_SplitStringIntoArray($E79, "/")), 3), "")</f>
        <v>HC-600a</v>
      </c>
      <c r="H138" s="249" t="str" cm="1">
        <f t="array" ref="H138">IFERROR(INDEX(TRANSPOSE(Common_InputFunctions.Utility_SplitStringIntoArray($E79, "/")), 4), "")</f>
        <v>HCFC-142b</v>
      </c>
      <c r="I138" s="249" cm="1">
        <f t="array" ref="I138">IFERROR(INDEX(TRANSPOSE(Common_InputFunctions.Utility_SplitStringIntoArray($F79, "/", "(", ")")), 1)*0.01, 0)</f>
        <v>0.51</v>
      </c>
      <c r="J138" s="249" cm="1">
        <f t="array" ref="J138">IFERROR(INDEX(TRANSPOSE(Common_InputFunctions.Utility_SplitStringIntoArray($F79, "/", "(", ")")), 2)*0.01, 0)</f>
        <v>0.28500000000000003</v>
      </c>
      <c r="K138" s="249" cm="1">
        <f t="array" ref="K138">IFERROR(INDEX(TRANSPOSE(Common_InputFunctions.Utility_SplitStringIntoArray($F79, "/", "(", ")")), 3)*0.01, 0)</f>
        <v>0.04</v>
      </c>
      <c r="L138" s="249" cm="1">
        <f t="array" ref="L138">IFERROR(INDEX(TRANSPOSE(Common_InputFunctions.Utility_SplitStringIntoArray($F79, "/", "(", ")")), 4)*0.01, 0)</f>
        <v>0.16500000000000001</v>
      </c>
      <c r="M138" s="249" cm="1">
        <f t="array" ref="M138">IFERROR(Table_RefrigerantBlends_Cleaned[[#This Row],[Constituent 1 fraction]]*Common_InputFunctions.Utility_LookupValueInTableNumber(Table_RefrigerantBlends_Cleaned[[#This Row],[Constituent 1]], Table_RefrigerantChemicalGWP[Gas - FC name], Table_RefrigerantChemicalGWP[Global warming potential (AR5)]),"")</f>
        <v>897.6</v>
      </c>
      <c r="N138" s="249" cm="1">
        <f t="array" ref="N138">IFERROR(Table_RefrigerantBlends_Cleaned[[#This Row],[Constituent 2 fraction]]*Common_InputFunctions.Utility_LookupValueInTableNumber(Table_RefrigerantBlends_Cleaned[[#This Row],[Constituent 2]], Table_RefrigerantChemicalGWP[Gas - FC name], Table_RefrigerantChemicalGWP[Global warming potential (AR5)]), "")</f>
        <v>150.19500000000002</v>
      </c>
      <c r="O138" s="249" cm="1">
        <f t="array" ref="O13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8" s="249" cm="1">
        <f t="array" ref="P138">IFERROR(Table_RefrigerantBlends_Cleaned[[#This Row],[Constituent 4 fraction]]*Common_InputFunctions.Utility_LookupValueInTableNumber(Table_RefrigerantBlends_Cleaned[[#This Row],[Constituent 4]], Table_RefrigerantChemicalGWP[Gas - FC name], Table_RefrigerantChemicalGWP[Global warming potential (AR5)]), "")</f>
        <v>326.7</v>
      </c>
      <c r="Q138" s="249" cm="1">
        <f t="array" ref="Q13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554.487075</v>
      </c>
      <c r="AG138" s="1"/>
    </row>
    <row r="139" spans="4:33" ht="20.100000000000001" customHeight="1" x14ac:dyDescent="0.25">
      <c r="D139" s="249" t="str">
        <f t="shared" si="0"/>
        <v>R-414B</v>
      </c>
      <c r="E139" s="249" t="str" cm="1">
        <f t="array" ref="E139">IFERROR(INDEX(TRANSPOSE(Common_InputFunctions.Utility_SplitStringIntoArray($E80, "/")), 1), "")</f>
        <v>HCFC-22</v>
      </c>
      <c r="F139" s="249" t="str" cm="1">
        <f t="array" ref="F139">IFERROR(INDEX(TRANSPOSE(Common_InputFunctions.Utility_SplitStringIntoArray($E80, "/")), 2), "")</f>
        <v>HCFC-124</v>
      </c>
      <c r="G139" s="249" t="str" cm="1">
        <f t="array" ref="G139">IFERROR(INDEX(TRANSPOSE(Common_InputFunctions.Utility_SplitStringIntoArray($E80, "/")), 3), "")</f>
        <v>HC-600a</v>
      </c>
      <c r="H139" s="249" t="str" cm="1">
        <f t="array" ref="H139">IFERROR(INDEX(TRANSPOSE(Common_InputFunctions.Utility_SplitStringIntoArray($E80, "/")), 4), "")</f>
        <v>HCFC-142b</v>
      </c>
      <c r="I139" s="249" cm="1">
        <f t="array" ref="I139">IFERROR(INDEX(TRANSPOSE(Common_InputFunctions.Utility_SplitStringIntoArray($F80, "/", "(", ")")), 1)*0.01, 0)</f>
        <v>0.5</v>
      </c>
      <c r="J139" s="249" cm="1">
        <f t="array" ref="J139">IFERROR(INDEX(TRANSPOSE(Common_InputFunctions.Utility_SplitStringIntoArray($F80, "/", "(", ")")), 2)*0.01, 0)</f>
        <v>0.39</v>
      </c>
      <c r="K139" s="249" cm="1">
        <f t="array" ref="K139">IFERROR(INDEX(TRANSPOSE(Common_InputFunctions.Utility_SplitStringIntoArray($F80, "/", "(", ")")), 3)*0.01, 0)</f>
        <v>1.4999999999999999E-2</v>
      </c>
      <c r="L139" s="249" cm="1">
        <f t="array" ref="L139">IFERROR(INDEX(TRANSPOSE(Common_InputFunctions.Utility_SplitStringIntoArray($F80, "/", "(", ")")), 4)*0.01, 0)</f>
        <v>9.5000000000000001E-2</v>
      </c>
      <c r="M139" s="249" cm="1">
        <f t="array" ref="M139">IFERROR(Table_RefrigerantBlends_Cleaned[[#This Row],[Constituent 1 fraction]]*Common_InputFunctions.Utility_LookupValueInTableNumber(Table_RefrigerantBlends_Cleaned[[#This Row],[Constituent 1]], Table_RefrigerantChemicalGWP[Gas - FC name], Table_RefrigerantChemicalGWP[Global warming potential (AR5)]),"")</f>
        <v>880</v>
      </c>
      <c r="N139" s="249" cm="1">
        <f t="array" ref="N139">IFERROR(Table_RefrigerantBlends_Cleaned[[#This Row],[Constituent 2 fraction]]*Common_InputFunctions.Utility_LookupValueInTableNumber(Table_RefrigerantBlends_Cleaned[[#This Row],[Constituent 2]], Table_RefrigerantChemicalGWP[Gas - FC name], Table_RefrigerantChemicalGWP[Global warming potential (AR5)]), "")</f>
        <v>205.53</v>
      </c>
      <c r="O139" s="249" cm="1">
        <f t="array" ref="O13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9" s="249" cm="1">
        <f t="array" ref="P139">IFERROR(Table_RefrigerantBlends_Cleaned[[#This Row],[Constituent 4 fraction]]*Common_InputFunctions.Utility_LookupValueInTableNumber(Table_RefrigerantBlends_Cleaned[[#This Row],[Constituent 4]], Table_RefrigerantChemicalGWP[Gas - FC name], Table_RefrigerantChemicalGWP[Global warming potential (AR5)]), "")</f>
        <v>188.1</v>
      </c>
      <c r="Q139" s="249" cm="1">
        <f t="array" ref="Q13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538.02620000000002</v>
      </c>
      <c r="AG139" s="1"/>
    </row>
    <row r="140" spans="4:33" ht="20.100000000000001" customHeight="1" x14ac:dyDescent="0.25">
      <c r="D140" s="249" t="str">
        <f t="shared" si="0"/>
        <v>R-415A</v>
      </c>
      <c r="E140" s="249" t="str" cm="1">
        <f t="array" ref="E140">IFERROR(INDEX(TRANSPOSE(Common_InputFunctions.Utility_SplitStringIntoArray($E81, "/")), 1), "")</f>
        <v>HCFC-22</v>
      </c>
      <c r="F140" s="249" t="str" cm="1">
        <f t="array" ref="F140">IFERROR(INDEX(TRANSPOSE(Common_InputFunctions.Utility_SplitStringIntoArray($E81, "/")), 2), "")</f>
        <v>HFC-152a</v>
      </c>
      <c r="G140" s="249" t="str" cm="1">
        <f t="array" ref="G140">IFERROR(INDEX(TRANSPOSE(Common_InputFunctions.Utility_SplitStringIntoArray($E81, "/")), 3), "")</f>
        <v/>
      </c>
      <c r="H140" s="249" t="str" cm="1">
        <f t="array" ref="H140">IFERROR(INDEX(TRANSPOSE(Common_InputFunctions.Utility_SplitStringIntoArray($E81, "/")), 4), "")</f>
        <v/>
      </c>
      <c r="I140" s="249" cm="1">
        <f t="array" ref="I140">IFERROR(INDEX(TRANSPOSE(Common_InputFunctions.Utility_SplitStringIntoArray($F81, "/", "(", ")")), 1)*0.01, 0)</f>
        <v>0.82000000000000006</v>
      </c>
      <c r="J140" s="249" cm="1">
        <f t="array" ref="J140">IFERROR(INDEX(TRANSPOSE(Common_InputFunctions.Utility_SplitStringIntoArray($F81, "/", "(", ")")), 2)*0.01, 0)</f>
        <v>0.18</v>
      </c>
      <c r="K140" s="249" cm="1">
        <f t="array" ref="K140">IFERROR(INDEX(TRANSPOSE(Common_InputFunctions.Utility_SplitStringIntoArray($F81, "/", "(", ")")), 3)*0.01, 0)</f>
        <v>0</v>
      </c>
      <c r="L140" s="249" cm="1">
        <f t="array" ref="L140">IFERROR(INDEX(TRANSPOSE(Common_InputFunctions.Utility_SplitStringIntoArray($F81, "/", "(", ")")), 4)*0.01, 0)</f>
        <v>0</v>
      </c>
      <c r="M140" s="249" cm="1">
        <f t="array" ref="M140">IFERROR(Table_RefrigerantBlends_Cleaned[[#This Row],[Constituent 1 fraction]]*Common_InputFunctions.Utility_LookupValueInTableNumber(Table_RefrigerantBlends_Cleaned[[#This Row],[Constituent 1]], Table_RefrigerantChemicalGWP[Gas - FC name], Table_RefrigerantChemicalGWP[Global warming potential (AR5)]),"")</f>
        <v>1443.2</v>
      </c>
      <c r="N140" s="249" cm="1">
        <f t="array" ref="N140">IFERROR(Table_RefrigerantBlends_Cleaned[[#This Row],[Constituent 2 fraction]]*Common_InputFunctions.Utility_LookupValueInTableNumber(Table_RefrigerantBlends_Cleaned[[#This Row],[Constituent 2]], Table_RefrigerantChemicalGWP[Gas - FC name], Table_RefrigerantChemicalGWP[Global warming potential (AR5)]), "")</f>
        <v>24.84</v>
      </c>
      <c r="O140" s="249" cm="1">
        <f t="array" ref="O14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0" s="249" cm="1">
        <f t="array" ref="P14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0" s="249" cm="1">
        <f t="array" ref="Q14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1187.8952000000002</v>
      </c>
    </row>
    <row r="141" spans="4:33" ht="20.100000000000001" customHeight="1" x14ac:dyDescent="0.25">
      <c r="D141" s="249" t="str">
        <f t="shared" si="0"/>
        <v>R-415B</v>
      </c>
      <c r="E141" s="249" t="str" cm="1">
        <f t="array" ref="E141">IFERROR(INDEX(TRANSPOSE(Common_InputFunctions.Utility_SplitStringIntoArray($E82, "/")), 1), "")</f>
        <v>HCFC-22</v>
      </c>
      <c r="F141" s="249" t="str" cm="1">
        <f t="array" ref="F141">IFERROR(INDEX(TRANSPOSE(Common_InputFunctions.Utility_SplitStringIntoArray($E82, "/")), 2), "")</f>
        <v>HFC-152a</v>
      </c>
      <c r="G141" s="249" t="str" cm="1">
        <f t="array" ref="G141">IFERROR(INDEX(TRANSPOSE(Common_InputFunctions.Utility_SplitStringIntoArray($E82, "/")), 3), "")</f>
        <v/>
      </c>
      <c r="H141" s="249" t="str" cm="1">
        <f t="array" ref="H141">IFERROR(INDEX(TRANSPOSE(Common_InputFunctions.Utility_SplitStringIntoArray($E82, "/")), 4), "")</f>
        <v/>
      </c>
      <c r="I141" s="249" cm="1">
        <f t="array" ref="I141">IFERROR(INDEX(TRANSPOSE(Common_InputFunctions.Utility_SplitStringIntoArray($F82, "/", "(", ")")), 1)*0.01, 0)</f>
        <v>0.25</v>
      </c>
      <c r="J141" s="249" cm="1">
        <f t="array" ref="J141">IFERROR(INDEX(TRANSPOSE(Common_InputFunctions.Utility_SplitStringIntoArray($F82, "/", "(", ")")), 2)*0.01, 0)</f>
        <v>0.75</v>
      </c>
      <c r="K141" s="249" cm="1">
        <f t="array" ref="K141">IFERROR(INDEX(TRANSPOSE(Common_InputFunctions.Utility_SplitStringIntoArray($F82, "/", "(", ")")), 3)*0.01, 0)</f>
        <v>0</v>
      </c>
      <c r="L141" s="249" cm="1">
        <f t="array" ref="L141">IFERROR(INDEX(TRANSPOSE(Common_InputFunctions.Utility_SplitStringIntoArray($F82, "/", "(", ")")), 4)*0.01, 0)</f>
        <v>0</v>
      </c>
      <c r="M141" s="249" cm="1">
        <f t="array" ref="M141">IFERROR(Table_RefrigerantBlends_Cleaned[[#This Row],[Constituent 1 fraction]]*Common_InputFunctions.Utility_LookupValueInTableNumber(Table_RefrigerantBlends_Cleaned[[#This Row],[Constituent 1]], Table_RefrigerantChemicalGWP[Gas - FC name], Table_RefrigerantChemicalGWP[Global warming potential (AR5)]),"")</f>
        <v>440</v>
      </c>
      <c r="N141" s="249" cm="1">
        <f t="array" ref="N141">IFERROR(Table_RefrigerantBlends_Cleaned[[#This Row],[Constituent 2 fraction]]*Common_InputFunctions.Utility_LookupValueInTableNumber(Table_RefrigerantBlends_Cleaned[[#This Row],[Constituent 2]], Table_RefrigerantChemicalGWP[Gas - FC name], Table_RefrigerantChemicalGWP[Global warming potential (AR5)]), "")</f>
        <v>103.5</v>
      </c>
      <c r="O141" s="249" cm="1">
        <f t="array" ref="O14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1" s="249" cm="1">
        <f t="array" ref="P14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1" s="249" cm="1">
        <f t="array" ref="Q14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187.625</v>
      </c>
    </row>
    <row r="142" spans="4:33" ht="20.100000000000001" customHeight="1" x14ac:dyDescent="0.25">
      <c r="D142" s="249" t="str">
        <f t="shared" si="0"/>
        <v>R-416A</v>
      </c>
      <c r="E142" s="249" t="str" cm="1">
        <f t="array" ref="E142">IFERROR(INDEX(TRANSPOSE(Common_InputFunctions.Utility_SplitStringIntoArray($E83, "/")), 1), "")</f>
        <v>HFC-134a</v>
      </c>
      <c r="F142" s="249" t="str" cm="1">
        <f t="array" ref="F142">IFERROR(INDEX(TRANSPOSE(Common_InputFunctions.Utility_SplitStringIntoArray($E83, "/")), 2), "")</f>
        <v>HCFC-124</v>
      </c>
      <c r="G142" s="249" t="str" cm="1">
        <f t="array" ref="G142">IFERROR(INDEX(TRANSPOSE(Common_InputFunctions.Utility_SplitStringIntoArray($E83, "/")), 3), "")</f>
        <v>HC-600</v>
      </c>
      <c r="H142" s="249" t="str" cm="1">
        <f t="array" ref="H142">IFERROR(INDEX(TRANSPOSE(Common_InputFunctions.Utility_SplitStringIntoArray($E83, "/")), 4), "")</f>
        <v/>
      </c>
      <c r="I142" s="249" cm="1">
        <f t="array" ref="I142">IFERROR(INDEX(TRANSPOSE(Common_InputFunctions.Utility_SplitStringIntoArray($F83, "/", "(", ")")), 1)*0.01, 0)</f>
        <v>0.59</v>
      </c>
      <c r="J142" s="249" cm="1">
        <f t="array" ref="J142">IFERROR(INDEX(TRANSPOSE(Common_InputFunctions.Utility_SplitStringIntoArray($F83, "/", "(", ")")), 2)*0.01, 0)</f>
        <v>0.39500000000000002</v>
      </c>
      <c r="K142" s="249" cm="1">
        <f t="array" ref="K142">IFERROR(INDEX(TRANSPOSE(Common_InputFunctions.Utility_SplitStringIntoArray($F83, "/", "(", ")")), 3)*0.01, 0)</f>
        <v>1.4999999999999999E-2</v>
      </c>
      <c r="L142" s="249" cm="1">
        <f t="array" ref="L142">IFERROR(INDEX(TRANSPOSE(Common_InputFunctions.Utility_SplitStringIntoArray($F83, "/", "(", ")")), 4)*0.01, 0)</f>
        <v>0</v>
      </c>
      <c r="M142" s="249" cm="1">
        <f t="array" ref="M142">IFERROR(Table_RefrigerantBlends_Cleaned[[#This Row],[Constituent 1 fraction]]*Common_InputFunctions.Utility_LookupValueInTableNumber(Table_RefrigerantBlends_Cleaned[[#This Row],[Constituent 1]], Table_RefrigerantChemicalGWP[Gas - FC name], Table_RefrigerantChemicalGWP[Global warming potential (AR5)]),"")</f>
        <v>767</v>
      </c>
      <c r="N142" s="249" cm="1">
        <f t="array" ref="N142">IFERROR(Table_RefrigerantBlends_Cleaned[[#This Row],[Constituent 2 fraction]]*Common_InputFunctions.Utility_LookupValueInTableNumber(Table_RefrigerantBlends_Cleaned[[#This Row],[Constituent 2]], Table_RefrigerantChemicalGWP[Gas - FC name], Table_RefrigerantChemicalGWP[Global warming potential (AR5)]), "")</f>
        <v>208.16500000000002</v>
      </c>
      <c r="O142" s="249" cm="1">
        <f t="array" ref="O14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2" s="249" cm="1">
        <f t="array" ref="P14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2" s="249" cm="1">
        <f t="array" ref="Q14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534.75517500000001</v>
      </c>
    </row>
    <row r="143" spans="4:33" ht="20.100000000000001" customHeight="1" x14ac:dyDescent="0.25">
      <c r="D143" s="249" t="str">
        <f t="shared" si="0"/>
        <v>R-417A</v>
      </c>
      <c r="E143" s="249" t="str" cm="1">
        <f t="array" ref="E143">IFERROR(INDEX(TRANSPOSE(Common_InputFunctions.Utility_SplitStringIntoArray($E84, "/")), 1), "")</f>
        <v>HFC-125</v>
      </c>
      <c r="F143" s="249" t="str" cm="1">
        <f t="array" ref="F143">IFERROR(INDEX(TRANSPOSE(Common_InputFunctions.Utility_SplitStringIntoArray($E84, "/")), 2), "")</f>
        <v>HFC-134a</v>
      </c>
      <c r="G143" s="249" t="str" cm="1">
        <f t="array" ref="G143">IFERROR(INDEX(TRANSPOSE(Common_InputFunctions.Utility_SplitStringIntoArray($E84, "/")), 3), "")</f>
        <v>HC-600</v>
      </c>
      <c r="H143" s="249" t="str" cm="1">
        <f t="array" ref="H143">IFERROR(INDEX(TRANSPOSE(Common_InputFunctions.Utility_SplitStringIntoArray($E84, "/")), 4), "")</f>
        <v/>
      </c>
      <c r="I143" s="249" cm="1">
        <f t="array" ref="I143">IFERROR(INDEX(TRANSPOSE(Common_InputFunctions.Utility_SplitStringIntoArray($F84, "/", "(", ")")), 1)*0.01, 0)</f>
        <v>0.46600000000000003</v>
      </c>
      <c r="J143" s="249" cm="1">
        <f t="array" ref="J143">IFERROR(INDEX(TRANSPOSE(Common_InputFunctions.Utility_SplitStringIntoArray($F84, "/", "(", ")")), 2)*0.01, 0)</f>
        <v>0.5</v>
      </c>
      <c r="K143" s="249" cm="1">
        <f t="array" ref="K143">IFERROR(INDEX(TRANSPOSE(Common_InputFunctions.Utility_SplitStringIntoArray($F84, "/", "(", ")")), 3)*0.01, 0)</f>
        <v>3.4000000000000002E-2</v>
      </c>
      <c r="L143" s="249" cm="1">
        <f t="array" ref="L143">IFERROR(INDEX(TRANSPOSE(Common_InputFunctions.Utility_SplitStringIntoArray($F84, "/", "(", ")")), 4)*0.01, 0)</f>
        <v>0</v>
      </c>
      <c r="M143" s="249" cm="1">
        <f t="array" ref="M143">IFERROR(Table_RefrigerantBlends_Cleaned[[#This Row],[Constituent 1 fraction]]*Common_InputFunctions.Utility_LookupValueInTableNumber(Table_RefrigerantBlends_Cleaned[[#This Row],[Constituent 1]], Table_RefrigerantChemicalGWP[Gas - FC name], Table_RefrigerantChemicalGWP[Global warming potential (AR5)]),"")</f>
        <v>1477.22</v>
      </c>
      <c r="N143" s="249" cm="1">
        <f t="array" ref="N143">IFERROR(Table_RefrigerantBlends_Cleaned[[#This Row],[Constituent 2 fraction]]*Common_InputFunctions.Utility_LookupValueInTableNumber(Table_RefrigerantBlends_Cleaned[[#This Row],[Constituent 2]], Table_RefrigerantChemicalGWP[Gas - FC name], Table_RefrigerantChemicalGWP[Global warming potential (AR5)]), "")</f>
        <v>650</v>
      </c>
      <c r="O143" s="249" cm="1">
        <f t="array" ref="O143">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3" s="249" cm="1">
        <f t="array" ref="P14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3" s="249" cm="1">
        <f t="array" ref="Q14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1013.3845200000001</v>
      </c>
    </row>
    <row r="144" spans="4:33" ht="20.100000000000001" customHeight="1" x14ac:dyDescent="0.25">
      <c r="D144" s="249" t="str">
        <f t="shared" si="0"/>
        <v>R-418A</v>
      </c>
      <c r="E144" s="249" t="str" cm="1">
        <f t="array" ref="E144">IFERROR(INDEX(TRANSPOSE(Common_InputFunctions.Utility_SplitStringIntoArray($E85, "/")), 1), "")</f>
        <v>HC-290</v>
      </c>
      <c r="F144" s="249" t="str" cm="1">
        <f t="array" ref="F144">IFERROR(INDEX(TRANSPOSE(Common_InputFunctions.Utility_SplitStringIntoArray($E85, "/")), 2), "")</f>
        <v>HCFC-22</v>
      </c>
      <c r="G144" s="249" t="str" cm="1">
        <f t="array" ref="G144">IFERROR(INDEX(TRANSPOSE(Common_InputFunctions.Utility_SplitStringIntoArray($E85, "/")), 3), "")</f>
        <v>HFC-152a</v>
      </c>
      <c r="H144" s="249" t="str" cm="1">
        <f t="array" ref="H144">IFERROR(INDEX(TRANSPOSE(Common_InputFunctions.Utility_SplitStringIntoArray($E85, "/")), 4), "")</f>
        <v/>
      </c>
      <c r="I144" s="249" cm="1">
        <f t="array" ref="I144">IFERROR(INDEX(TRANSPOSE(Common_InputFunctions.Utility_SplitStringIntoArray($F85, "/", "(", ")")), 1)*0.01, 0)</f>
        <v>1.4999999999999999E-2</v>
      </c>
      <c r="J144" s="249" cm="1">
        <f t="array" ref="J144">IFERROR(INDEX(TRANSPOSE(Common_InputFunctions.Utility_SplitStringIntoArray($F85, "/", "(", ")")), 2)*0.01, 0)</f>
        <v>0.96</v>
      </c>
      <c r="K144" s="249" cm="1">
        <f t="array" ref="K144">IFERROR(INDEX(TRANSPOSE(Common_InputFunctions.Utility_SplitStringIntoArray($F85, "/", "(", ")")), 3)*0.01, 0)</f>
        <v>2.5000000000000001E-2</v>
      </c>
      <c r="L144" s="249" cm="1">
        <f t="array" ref="L144">IFERROR(INDEX(TRANSPOSE(Common_InputFunctions.Utility_SplitStringIntoArray($F85, "/", "(", ")")), 4)*0.01, 0)</f>
        <v>0</v>
      </c>
      <c r="M144" s="249" cm="1">
        <f t="array" ref="M144">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44" s="249" cm="1">
        <f t="array" ref="N144">IFERROR(Table_RefrigerantBlends_Cleaned[[#This Row],[Constituent 2 fraction]]*Common_InputFunctions.Utility_LookupValueInTableNumber(Table_RefrigerantBlends_Cleaned[[#This Row],[Constituent 2]], Table_RefrigerantChemicalGWP[Gas - FC name], Table_RefrigerantChemicalGWP[Global warming potential (AR5)]), "")</f>
        <v>1689.6</v>
      </c>
      <c r="O144" s="249" cm="1">
        <f t="array" ref="O144">IFERROR(Table_RefrigerantBlends_Cleaned[[#This Row],[Constituent 3 fraction]]*Common_InputFunctions.Utility_LookupValueInTableNumber(Table_RefrigerantBlends_Cleaned[[#This Row],[Constituent 3]], Table_RefrigerantChemicalGWP[Gas - FC name], Table_RefrigerantChemicalGWP[Global warming potential (AR5)]), "")</f>
        <v>3.45</v>
      </c>
      <c r="P144" s="249" cm="1">
        <f t="array" ref="P14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4" s="249" cm="1">
        <f t="array" ref="Q14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1622.1022499999999</v>
      </c>
    </row>
    <row r="145" spans="4:17" ht="20.100000000000001" customHeight="1" x14ac:dyDescent="0.25">
      <c r="D145" s="249" t="str">
        <f t="shared" si="0"/>
        <v>R-419A</v>
      </c>
      <c r="E145" s="249" t="str" cm="1">
        <f t="array" ref="E145">IFERROR(INDEX(TRANSPOSE(Common_InputFunctions.Utility_SplitStringIntoArray($E86, "/")), 1), "")</f>
        <v>HFC-125</v>
      </c>
      <c r="F145" s="249" t="str" cm="1">
        <f t="array" ref="F145">IFERROR(INDEX(TRANSPOSE(Common_InputFunctions.Utility_SplitStringIntoArray($E86, "/")), 2), "")</f>
        <v>HFC-134a</v>
      </c>
      <c r="G145" s="249" t="str" cm="1">
        <f t="array" ref="G145">IFERROR(INDEX(TRANSPOSE(Common_InputFunctions.Utility_SplitStringIntoArray($E86, "/")), 3), "")</f>
        <v>HE-E170</v>
      </c>
      <c r="H145" s="249" t="str" cm="1">
        <f t="array" ref="H145">IFERROR(INDEX(TRANSPOSE(Common_InputFunctions.Utility_SplitStringIntoArray($E86, "/")), 4), "")</f>
        <v/>
      </c>
      <c r="I145" s="249" cm="1">
        <f t="array" ref="I145">IFERROR(INDEX(TRANSPOSE(Common_InputFunctions.Utility_SplitStringIntoArray($F86, "/", "(", ")")), 1)*0.01, 0)</f>
        <v>0.77</v>
      </c>
      <c r="J145" s="249" cm="1">
        <f t="array" ref="J145">IFERROR(INDEX(TRANSPOSE(Common_InputFunctions.Utility_SplitStringIntoArray($F86, "/", "(", ")")), 2)*0.01, 0)</f>
        <v>0.19</v>
      </c>
      <c r="K145" s="249" cm="1">
        <f t="array" ref="K145">IFERROR(INDEX(TRANSPOSE(Common_InputFunctions.Utility_SplitStringIntoArray($F86, "/", "(", ")")), 3)*0.01, 0)</f>
        <v>0.04</v>
      </c>
      <c r="L145" s="249" cm="1">
        <f t="array" ref="L145">IFERROR(INDEX(TRANSPOSE(Common_InputFunctions.Utility_SplitStringIntoArray($F86, "/", "(", ")")), 4)*0.01, 0)</f>
        <v>0</v>
      </c>
      <c r="M145" s="249" cm="1">
        <f t="array" ref="M145">IFERROR(Table_RefrigerantBlends_Cleaned[[#This Row],[Constituent 1 fraction]]*Common_InputFunctions.Utility_LookupValueInTableNumber(Table_RefrigerantBlends_Cleaned[[#This Row],[Constituent 1]], Table_RefrigerantChemicalGWP[Gas - FC name], Table_RefrigerantChemicalGWP[Global warming potential (AR5)]),"")</f>
        <v>2440.9</v>
      </c>
      <c r="N145" s="249" cm="1">
        <f t="array" ref="N145">IFERROR(Table_RefrigerantBlends_Cleaned[[#This Row],[Constituent 2 fraction]]*Common_InputFunctions.Utility_LookupValueInTableNumber(Table_RefrigerantBlends_Cleaned[[#This Row],[Constituent 2]], Table_RefrigerantChemicalGWP[Gas - FC name], Table_RefrigerantChemicalGWP[Global warming potential (AR5)]), "")</f>
        <v>247</v>
      </c>
      <c r="O145" s="249" cm="1">
        <f t="array" ref="O145">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5" s="249" cm="1">
        <f t="array" ref="P14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5" s="249" cm="1">
        <f t="array" ref="Q14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1926.4230000000002</v>
      </c>
    </row>
    <row r="146" spans="4:17" ht="20.100000000000001" customHeight="1" x14ac:dyDescent="0.25">
      <c r="D146" s="249" t="str">
        <f t="shared" si="0"/>
        <v>R-420A</v>
      </c>
      <c r="E146" s="249" t="str" cm="1">
        <f t="array" ref="E146">IFERROR(INDEX(TRANSPOSE(Common_InputFunctions.Utility_SplitStringIntoArray($E87, "/")), 1), "")</f>
        <v>HFC-134a</v>
      </c>
      <c r="F146" s="249" t="str" cm="1">
        <f t="array" ref="F146">IFERROR(INDEX(TRANSPOSE(Common_InputFunctions.Utility_SplitStringIntoArray($E87, "/")), 2), "")</f>
        <v>HCFC-142b</v>
      </c>
      <c r="G146" s="249" t="str" cm="1">
        <f t="array" ref="G146">IFERROR(INDEX(TRANSPOSE(Common_InputFunctions.Utility_SplitStringIntoArray($E87, "/")), 3), "")</f>
        <v/>
      </c>
      <c r="H146" s="249" t="str" cm="1">
        <f t="array" ref="H146">IFERROR(INDEX(TRANSPOSE(Common_InputFunctions.Utility_SplitStringIntoArray($E87, "/")), 4), "")</f>
        <v/>
      </c>
      <c r="I146" s="249" cm="1">
        <f t="array" ref="I146">IFERROR(INDEX(TRANSPOSE(Common_InputFunctions.Utility_SplitStringIntoArray($F87, "/", "(", ")")), 1)*0.01, 0)</f>
        <v>0.88</v>
      </c>
      <c r="J146" s="249" cm="1">
        <f t="array" ref="J146">IFERROR(INDEX(TRANSPOSE(Common_InputFunctions.Utility_SplitStringIntoArray($F87, "/", "(", ")")), 2)*0.01, 0)</f>
        <v>0.12</v>
      </c>
      <c r="K146" s="249" cm="1">
        <f t="array" ref="K146">IFERROR(INDEX(TRANSPOSE(Common_InputFunctions.Utility_SplitStringIntoArray($F87, "/", "(", ")")), 3)*0.01, 0)</f>
        <v>0</v>
      </c>
      <c r="L146" s="249" cm="1">
        <f t="array" ref="L146">IFERROR(INDEX(TRANSPOSE(Common_InputFunctions.Utility_SplitStringIntoArray($F87, "/", "(", ")")), 4)*0.01, 0)</f>
        <v>0</v>
      </c>
      <c r="M146" s="249" cm="1">
        <f t="array" ref="M146">IFERROR(Table_RefrigerantBlends_Cleaned[[#This Row],[Constituent 1 fraction]]*Common_InputFunctions.Utility_LookupValueInTableNumber(Table_RefrigerantBlends_Cleaned[[#This Row],[Constituent 1]], Table_RefrigerantChemicalGWP[Gas - FC name], Table_RefrigerantChemicalGWP[Global warming potential (AR5)]),"")</f>
        <v>1144</v>
      </c>
      <c r="N146" s="249" cm="1">
        <f t="array" ref="N146">IFERROR(Table_RefrigerantBlends_Cleaned[[#This Row],[Constituent 2 fraction]]*Common_InputFunctions.Utility_LookupValueInTableNumber(Table_RefrigerantBlends_Cleaned[[#This Row],[Constituent 2]], Table_RefrigerantChemicalGWP[Gas - FC name], Table_RefrigerantChemicalGWP[Global warming potential (AR5)]), "")</f>
        <v>237.6</v>
      </c>
      <c r="O146" s="249" cm="1">
        <f t="array" ref="O146">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6" s="249" cm="1">
        <f t="array" ref="P14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6" s="249" cm="1">
        <f t="array" ref="Q14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1035.232</v>
      </c>
    </row>
    <row r="147" spans="4:17" ht="20.100000000000001" customHeight="1" x14ac:dyDescent="0.25">
      <c r="D147" s="249" t="str">
        <f t="shared" si="0"/>
        <v>R-421A</v>
      </c>
      <c r="E147" s="249" t="str" cm="1">
        <f t="array" ref="E147">IFERROR(INDEX(TRANSPOSE(Common_InputFunctions.Utility_SplitStringIntoArray($E88, "/")), 1), "")</f>
        <v>HFC-125</v>
      </c>
      <c r="F147" s="249" t="str" cm="1">
        <f t="array" ref="F147">IFERROR(INDEX(TRANSPOSE(Common_InputFunctions.Utility_SplitStringIntoArray($E88, "/")), 2), "")</f>
        <v>HFC-134a</v>
      </c>
      <c r="G147" s="249" t="str" cm="1">
        <f t="array" ref="G147">IFERROR(INDEX(TRANSPOSE(Common_InputFunctions.Utility_SplitStringIntoArray($E88, "/")), 3), "")</f>
        <v/>
      </c>
      <c r="H147" s="249" t="str" cm="1">
        <f t="array" ref="H147">IFERROR(INDEX(TRANSPOSE(Common_InputFunctions.Utility_SplitStringIntoArray($E88, "/")), 4), "")</f>
        <v/>
      </c>
      <c r="I147" s="249" cm="1">
        <f t="array" ref="I147">IFERROR(INDEX(TRANSPOSE(Common_InputFunctions.Utility_SplitStringIntoArray($F88, "/", "(", ")")), 1)*0.01, 0)</f>
        <v>0.57999999999999996</v>
      </c>
      <c r="J147" s="249" cm="1">
        <f t="array" ref="J147">IFERROR(INDEX(TRANSPOSE(Common_InputFunctions.Utility_SplitStringIntoArray($F88, "/", "(", ")")), 2)*0.01, 0)</f>
        <v>0.42</v>
      </c>
      <c r="K147" s="249" cm="1">
        <f t="array" ref="K147">IFERROR(INDEX(TRANSPOSE(Common_InputFunctions.Utility_SplitStringIntoArray($F88, "/", "(", ")")), 3)*0.01, 0)</f>
        <v>0</v>
      </c>
      <c r="L147" s="249" cm="1">
        <f t="array" ref="L147">IFERROR(INDEX(TRANSPOSE(Common_InputFunctions.Utility_SplitStringIntoArray($F88, "/", "(", ")")), 4)*0.01, 0)</f>
        <v>0</v>
      </c>
      <c r="M147" s="249" cm="1">
        <f t="array" ref="M147">IFERROR(Table_RefrigerantBlends_Cleaned[[#This Row],[Constituent 1 fraction]]*Common_InputFunctions.Utility_LookupValueInTableNumber(Table_RefrigerantBlends_Cleaned[[#This Row],[Constituent 1]], Table_RefrigerantChemicalGWP[Gas - FC name], Table_RefrigerantChemicalGWP[Global warming potential (AR5)]),"")</f>
        <v>1838.6</v>
      </c>
      <c r="N147" s="249" cm="1">
        <f t="array" ref="N147">IFERROR(Table_RefrigerantBlends_Cleaned[[#This Row],[Constituent 2 fraction]]*Common_InputFunctions.Utility_LookupValueInTableNumber(Table_RefrigerantBlends_Cleaned[[#This Row],[Constituent 2]], Table_RefrigerantChemicalGWP[Gas - FC name], Table_RefrigerantChemicalGWP[Global warming potential (AR5)]), "")</f>
        <v>546</v>
      </c>
      <c r="O147" s="249" cm="1">
        <f t="array" ref="O14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7" s="249" cm="1">
        <f t="array" ref="P14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7" s="249" cm="1">
        <f t="array" ref="Q14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1295.7079999999999</v>
      </c>
    </row>
    <row r="148" spans="4:17" ht="20.100000000000001" customHeight="1" x14ac:dyDescent="0.25">
      <c r="D148" s="249" t="str">
        <f t="shared" si="0"/>
        <v>R-422A</v>
      </c>
      <c r="E148" s="249" t="str" cm="1">
        <f t="array" ref="E148">IFERROR(INDEX(TRANSPOSE(Common_InputFunctions.Utility_SplitStringIntoArray($E89, "/")), 1), "")</f>
        <v>HFC-125</v>
      </c>
      <c r="F148" s="249" t="str" cm="1">
        <f t="array" ref="F148">IFERROR(INDEX(TRANSPOSE(Common_InputFunctions.Utility_SplitStringIntoArray($E89, "/")), 2), "")</f>
        <v>HFC-134a</v>
      </c>
      <c r="G148" s="249" t="str" cm="1">
        <f t="array" ref="G148">IFERROR(INDEX(TRANSPOSE(Common_InputFunctions.Utility_SplitStringIntoArray($E89, "/")), 3), "")</f>
        <v>HC-600a</v>
      </c>
      <c r="H148" s="249" t="str" cm="1">
        <f t="array" ref="H148">IFERROR(INDEX(TRANSPOSE(Common_InputFunctions.Utility_SplitStringIntoArray($E89, "/")), 4), "")</f>
        <v/>
      </c>
      <c r="I148" s="249" cm="1">
        <f t="array" ref="I148">IFERROR(INDEX(TRANSPOSE(Common_InputFunctions.Utility_SplitStringIntoArray($F89, "/", "(", ")")), 1)*0.01, 0)</f>
        <v>0.85099999999999998</v>
      </c>
      <c r="J148" s="249" cm="1">
        <f t="array" ref="J148">IFERROR(INDEX(TRANSPOSE(Common_InputFunctions.Utility_SplitStringIntoArray($F89, "/", "(", ")")), 2)*0.01, 0)</f>
        <v>0.115</v>
      </c>
      <c r="K148" s="249" cm="1">
        <f t="array" ref="K148">IFERROR(INDEX(TRANSPOSE(Common_InputFunctions.Utility_SplitStringIntoArray($F89, "/", "(", ")")), 3)*0.01, 0)</f>
        <v>3.4000000000000002E-2</v>
      </c>
      <c r="L148" s="249" cm="1">
        <f t="array" ref="L148">IFERROR(INDEX(TRANSPOSE(Common_InputFunctions.Utility_SplitStringIntoArray($F89, "/", "(", ")")), 4)*0.01, 0)</f>
        <v>0</v>
      </c>
      <c r="M148" s="249" cm="1">
        <f t="array" ref="M148">IFERROR(Table_RefrigerantBlends_Cleaned[[#This Row],[Constituent 1 fraction]]*Common_InputFunctions.Utility_LookupValueInTableNumber(Table_RefrigerantBlends_Cleaned[[#This Row],[Constituent 1]], Table_RefrigerantChemicalGWP[Gas - FC name], Table_RefrigerantChemicalGWP[Global warming potential (AR5)]),"")</f>
        <v>2697.67</v>
      </c>
      <c r="N148" s="249" cm="1">
        <f t="array" ref="N148">IFERROR(Table_RefrigerantBlends_Cleaned[[#This Row],[Constituent 2 fraction]]*Common_InputFunctions.Utility_LookupValueInTableNumber(Table_RefrigerantBlends_Cleaned[[#This Row],[Constituent 2]], Table_RefrigerantChemicalGWP[Gas - FC name], Table_RefrigerantChemicalGWP[Global warming potential (AR5)]), "")</f>
        <v>149.5</v>
      </c>
      <c r="O148" s="249" cm="1">
        <f t="array" ref="O14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8" s="249" cm="1">
        <f t="array" ref="P14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8" s="249" cm="1">
        <f t="array" ref="Q14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2312.90967</v>
      </c>
    </row>
    <row r="149" spans="4:17" ht="20.100000000000001" customHeight="1" x14ac:dyDescent="0.25">
      <c r="D149" s="249" t="str">
        <f t="shared" si="0"/>
        <v>R-422B</v>
      </c>
      <c r="E149" s="249" t="str" cm="1">
        <f t="array" ref="E149">IFERROR(INDEX(TRANSPOSE(Common_InputFunctions.Utility_SplitStringIntoArray($E90, "/")), 1), "")</f>
        <v>HFC-125</v>
      </c>
      <c r="F149" s="249" t="str" cm="1">
        <f t="array" ref="F149">IFERROR(INDEX(TRANSPOSE(Common_InputFunctions.Utility_SplitStringIntoArray($E90, "/")), 2), "")</f>
        <v>HFC-134a</v>
      </c>
      <c r="G149" s="249" t="str" cm="1">
        <f t="array" ref="G149">IFERROR(INDEX(TRANSPOSE(Common_InputFunctions.Utility_SplitStringIntoArray($E90, "/")), 3), "")</f>
        <v>HC-600a</v>
      </c>
      <c r="H149" s="249" t="str" cm="1">
        <f t="array" ref="H149">IFERROR(INDEX(TRANSPOSE(Common_InputFunctions.Utility_SplitStringIntoArray($E90, "/")), 4), "")</f>
        <v/>
      </c>
      <c r="I149" s="249" cm="1">
        <f t="array" ref="I149">IFERROR(INDEX(TRANSPOSE(Common_InputFunctions.Utility_SplitStringIntoArray($F90, "/", "(", ")")), 1)*0.01, 0)</f>
        <v>0.55000000000000004</v>
      </c>
      <c r="J149" s="249" cm="1">
        <f t="array" ref="J149">IFERROR(INDEX(TRANSPOSE(Common_InputFunctions.Utility_SplitStringIntoArray($F90, "/", "(", ")")), 2)*0.01, 0)</f>
        <v>0.42</v>
      </c>
      <c r="K149" s="249" cm="1">
        <f t="array" ref="K149">IFERROR(INDEX(TRANSPOSE(Common_InputFunctions.Utility_SplitStringIntoArray($F90, "/", "(", ")")), 3)*0.01, 0)</f>
        <v>0.03</v>
      </c>
      <c r="L149" s="249" cm="1">
        <f t="array" ref="L149">IFERROR(INDEX(TRANSPOSE(Common_InputFunctions.Utility_SplitStringIntoArray($F90, "/", "(", ")")), 4)*0.01, 0)</f>
        <v>0</v>
      </c>
      <c r="M149" s="249" cm="1">
        <f t="array" ref="M149">IFERROR(Table_RefrigerantBlends_Cleaned[[#This Row],[Constituent 1 fraction]]*Common_InputFunctions.Utility_LookupValueInTableNumber(Table_RefrigerantBlends_Cleaned[[#This Row],[Constituent 1]], Table_RefrigerantChemicalGWP[Gas - FC name], Table_RefrigerantChemicalGWP[Global warming potential (AR5)]),"")</f>
        <v>1743.5000000000002</v>
      </c>
      <c r="N149" s="249" cm="1">
        <f t="array" ref="N149">IFERROR(Table_RefrigerantBlends_Cleaned[[#This Row],[Constituent 2 fraction]]*Common_InputFunctions.Utility_LookupValueInTableNumber(Table_RefrigerantBlends_Cleaned[[#This Row],[Constituent 2]], Table_RefrigerantChemicalGWP[Gas - FC name], Table_RefrigerantChemicalGWP[Global warming potential (AR5)]), "")</f>
        <v>546</v>
      </c>
      <c r="O149" s="249" cm="1">
        <f t="array" ref="O14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9" s="249" cm="1">
        <f t="array" ref="P14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9" s="249" cm="1">
        <f t="array" ref="Q14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1188.2450000000001</v>
      </c>
    </row>
    <row r="150" spans="4:17" ht="20.100000000000001" customHeight="1" x14ac:dyDescent="0.25">
      <c r="D150" s="249" t="str">
        <f t="shared" si="0"/>
        <v>R-422C</v>
      </c>
      <c r="E150" s="249" t="str" cm="1">
        <f t="array" ref="E150">IFERROR(INDEX(TRANSPOSE(Common_InputFunctions.Utility_SplitStringIntoArray($E91, "/")), 1), "")</f>
        <v>HFC-125</v>
      </c>
      <c r="F150" s="249" t="str" cm="1">
        <f t="array" ref="F150">IFERROR(INDEX(TRANSPOSE(Common_InputFunctions.Utility_SplitStringIntoArray($E91, "/")), 2), "")</f>
        <v>HFC-134a</v>
      </c>
      <c r="G150" s="249" t="str" cm="1">
        <f t="array" ref="G150">IFERROR(INDEX(TRANSPOSE(Common_InputFunctions.Utility_SplitStringIntoArray($E91, "/")), 3), "")</f>
        <v>HC-600a</v>
      </c>
      <c r="H150" s="249" t="str" cm="1">
        <f t="array" ref="H150">IFERROR(INDEX(TRANSPOSE(Common_InputFunctions.Utility_SplitStringIntoArray($E91, "/")), 4), "")</f>
        <v/>
      </c>
      <c r="I150" s="249" cm="1">
        <f t="array" ref="I150">IFERROR(INDEX(TRANSPOSE(Common_InputFunctions.Utility_SplitStringIntoArray($F91, "/", "(", ")")), 1)*0.01, 0)</f>
        <v>0.82000000000000006</v>
      </c>
      <c r="J150" s="249" cm="1">
        <f t="array" ref="J150">IFERROR(INDEX(TRANSPOSE(Common_InputFunctions.Utility_SplitStringIntoArray($F91, "/", "(", ")")), 2)*0.01, 0)</f>
        <v>0.15</v>
      </c>
      <c r="K150" s="249" cm="1">
        <f t="array" ref="K150">IFERROR(INDEX(TRANSPOSE(Common_InputFunctions.Utility_SplitStringIntoArray($F91, "/", "(", ")")), 3)*0.01, 0)</f>
        <v>0.03</v>
      </c>
      <c r="L150" s="249" cm="1">
        <f t="array" ref="L150">IFERROR(INDEX(TRANSPOSE(Common_InputFunctions.Utility_SplitStringIntoArray($F91, "/", "(", ")")), 4)*0.01, 0)</f>
        <v>0</v>
      </c>
      <c r="M150" s="249" cm="1">
        <f t="array" ref="M150">IFERROR(Table_RefrigerantBlends_Cleaned[[#This Row],[Constituent 1 fraction]]*Common_InputFunctions.Utility_LookupValueInTableNumber(Table_RefrigerantBlends_Cleaned[[#This Row],[Constituent 1]], Table_RefrigerantChemicalGWP[Gas - FC name], Table_RefrigerantChemicalGWP[Global warming potential (AR5)]),"")</f>
        <v>2599.4</v>
      </c>
      <c r="N150" s="249" cm="1">
        <f t="array" ref="N150">IFERROR(Table_RefrigerantBlends_Cleaned[[#This Row],[Constituent 2 fraction]]*Common_InputFunctions.Utility_LookupValueInTableNumber(Table_RefrigerantBlends_Cleaned[[#This Row],[Constituent 2]], Table_RefrigerantChemicalGWP[Gas - FC name], Table_RefrigerantChemicalGWP[Global warming potential (AR5)]), "")</f>
        <v>195</v>
      </c>
      <c r="O150" s="249" cm="1">
        <f t="array" ref="O15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0" s="249" cm="1">
        <f t="array" ref="P15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0" s="249" cm="1">
        <f t="array" ref="Q15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2160.7580000000003</v>
      </c>
    </row>
    <row r="151" spans="4:17" ht="20.100000000000001" customHeight="1" x14ac:dyDescent="0.25">
      <c r="D151" s="249" t="str">
        <f t="shared" si="0"/>
        <v>R-500</v>
      </c>
      <c r="E151" s="249" t="str" cm="1">
        <f t="array" ref="E151">IFERROR(INDEX(TRANSPOSE(Common_InputFunctions.Utility_SplitStringIntoArray($E92, "/")), 1), "")</f>
        <v>CFC-12</v>
      </c>
      <c r="F151" s="249" t="str" cm="1">
        <f t="array" ref="F151">IFERROR(INDEX(TRANSPOSE(Common_InputFunctions.Utility_SplitStringIntoArray($E92, "/")), 2), "")</f>
        <v>HFC-152a</v>
      </c>
      <c r="G151" s="249" t="str" cm="1">
        <f t="array" ref="G151">IFERROR(INDEX(TRANSPOSE(Common_InputFunctions.Utility_SplitStringIntoArray($E92, "/")), 3), "")</f>
        <v/>
      </c>
      <c r="H151" s="249" t="str" cm="1">
        <f t="array" ref="H151">IFERROR(INDEX(TRANSPOSE(Common_InputFunctions.Utility_SplitStringIntoArray($E92, "/")), 4), "")</f>
        <v/>
      </c>
      <c r="I151" s="249" cm="1">
        <f t="array" ref="I151">IFERROR(INDEX(TRANSPOSE(Common_InputFunctions.Utility_SplitStringIntoArray($F92, "/", "(", ")")), 1)*0.01, 0)</f>
        <v>0.73799999999999999</v>
      </c>
      <c r="J151" s="249" cm="1">
        <f t="array" ref="J151">IFERROR(INDEX(TRANSPOSE(Common_InputFunctions.Utility_SplitStringIntoArray($F92, "/", "(", ")")), 2)*0.01, 0)</f>
        <v>0.26200000000000001</v>
      </c>
      <c r="K151" s="249" cm="1">
        <f t="array" ref="K151">IFERROR(INDEX(TRANSPOSE(Common_InputFunctions.Utility_SplitStringIntoArray($F92, "/", "(", ")")), 3)*0.01, 0)</f>
        <v>0</v>
      </c>
      <c r="L151" s="249" cm="1">
        <f t="array" ref="L151">IFERROR(INDEX(TRANSPOSE(Common_InputFunctions.Utility_SplitStringIntoArray($F92, "/", "(", ")")), 4)*0.01, 0)</f>
        <v>0</v>
      </c>
      <c r="M151" s="249" cm="1">
        <f t="array" ref="M151">IFERROR(Table_RefrigerantBlends_Cleaned[[#This Row],[Constituent 1 fraction]]*Common_InputFunctions.Utility_LookupValueInTableNumber(Table_RefrigerantBlends_Cleaned[[#This Row],[Constituent 1]], Table_RefrigerantChemicalGWP[Gas - FC name], Table_RefrigerantChemicalGWP[Global warming potential (AR5)]),"")</f>
        <v>7527.5999999999995</v>
      </c>
      <c r="N151" s="249" cm="1">
        <f t="array" ref="N151">IFERROR(Table_RefrigerantBlends_Cleaned[[#This Row],[Constituent 2 fraction]]*Common_InputFunctions.Utility_LookupValueInTableNumber(Table_RefrigerantBlends_Cleaned[[#This Row],[Constituent 2]], Table_RefrigerantChemicalGWP[Gas - FC name], Table_RefrigerantChemicalGWP[Global warming potential (AR5)]), "")</f>
        <v>36.155999999999999</v>
      </c>
      <c r="O151" s="249" cm="1">
        <f t="array" ref="O15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1" s="249" cm="1">
        <f t="array" ref="P15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1" s="249" cm="1">
        <f t="array" ref="Q15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5564.8416719999996</v>
      </c>
    </row>
    <row r="152" spans="4:17" ht="20.100000000000001" customHeight="1" x14ac:dyDescent="0.25">
      <c r="D152" s="249" t="str">
        <f t="shared" si="0"/>
        <v>R-501</v>
      </c>
      <c r="E152" s="249" t="str" cm="1">
        <f t="array" ref="E152">IFERROR(INDEX(TRANSPOSE(Common_InputFunctions.Utility_SplitStringIntoArray($E93, "/")), 1), "")</f>
        <v>HCFC-22</v>
      </c>
      <c r="F152" s="249" t="str" cm="1">
        <f t="array" ref="F152">IFERROR(INDEX(TRANSPOSE(Common_InputFunctions.Utility_SplitStringIntoArray($E93, "/")), 2), "")</f>
        <v>CFC-12</v>
      </c>
      <c r="G152" s="249" t="str" cm="1">
        <f t="array" ref="G152">IFERROR(INDEX(TRANSPOSE(Common_InputFunctions.Utility_SplitStringIntoArray($E93, "/")), 3), "")</f>
        <v/>
      </c>
      <c r="H152" s="249" t="str" cm="1">
        <f t="array" ref="H152">IFERROR(INDEX(TRANSPOSE(Common_InputFunctions.Utility_SplitStringIntoArray($E93, "/")), 4), "")</f>
        <v/>
      </c>
      <c r="I152" s="249" cm="1">
        <f t="array" ref="I152">IFERROR(INDEX(TRANSPOSE(Common_InputFunctions.Utility_SplitStringIntoArray($F93, "/", "(", ")")), 1)*0.01, 0)</f>
        <v>0.75</v>
      </c>
      <c r="J152" s="249" cm="1">
        <f t="array" ref="J152">IFERROR(INDEX(TRANSPOSE(Common_InputFunctions.Utility_SplitStringIntoArray($F93, "/", "(", ")")), 2)*0.01, 0)</f>
        <v>0.25</v>
      </c>
      <c r="K152" s="249" cm="1">
        <f t="array" ref="K152">IFERROR(INDEX(TRANSPOSE(Common_InputFunctions.Utility_SplitStringIntoArray($F93, "/", "(", ")")), 3)*0.01, 0)</f>
        <v>0</v>
      </c>
      <c r="L152" s="249" cm="1">
        <f t="array" ref="L152">IFERROR(INDEX(TRANSPOSE(Common_InputFunctions.Utility_SplitStringIntoArray($F93, "/", "(", ")")), 4)*0.01, 0)</f>
        <v>0</v>
      </c>
      <c r="M152" s="249" cm="1">
        <f t="array" ref="M152">IFERROR(Table_RefrigerantBlends_Cleaned[[#This Row],[Constituent 1 fraction]]*Common_InputFunctions.Utility_LookupValueInTableNumber(Table_RefrigerantBlends_Cleaned[[#This Row],[Constituent 1]], Table_RefrigerantChemicalGWP[Gas - FC name], Table_RefrigerantChemicalGWP[Global warming potential (AR5)]),"")</f>
        <v>1320</v>
      </c>
      <c r="N152" s="249" cm="1">
        <f t="array" ref="N152">IFERROR(Table_RefrigerantBlends_Cleaned[[#This Row],[Constituent 2 fraction]]*Common_InputFunctions.Utility_LookupValueInTableNumber(Table_RefrigerantBlends_Cleaned[[#This Row],[Constituent 2]], Table_RefrigerantChemicalGWP[Gas - FC name], Table_RefrigerantChemicalGWP[Global warming potential (AR5)]), "")</f>
        <v>2550</v>
      </c>
      <c r="O152" s="249" cm="1">
        <f t="array" ref="O15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2" s="249" cm="1">
        <f t="array" ref="P15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2" s="249" cm="1">
        <f t="array" ref="Q15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1627.5</v>
      </c>
    </row>
    <row r="153" spans="4:17" ht="20.100000000000001" customHeight="1" x14ac:dyDescent="0.25">
      <c r="D153" s="249" t="str">
        <f t="shared" si="0"/>
        <v>R-502</v>
      </c>
      <c r="E153" s="249" t="str" cm="1">
        <f t="array" ref="E153">IFERROR(INDEX(TRANSPOSE(Common_InputFunctions.Utility_SplitStringIntoArray($E94, "/")), 1), "")</f>
        <v>HCFC-22</v>
      </c>
      <c r="F153" s="249" t="str" cm="1">
        <f t="array" ref="F153">IFERROR(INDEX(TRANSPOSE(Common_InputFunctions.Utility_SplitStringIntoArray($E94, "/")), 2), "")</f>
        <v>CFC-115</v>
      </c>
      <c r="G153" s="249" t="str" cm="1">
        <f t="array" ref="G153">IFERROR(INDEX(TRANSPOSE(Common_InputFunctions.Utility_SplitStringIntoArray($E94, "/")), 3), "")</f>
        <v/>
      </c>
      <c r="H153" s="249" t="str" cm="1">
        <f t="array" ref="H153">IFERROR(INDEX(TRANSPOSE(Common_InputFunctions.Utility_SplitStringIntoArray($E94, "/")), 4), "")</f>
        <v/>
      </c>
      <c r="I153" s="249" cm="1">
        <f t="array" ref="I153">IFERROR(INDEX(TRANSPOSE(Common_InputFunctions.Utility_SplitStringIntoArray($F94, "/", "(", ")")), 1)*0.01, 0)</f>
        <v>0.48799999999999999</v>
      </c>
      <c r="J153" s="249" cm="1">
        <f t="array" ref="J153">IFERROR(INDEX(TRANSPOSE(Common_InputFunctions.Utility_SplitStringIntoArray($F94, "/", "(", ")")), 2)*0.01, 0)</f>
        <v>0.51200000000000001</v>
      </c>
      <c r="K153" s="249" cm="1">
        <f t="array" ref="K153">IFERROR(INDEX(TRANSPOSE(Common_InputFunctions.Utility_SplitStringIntoArray($F94, "/", "(", ")")), 3)*0.01, 0)</f>
        <v>0</v>
      </c>
      <c r="L153" s="249" cm="1">
        <f t="array" ref="L153">IFERROR(INDEX(TRANSPOSE(Common_InputFunctions.Utility_SplitStringIntoArray($F94, "/", "(", ")")), 4)*0.01, 0)</f>
        <v>0</v>
      </c>
      <c r="M153" s="249" cm="1">
        <f t="array" ref="M153">IFERROR(Table_RefrigerantBlends_Cleaned[[#This Row],[Constituent 1 fraction]]*Common_InputFunctions.Utility_LookupValueInTableNumber(Table_RefrigerantBlends_Cleaned[[#This Row],[Constituent 1]], Table_RefrigerantChemicalGWP[Gas - FC name], Table_RefrigerantChemicalGWP[Global warming potential (AR5)]),"")</f>
        <v>858.88</v>
      </c>
      <c r="N153" s="249" cm="1">
        <f t="array" ref="N153">IFERROR(Table_RefrigerantBlends_Cleaned[[#This Row],[Constituent 2 fraction]]*Common_InputFunctions.Utility_LookupValueInTableNumber(Table_RefrigerantBlends_Cleaned[[#This Row],[Constituent 2]], Table_RefrigerantChemicalGWP[Gas - FC name], Table_RefrigerantChemicalGWP[Global warming potential (AR5)]), "")</f>
        <v>3927.04</v>
      </c>
      <c r="O153" s="249" cm="1">
        <f t="array" ref="O153">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3" s="249" cm="1">
        <f t="array" ref="P15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3" s="249" cm="1">
        <f t="array" ref="Q15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2429.77792</v>
      </c>
    </row>
    <row r="154" spans="4:17" ht="20.100000000000001" customHeight="1" x14ac:dyDescent="0.25">
      <c r="D154" s="249" t="str">
        <f t="shared" si="0"/>
        <v>R-503</v>
      </c>
      <c r="E154" s="249" t="str" cm="1">
        <f t="array" ref="E154">IFERROR(INDEX(TRANSPOSE(Common_InputFunctions.Utility_SplitStringIntoArray($E95, "/")), 1), "")</f>
        <v>HFC-23</v>
      </c>
      <c r="F154" s="249" t="str" cm="1">
        <f t="array" ref="F154">IFERROR(INDEX(TRANSPOSE(Common_InputFunctions.Utility_SplitStringIntoArray($E95, "/")), 2), "")</f>
        <v>CFC-13</v>
      </c>
      <c r="G154" s="249" t="str" cm="1">
        <f t="array" ref="G154">IFERROR(INDEX(TRANSPOSE(Common_InputFunctions.Utility_SplitStringIntoArray($E95, "/")), 3), "")</f>
        <v/>
      </c>
      <c r="H154" s="249" t="str" cm="1">
        <f t="array" ref="H154">IFERROR(INDEX(TRANSPOSE(Common_InputFunctions.Utility_SplitStringIntoArray($E95, "/")), 4), "")</f>
        <v/>
      </c>
      <c r="I154" s="249" cm="1">
        <f t="array" ref="I154">IFERROR(INDEX(TRANSPOSE(Common_InputFunctions.Utility_SplitStringIntoArray($F95, "/", "(", ")")), 1)*0.01, 0)</f>
        <v>0.40100000000000002</v>
      </c>
      <c r="J154" s="249" cm="1">
        <f t="array" ref="J154">IFERROR(INDEX(TRANSPOSE(Common_InputFunctions.Utility_SplitStringIntoArray($F95, "/", "(", ")")), 2)*0.01, 0)</f>
        <v>0.59899999999999998</v>
      </c>
      <c r="K154" s="249" cm="1">
        <f t="array" ref="K154">IFERROR(INDEX(TRANSPOSE(Common_InputFunctions.Utility_SplitStringIntoArray($F95, "/", "(", ")")), 3)*0.01, 0)</f>
        <v>0</v>
      </c>
      <c r="L154" s="249" cm="1">
        <f t="array" ref="L154">IFERROR(INDEX(TRANSPOSE(Common_InputFunctions.Utility_SplitStringIntoArray($F95, "/", "(", ")")), 4)*0.01, 0)</f>
        <v>0</v>
      </c>
      <c r="M154" s="249" cm="1">
        <f t="array" ref="M154">IFERROR(Table_RefrigerantBlends_Cleaned[[#This Row],[Constituent 1 fraction]]*Common_InputFunctions.Utility_LookupValueInTableNumber(Table_RefrigerantBlends_Cleaned[[#This Row],[Constituent 1]], Table_RefrigerantChemicalGWP[Gas - FC name], Table_RefrigerantChemicalGWP[Global warming potential (AR5)]),"")</f>
        <v>4972.4000000000005</v>
      </c>
      <c r="N154" s="249" cm="1">
        <f t="array" ref="N154">IFERROR(Table_RefrigerantBlends_Cleaned[[#This Row],[Constituent 2 fraction]]*Common_InputFunctions.Utility_LookupValueInTableNumber(Table_RefrigerantBlends_Cleaned[[#This Row],[Constituent 2]], Table_RefrigerantChemicalGWP[Gas - FC name], Table_RefrigerantChemicalGWP[Global warming potential (AR5)]), "")</f>
        <v>8326.1</v>
      </c>
      <c r="O154" s="249" cm="1">
        <f t="array" ref="O154">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4" s="249" cm="1">
        <f t="array" ref="P15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4" s="249" cm="1">
        <f t="array" ref="Q15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6981.2663000000002</v>
      </c>
    </row>
    <row r="155" spans="4:17" ht="20.100000000000001" customHeight="1" x14ac:dyDescent="0.25">
      <c r="D155" s="249" t="str">
        <f t="shared" si="0"/>
        <v>R-504</v>
      </c>
      <c r="E155" s="249" t="str" cm="1">
        <f t="array" ref="E155">IFERROR(INDEX(TRANSPOSE(Common_InputFunctions.Utility_SplitStringIntoArray($E96, "/")), 1), "")</f>
        <v>HFC-32</v>
      </c>
      <c r="F155" s="249" t="str" cm="1">
        <f t="array" ref="F155">IFERROR(INDEX(TRANSPOSE(Common_InputFunctions.Utility_SplitStringIntoArray($E96, "/")), 2), "")</f>
        <v>CFC-115</v>
      </c>
      <c r="G155" s="249" t="str" cm="1">
        <f t="array" ref="G155">IFERROR(INDEX(TRANSPOSE(Common_InputFunctions.Utility_SplitStringIntoArray($E96, "/")), 3), "")</f>
        <v/>
      </c>
      <c r="H155" s="249" t="str" cm="1">
        <f t="array" ref="H155">IFERROR(INDEX(TRANSPOSE(Common_InputFunctions.Utility_SplitStringIntoArray($E96, "/")), 4), "")</f>
        <v/>
      </c>
      <c r="I155" s="249" cm="1">
        <f t="array" ref="I155">IFERROR(INDEX(TRANSPOSE(Common_InputFunctions.Utility_SplitStringIntoArray($F96, "/", "(", ")")), 1)*0.01, 0)</f>
        <v>0.48200000000000004</v>
      </c>
      <c r="J155" s="249" cm="1">
        <f t="array" ref="J155">IFERROR(INDEX(TRANSPOSE(Common_InputFunctions.Utility_SplitStringIntoArray($F96, "/", "(", ")")), 2)*0.01, 0)</f>
        <v>0.51800000000000002</v>
      </c>
      <c r="K155" s="249" cm="1">
        <f t="array" ref="K155">IFERROR(INDEX(TRANSPOSE(Common_InputFunctions.Utility_SplitStringIntoArray($F96, "/", "(", ")")), 3)*0.01, 0)</f>
        <v>0</v>
      </c>
      <c r="L155" s="249" cm="1">
        <f t="array" ref="L155">IFERROR(INDEX(TRANSPOSE(Common_InputFunctions.Utility_SplitStringIntoArray($F96, "/", "(", ")")), 4)*0.01, 0)</f>
        <v>0</v>
      </c>
      <c r="M155" s="249" cm="1">
        <f t="array" ref="M155">IFERROR(Table_RefrigerantBlends_Cleaned[[#This Row],[Constituent 1 fraction]]*Common_InputFunctions.Utility_LookupValueInTableNumber(Table_RefrigerantBlends_Cleaned[[#This Row],[Constituent 1]], Table_RefrigerantChemicalGWP[Gas - FC name], Table_RefrigerantChemicalGWP[Global warming potential (AR5)]),"")</f>
        <v>326.31400000000002</v>
      </c>
      <c r="N155" s="249" cm="1">
        <f t="array" ref="N155">IFERROR(Table_RefrigerantBlends_Cleaned[[#This Row],[Constituent 2 fraction]]*Common_InputFunctions.Utility_LookupValueInTableNumber(Table_RefrigerantBlends_Cleaned[[#This Row],[Constituent 2]], Table_RefrigerantChemicalGWP[Gas - FC name], Table_RefrigerantChemicalGWP[Global warming potential (AR5)]), "")</f>
        <v>3973.06</v>
      </c>
      <c r="O155" s="249" cm="1">
        <f t="array" ref="O155">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5" s="249" cm="1">
        <f t="array" ref="P15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5" s="249" cm="1">
        <f t="array" ref="Q15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2215.3284279999998</v>
      </c>
    </row>
    <row r="156" spans="4:17" ht="20.100000000000001" customHeight="1" x14ac:dyDescent="0.25">
      <c r="D156" s="249" t="str">
        <f t="shared" si="0"/>
        <v>R-505</v>
      </c>
      <c r="E156" s="249" t="str" cm="1">
        <f t="array" ref="E156">IFERROR(INDEX(TRANSPOSE(Common_InputFunctions.Utility_SplitStringIntoArray($E97, "/")), 1), "")</f>
        <v>CFC-12</v>
      </c>
      <c r="F156" s="249" t="str" cm="1">
        <f t="array" ref="F156">IFERROR(INDEX(TRANSPOSE(Common_InputFunctions.Utility_SplitStringIntoArray($E97, "/")), 2), "")</f>
        <v>HCFC-31</v>
      </c>
      <c r="G156" s="249" t="str" cm="1">
        <f t="array" ref="G156">IFERROR(INDEX(TRANSPOSE(Common_InputFunctions.Utility_SplitStringIntoArray($E97, "/")), 3), "")</f>
        <v/>
      </c>
      <c r="H156" s="249" t="str" cm="1">
        <f t="array" ref="H156">IFERROR(INDEX(TRANSPOSE(Common_InputFunctions.Utility_SplitStringIntoArray($E97, "/")), 4), "")</f>
        <v/>
      </c>
      <c r="I156" s="249" cm="1">
        <f t="array" ref="I156">IFERROR(INDEX(TRANSPOSE(Common_InputFunctions.Utility_SplitStringIntoArray($F97, "/", "(", ")")), 1)*0.01, 0)</f>
        <v>0.78</v>
      </c>
      <c r="J156" s="249" cm="1">
        <f t="array" ref="J156">IFERROR(INDEX(TRANSPOSE(Common_InputFunctions.Utility_SplitStringIntoArray($F97, "/", "(", ")")), 2)*0.01, 0)</f>
        <v>0.22</v>
      </c>
      <c r="K156" s="249" cm="1">
        <f t="array" ref="K156">IFERROR(INDEX(TRANSPOSE(Common_InputFunctions.Utility_SplitStringIntoArray($F97, "/", "(", ")")), 3)*0.01, 0)</f>
        <v>0</v>
      </c>
      <c r="L156" s="249" cm="1">
        <f t="array" ref="L156">IFERROR(INDEX(TRANSPOSE(Common_InputFunctions.Utility_SplitStringIntoArray($F97, "/", "(", ")")), 4)*0.01, 0)</f>
        <v>0</v>
      </c>
      <c r="M156" s="249" cm="1">
        <f t="array" ref="M156">IFERROR(Table_RefrigerantBlends_Cleaned[[#This Row],[Constituent 1 fraction]]*Common_InputFunctions.Utility_LookupValueInTableNumber(Table_RefrigerantBlends_Cleaned[[#This Row],[Constituent 1]], Table_RefrigerantChemicalGWP[Gas - FC name], Table_RefrigerantChemicalGWP[Global warming potential (AR5)]),"")</f>
        <v>7956</v>
      </c>
      <c r="N156" s="249" cm="1">
        <f t="array" ref="N156">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56" s="249" cm="1">
        <f t="array" ref="O156">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6" s="249" cm="1">
        <f t="array" ref="P15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6" s="249" cm="1">
        <f t="array" ref="Q15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6205.68</v>
      </c>
    </row>
    <row r="157" spans="4:17" ht="20.100000000000001" customHeight="1" x14ac:dyDescent="0.25">
      <c r="D157" s="249" t="str">
        <f t="shared" si="0"/>
        <v>R-506</v>
      </c>
      <c r="E157" s="249" t="str" cm="1">
        <f t="array" ref="E157">IFERROR(INDEX(TRANSPOSE(Common_InputFunctions.Utility_SplitStringIntoArray($E98, "/")), 1), "")</f>
        <v>CFC-31</v>
      </c>
      <c r="F157" s="249" t="str" cm="1">
        <f t="array" ref="F157">IFERROR(INDEX(TRANSPOSE(Common_InputFunctions.Utility_SplitStringIntoArray($E98, "/")), 2), "")</f>
        <v>CFC-114</v>
      </c>
      <c r="G157" s="249" t="str" cm="1">
        <f t="array" ref="G157">IFERROR(INDEX(TRANSPOSE(Common_InputFunctions.Utility_SplitStringIntoArray($E98, "/")), 3), "")</f>
        <v/>
      </c>
      <c r="H157" s="249" t="str" cm="1">
        <f t="array" ref="H157">IFERROR(INDEX(TRANSPOSE(Common_InputFunctions.Utility_SplitStringIntoArray($E98, "/")), 4), "")</f>
        <v/>
      </c>
      <c r="I157" s="249" cm="1">
        <f t="array" ref="I157">IFERROR(INDEX(TRANSPOSE(Common_InputFunctions.Utility_SplitStringIntoArray($F98, "/", "(", ")")), 1)*0.01, 0)</f>
        <v>0.55100000000000005</v>
      </c>
      <c r="J157" s="249" cm="1">
        <f t="array" ref="J157">IFERROR(INDEX(TRANSPOSE(Common_InputFunctions.Utility_SplitStringIntoArray($F98, "/", "(", ")")), 2)*0.01, 0)</f>
        <v>0.44900000000000001</v>
      </c>
      <c r="K157" s="249" cm="1">
        <f t="array" ref="K157">IFERROR(INDEX(TRANSPOSE(Common_InputFunctions.Utility_SplitStringIntoArray($F98, "/", "(", ")")), 3)*0.01, 0)</f>
        <v>0</v>
      </c>
      <c r="L157" s="249" cm="1">
        <f t="array" ref="L157">IFERROR(INDEX(TRANSPOSE(Common_InputFunctions.Utility_SplitStringIntoArray($F98, "/", "(", ")")), 4)*0.01, 0)</f>
        <v>0</v>
      </c>
      <c r="M157" s="249" cm="1">
        <f t="array" ref="M157">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57" s="249" cm="1">
        <f t="array" ref="N157">IFERROR(Table_RefrigerantBlends_Cleaned[[#This Row],[Constituent 2 fraction]]*Common_InputFunctions.Utility_LookupValueInTableNumber(Table_RefrigerantBlends_Cleaned[[#This Row],[Constituent 2]], Table_RefrigerantChemicalGWP[Gas - FC name], Table_RefrigerantChemicalGWP[Global warming potential (AR5)]), "")</f>
        <v>3856.9100000000003</v>
      </c>
      <c r="O157" s="249" cm="1">
        <f t="array" ref="O15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7" s="249" cm="1">
        <f t="array" ref="P15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7" s="249" cm="1">
        <f t="array" ref="Q15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1731.7525900000003</v>
      </c>
    </row>
    <row r="158" spans="4:17" ht="20.100000000000001" customHeight="1" x14ac:dyDescent="0.25">
      <c r="D158" s="249" t="str">
        <f t="shared" si="0"/>
        <v>R-507A</v>
      </c>
      <c r="E158" s="249" t="str" cm="1">
        <f t="array" ref="E158">IFERROR(INDEX(TRANSPOSE(Common_InputFunctions.Utility_SplitStringIntoArray($E99, "/")), 1), "")</f>
        <v>HFC-125</v>
      </c>
      <c r="F158" s="249" t="str" cm="1">
        <f t="array" ref="F158">IFERROR(INDEX(TRANSPOSE(Common_InputFunctions.Utility_SplitStringIntoArray($E99, "/")), 2), "")</f>
        <v>HFC-143a</v>
      </c>
      <c r="G158" s="249" t="str" cm="1">
        <f t="array" ref="G158">IFERROR(INDEX(TRANSPOSE(Common_InputFunctions.Utility_SplitStringIntoArray($E99, "/")), 3), "")</f>
        <v/>
      </c>
      <c r="H158" s="249" t="str" cm="1">
        <f t="array" ref="H158">IFERROR(INDEX(TRANSPOSE(Common_InputFunctions.Utility_SplitStringIntoArray($E99, "/")), 4), "")</f>
        <v/>
      </c>
      <c r="I158" s="249" cm="1">
        <f t="array" ref="I158">IFERROR(INDEX(TRANSPOSE(Common_InputFunctions.Utility_SplitStringIntoArray($F99, "/", "(", ")")), 1)*0.01, 0)</f>
        <v>0.5</v>
      </c>
      <c r="J158" s="249" cm="1">
        <f t="array" ref="J158">IFERROR(INDEX(TRANSPOSE(Common_InputFunctions.Utility_SplitStringIntoArray($F99, "/", "(", ")")), 2)*0.01, 0)</f>
        <v>0.5</v>
      </c>
      <c r="K158" s="249" cm="1">
        <f t="array" ref="K158">IFERROR(INDEX(TRANSPOSE(Common_InputFunctions.Utility_SplitStringIntoArray($F99, "/", "(", ")")), 3)*0.01, 0)</f>
        <v>0</v>
      </c>
      <c r="L158" s="249" cm="1">
        <f t="array" ref="L158">IFERROR(INDEX(TRANSPOSE(Common_InputFunctions.Utility_SplitStringIntoArray($F99, "/", "(", ")")), 4)*0.01, 0)</f>
        <v>0</v>
      </c>
      <c r="M158" s="249" cm="1">
        <f t="array" ref="M158">IFERROR(Table_RefrigerantBlends_Cleaned[[#This Row],[Constituent 1 fraction]]*Common_InputFunctions.Utility_LookupValueInTableNumber(Table_RefrigerantBlends_Cleaned[[#This Row],[Constituent 1]], Table_RefrigerantChemicalGWP[Gas - FC name], Table_RefrigerantChemicalGWP[Global warming potential (AR5)]),"")</f>
        <v>1585</v>
      </c>
      <c r="N158" s="249" cm="1">
        <f t="array" ref="N158">IFERROR(Table_RefrigerantBlends_Cleaned[[#This Row],[Constituent 2 fraction]]*Common_InputFunctions.Utility_LookupValueInTableNumber(Table_RefrigerantBlends_Cleaned[[#This Row],[Constituent 2]], Table_RefrigerantChemicalGWP[Gas - FC name], Table_RefrigerantChemicalGWP[Global warming potential (AR5)]), "")</f>
        <v>2400</v>
      </c>
      <c r="O158" s="249" cm="1">
        <f t="array" ref="O15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8" s="249" cm="1">
        <f t="array" ref="P15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8" s="249" cm="1">
        <f t="array" ref="Q15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1992.5</v>
      </c>
    </row>
    <row r="159" spans="4:17" ht="20.100000000000001" customHeight="1" x14ac:dyDescent="0.25">
      <c r="D159" s="249" t="str">
        <f t="shared" si="0"/>
        <v>R-508A</v>
      </c>
      <c r="E159" s="249" t="str" cm="1">
        <f t="array" ref="E159">IFERROR(INDEX(TRANSPOSE(Common_InputFunctions.Utility_SplitStringIntoArray($E100, "/")), 1), "")</f>
        <v>HFC-23</v>
      </c>
      <c r="F159" s="249" t="str" cm="1">
        <f t="array" ref="F159">IFERROR(INDEX(TRANSPOSE(Common_InputFunctions.Utility_SplitStringIntoArray($E100, "/")), 2), "")</f>
        <v>PFC-116</v>
      </c>
      <c r="G159" s="249" t="str" cm="1">
        <f t="array" ref="G159">IFERROR(INDEX(TRANSPOSE(Common_InputFunctions.Utility_SplitStringIntoArray($E100, "/")), 3), "")</f>
        <v/>
      </c>
      <c r="H159" s="249" t="str" cm="1">
        <f t="array" ref="H159">IFERROR(INDEX(TRANSPOSE(Common_InputFunctions.Utility_SplitStringIntoArray($E100, "/")), 4), "")</f>
        <v/>
      </c>
      <c r="I159" s="249" cm="1">
        <f t="array" ref="I159">IFERROR(INDEX(TRANSPOSE(Common_InputFunctions.Utility_SplitStringIntoArray($F100, "/", "(", ")")), 1)*0.01, 0)</f>
        <v>0.39</v>
      </c>
      <c r="J159" s="249" cm="1">
        <f t="array" ref="J159">IFERROR(INDEX(TRANSPOSE(Common_InputFunctions.Utility_SplitStringIntoArray($F100, "/", "(", ")")), 2)*0.01, 0)</f>
        <v>0.61</v>
      </c>
      <c r="K159" s="249" cm="1">
        <f t="array" ref="K159">IFERROR(INDEX(TRANSPOSE(Common_InputFunctions.Utility_SplitStringIntoArray($F100, "/", "(", ")")), 3)*0.01, 0)</f>
        <v>0</v>
      </c>
      <c r="L159" s="249" cm="1">
        <f t="array" ref="L159">IFERROR(INDEX(TRANSPOSE(Common_InputFunctions.Utility_SplitStringIntoArray($F100, "/", "(", ")")), 4)*0.01, 0)</f>
        <v>0</v>
      </c>
      <c r="M159" s="249" cm="1">
        <f t="array" ref="M159">IFERROR(Table_RefrigerantBlends_Cleaned[[#This Row],[Constituent 1 fraction]]*Common_InputFunctions.Utility_LookupValueInTableNumber(Table_RefrigerantBlends_Cleaned[[#This Row],[Constituent 1]], Table_RefrigerantChemicalGWP[Gas - FC name], Table_RefrigerantChemicalGWP[Global warming potential (AR5)]),"")</f>
        <v>4836</v>
      </c>
      <c r="N159" s="249" cm="1">
        <f t="array" ref="N159">IFERROR(Table_RefrigerantBlends_Cleaned[[#This Row],[Constituent 2 fraction]]*Common_InputFunctions.Utility_LookupValueInTableNumber(Table_RefrigerantBlends_Cleaned[[#This Row],[Constituent 2]], Table_RefrigerantChemicalGWP[Gas - FC name], Table_RefrigerantChemicalGWP[Global warming potential (AR5)]), "")</f>
        <v>6771</v>
      </c>
      <c r="O159" s="249" cm="1">
        <f t="array" ref="O15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9" s="249" cm="1">
        <f t="array" ref="P15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9" s="249" cm="1">
        <f t="array" ref="Q15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6016.3499999999995</v>
      </c>
    </row>
    <row r="160" spans="4:17" ht="20.100000000000001" customHeight="1" x14ac:dyDescent="0.25">
      <c r="D160" s="249" t="str">
        <f t="shared" si="0"/>
        <v>R-508B</v>
      </c>
      <c r="E160" s="249" t="str" cm="1">
        <f t="array" ref="E160">IFERROR(INDEX(TRANSPOSE(Common_InputFunctions.Utility_SplitStringIntoArray($E101, "/")), 1), "")</f>
        <v>HFC-23</v>
      </c>
      <c r="F160" s="249" t="str" cm="1">
        <f t="array" ref="F160">IFERROR(INDEX(TRANSPOSE(Common_InputFunctions.Utility_SplitStringIntoArray($E101, "/")), 2), "")</f>
        <v>PFC-116</v>
      </c>
      <c r="G160" s="249" t="str" cm="1">
        <f t="array" ref="G160">IFERROR(INDEX(TRANSPOSE(Common_InputFunctions.Utility_SplitStringIntoArray($E101, "/")), 3), "")</f>
        <v/>
      </c>
      <c r="H160" s="249" t="str" cm="1">
        <f t="array" ref="H160">IFERROR(INDEX(TRANSPOSE(Common_InputFunctions.Utility_SplitStringIntoArray($E101, "/")), 4), "")</f>
        <v/>
      </c>
      <c r="I160" s="249" cm="1">
        <f t="array" ref="I160">IFERROR(INDEX(TRANSPOSE(Common_InputFunctions.Utility_SplitStringIntoArray($F101, "/", "(", ")")), 1)*0.01, 0)</f>
        <v>0.46</v>
      </c>
      <c r="J160" s="249" cm="1">
        <f t="array" ref="J160">IFERROR(INDEX(TRANSPOSE(Common_InputFunctions.Utility_SplitStringIntoArray($F101, "/", "(", ")")), 2)*0.01, 0)</f>
        <v>0.54</v>
      </c>
      <c r="K160" s="249" cm="1">
        <f t="array" ref="K160">IFERROR(INDEX(TRANSPOSE(Common_InputFunctions.Utility_SplitStringIntoArray($F101, "/", "(", ")")), 3)*0.01, 0)</f>
        <v>0</v>
      </c>
      <c r="L160" s="249" cm="1">
        <f t="array" ref="L160">IFERROR(INDEX(TRANSPOSE(Common_InputFunctions.Utility_SplitStringIntoArray($F101, "/", "(", ")")), 4)*0.01, 0)</f>
        <v>0</v>
      </c>
      <c r="M160" s="249" cm="1">
        <f t="array" ref="M160">IFERROR(Table_RefrigerantBlends_Cleaned[[#This Row],[Constituent 1 fraction]]*Common_InputFunctions.Utility_LookupValueInTableNumber(Table_RefrigerantBlends_Cleaned[[#This Row],[Constituent 1]], Table_RefrigerantChemicalGWP[Gas - FC name], Table_RefrigerantChemicalGWP[Global warming potential (AR5)]),"")</f>
        <v>5704</v>
      </c>
      <c r="N160" s="249" cm="1">
        <f t="array" ref="N160">IFERROR(Table_RefrigerantBlends_Cleaned[[#This Row],[Constituent 2 fraction]]*Common_InputFunctions.Utility_LookupValueInTableNumber(Table_RefrigerantBlends_Cleaned[[#This Row],[Constituent 2]], Table_RefrigerantChemicalGWP[Gas - FC name], Table_RefrigerantChemicalGWP[Global warming potential (AR5)]), "")</f>
        <v>5994</v>
      </c>
      <c r="O160" s="249" cm="1">
        <f t="array" ref="O16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60" s="249" cm="1">
        <f t="array" ref="P16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60" s="249" cm="1">
        <f t="array" ref="Q16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5860.6</v>
      </c>
    </row>
    <row r="161" spans="4:17" ht="20.100000000000001" customHeight="1" x14ac:dyDescent="0.25">
      <c r="D161" s="249" t="str">
        <f t="shared" si="0"/>
        <v>R-509A</v>
      </c>
      <c r="E161" s="249" t="str" cm="1">
        <f t="array" ref="E161">IFERROR(INDEX(TRANSPOSE(Common_InputFunctions.Utility_SplitStringIntoArray($E102, "/")), 1), "")</f>
        <v>HCFC-22</v>
      </c>
      <c r="F161" s="249" t="str" cm="1">
        <f t="array" ref="F161">IFERROR(INDEX(TRANSPOSE(Common_InputFunctions.Utility_SplitStringIntoArray($E102, "/")), 2), "")</f>
        <v>PFC-218</v>
      </c>
      <c r="G161" s="249" t="str" cm="1">
        <f t="array" ref="G161">IFERROR(INDEX(TRANSPOSE(Common_InputFunctions.Utility_SplitStringIntoArray($E102, "/")), 3), "")</f>
        <v/>
      </c>
      <c r="H161" s="249" t="str" cm="1">
        <f t="array" ref="H161">IFERROR(INDEX(TRANSPOSE(Common_InputFunctions.Utility_SplitStringIntoArray($E102, "/")), 4), "")</f>
        <v/>
      </c>
      <c r="I161" s="249" cm="1">
        <f t="array" ref="I161">IFERROR(INDEX(TRANSPOSE(Common_InputFunctions.Utility_SplitStringIntoArray($F102, "/", "(", ")")), 1)*0.01, 0)</f>
        <v>0.44</v>
      </c>
      <c r="J161" s="249" cm="1">
        <f t="array" ref="J161">IFERROR(INDEX(TRANSPOSE(Common_InputFunctions.Utility_SplitStringIntoArray($F102, "/", "(", ")")), 2)*0.01, 0)</f>
        <v>0.56000000000000005</v>
      </c>
      <c r="K161" s="249" cm="1">
        <f t="array" ref="K161">IFERROR(INDEX(TRANSPOSE(Common_InputFunctions.Utility_SplitStringIntoArray($F102, "/", "(", ")")), 3)*0.01, 0)</f>
        <v>0</v>
      </c>
      <c r="L161" s="249" cm="1">
        <f t="array" ref="L161">IFERROR(INDEX(TRANSPOSE(Common_InputFunctions.Utility_SplitStringIntoArray($F102, "/", "(", ")")), 4)*0.01, 0)</f>
        <v>0</v>
      </c>
      <c r="M161" s="249" cm="1">
        <f t="array" ref="M161">IFERROR(Table_RefrigerantBlends_Cleaned[[#This Row],[Constituent 1 fraction]]*Common_InputFunctions.Utility_LookupValueInTableNumber(Table_RefrigerantBlends_Cleaned[[#This Row],[Constituent 1]], Table_RefrigerantChemicalGWP[Gas - FC name], Table_RefrigerantChemicalGWP[Global warming potential (AR5)]),"")</f>
        <v>774.4</v>
      </c>
      <c r="N161" s="249" cm="1">
        <f t="array" ref="N161">IFERROR(Table_RefrigerantBlends_Cleaned[[#This Row],[Constituent 2 fraction]]*Common_InputFunctions.Utility_LookupValueInTableNumber(Table_RefrigerantBlends_Cleaned[[#This Row],[Constituent 2]], Table_RefrigerantChemicalGWP[Gas - FC name], Table_RefrigerantChemicalGWP[Global warming potential (AR5)]), "")</f>
        <v>4984.0000000000009</v>
      </c>
      <c r="O161" s="249" cm="1">
        <f t="array" ref="O16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61" s="249" cm="1">
        <f t="array" ref="P16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61" s="249" cm="1">
        <f t="array" ref="Q16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3131.7760000000007</v>
      </c>
    </row>
    <row r="162" spans="4:17" ht="20.100000000000001" customHeight="1" x14ac:dyDescent="0.25">
      <c r="D162" s="246"/>
      <c r="E162" s="246"/>
      <c r="F162" s="246"/>
      <c r="G162" s="246"/>
      <c r="H162" s="246"/>
      <c r="I162" s="246"/>
      <c r="J162" s="246"/>
      <c r="K162" s="246"/>
      <c r="L162" s="246"/>
      <c r="M162" s="246"/>
      <c r="N162" s="246"/>
      <c r="O162" s="246"/>
      <c r="P162" s="246"/>
      <c r="Q162" s="246"/>
    </row>
    <row r="163" spans="4:17" ht="20.100000000000001" customHeight="1" x14ac:dyDescent="0.25">
      <c r="D163" s="250"/>
      <c r="E163" s="250"/>
      <c r="F163" s="250"/>
      <c r="G163" s="250"/>
      <c r="H163" s="250"/>
      <c r="I163" s="250"/>
      <c r="J163" s="250"/>
      <c r="K163" s="250"/>
      <c r="L163" s="250"/>
      <c r="M163" s="250"/>
      <c r="N163" s="250"/>
      <c r="O163" s="250"/>
      <c r="P163" s="250"/>
      <c r="Q163" s="250"/>
    </row>
    <row r="164" spans="4:17" ht="20.100000000000001" customHeight="1" x14ac:dyDescent="0.25">
      <c r="D164" s="2" t="str" cm="1">
        <f t="array" ref="D164">Refrigerants_SourceData.Refrigerants_LeakageRates_Title()</f>
        <v>Indicative leakage rates for common refrigeration and air - conditioning equipment</v>
      </c>
      <c r="E164" s="246"/>
      <c r="F164" s="246"/>
      <c r="G164" s="246"/>
      <c r="H164" s="246"/>
      <c r="I164" s="246"/>
      <c r="J164" s="246"/>
      <c r="K164" s="246"/>
      <c r="L164" s="246"/>
      <c r="M164" s="246"/>
      <c r="N164" s="246"/>
      <c r="O164" s="246"/>
      <c r="P164" s="246"/>
      <c r="Q164" s="246"/>
    </row>
    <row r="165" spans="4:17" ht="20.100000000000001" customHeight="1" x14ac:dyDescent="0.25">
      <c r="D165" s="17" t="str" cm="1">
        <f t="array" ref="D165">Refrigerants_SourceData.Refrigerants_LeakageRates_Source()</f>
        <v>Australian National Greenhouse Accounts Factors 2025 - Table 10</v>
      </c>
      <c r="E165" s="246"/>
      <c r="F165" s="246"/>
      <c r="G165" s="246"/>
      <c r="H165" s="246"/>
      <c r="I165" s="246"/>
      <c r="J165" s="246"/>
      <c r="K165" s="246"/>
      <c r="L165" s="246"/>
      <c r="M165" s="246"/>
      <c r="N165" s="246"/>
      <c r="O165" s="246"/>
      <c r="P165" s="246"/>
      <c r="Q165" s="246"/>
    </row>
    <row r="166" spans="4:17" x14ac:dyDescent="0.25">
      <c r="D166" s="246"/>
      <c r="E166" s="246"/>
      <c r="F166" s="246"/>
      <c r="G166" s="246"/>
      <c r="H166" s="246"/>
      <c r="I166" s="246"/>
      <c r="J166" s="246"/>
      <c r="K166" s="246"/>
      <c r="L166" s="246"/>
      <c r="M166" s="246"/>
      <c r="N166" s="246"/>
      <c r="O166" s="246"/>
      <c r="P166" s="246"/>
      <c r="Q166" s="246"/>
    </row>
    <row r="167" spans="4:17" x14ac:dyDescent="0.25">
      <c r="D167" s="249" t="s">
        <v>131</v>
      </c>
      <c r="E167" s="248" t="s">
        <v>1060</v>
      </c>
      <c r="F167" s="246"/>
      <c r="G167" s="246"/>
      <c r="H167" s="246"/>
      <c r="I167" s="246"/>
      <c r="J167" s="246"/>
      <c r="K167" s="246"/>
      <c r="L167" s="246"/>
      <c r="M167" s="246"/>
      <c r="N167" s="246"/>
      <c r="O167" s="246"/>
      <c r="P167" s="246"/>
      <c r="Q167" s="246"/>
    </row>
    <row r="168" spans="4:17" x14ac:dyDescent="0.25">
      <c r="D168" s="249" t="str" cm="1">
        <f t="array" ref="D168">Common_InputFunctions.Utility_DisplayArrayInTable(Refrigerants_SourceData.Refrigerants_LeakageRates_Data(), Table_Refrigerants_LeakageRates[[#Headers],[Product]], 0)</f>
        <v>Domestic refrigerators</v>
      </c>
      <c r="E168" s="249" cm="1">
        <f t="array" ref="E168">Common_InputFunctions.Utility_DisplayArrayInTable(Refrigerants_SourceData.Refrigerants_LeakageRates_Data(), Table_Refrigerants_LeakageRates[[#Headers],[Product]], 0)</f>
        <v>1.7</v>
      </c>
      <c r="F168" s="246"/>
      <c r="G168" s="246"/>
      <c r="H168" s="246"/>
      <c r="I168" s="246"/>
      <c r="J168" s="246"/>
      <c r="K168" s="246"/>
      <c r="L168" s="246"/>
      <c r="M168" s="246"/>
      <c r="N168" s="246"/>
      <c r="O168" s="246"/>
      <c r="P168" s="246"/>
      <c r="Q168" s="246"/>
    </row>
    <row r="169" spans="4:17" x14ac:dyDescent="0.25">
      <c r="D169" s="249" t="str" cm="1">
        <f t="array" ref="D169">Common_InputFunctions.Utility_DisplayArrayInTable(Refrigerants_SourceData.Refrigerants_LeakageRates_Data(), Table_Refrigerants_LeakageRates[[#Headers],[Product]], 0)</f>
        <v>Transport refrigeration</v>
      </c>
      <c r="E169" s="249" cm="1">
        <f t="array" ref="E169">Common_InputFunctions.Utility_DisplayArrayInTable(Refrigerants_SourceData.Refrigerants_LeakageRates_Data(), Table_Refrigerants_LeakageRates[[#Headers],[Product]], 0)</f>
        <v>15.7</v>
      </c>
      <c r="F169" s="246"/>
      <c r="G169" s="246"/>
      <c r="H169" s="246"/>
      <c r="I169" s="246"/>
      <c r="J169" s="246"/>
      <c r="K169" s="246"/>
      <c r="L169" s="246"/>
      <c r="M169" s="246"/>
      <c r="N169" s="246"/>
      <c r="O169" s="246"/>
      <c r="P169" s="246"/>
      <c r="Q169" s="246"/>
    </row>
    <row r="170" spans="4:17" x14ac:dyDescent="0.25">
      <c r="D170" s="249" t="str" cm="1">
        <f t="array" ref="D170">Common_InputFunctions.Utility_DisplayArrayInTable(Refrigerants_SourceData.Refrigerants_LeakageRates_Data(), Table_Refrigerants_LeakageRates[[#Headers],[Product]], 0)</f>
        <v>Domestic A/C portable</v>
      </c>
      <c r="E170" s="249" cm="1">
        <f t="array" ref="E170">Common_InputFunctions.Utility_DisplayArrayInTable(Refrigerants_SourceData.Refrigerants_LeakageRates_Data(), Table_Refrigerants_LeakageRates[[#Headers],[Product]], 0)</f>
        <v>2.5</v>
      </c>
      <c r="F170" s="246"/>
      <c r="G170" s="246"/>
      <c r="H170" s="246"/>
      <c r="I170" s="246"/>
      <c r="J170" s="246"/>
      <c r="K170" s="246"/>
      <c r="L170" s="246"/>
      <c r="M170" s="246"/>
      <c r="N170" s="246"/>
      <c r="O170" s="246"/>
      <c r="P170" s="246"/>
      <c r="Q170" s="246"/>
    </row>
    <row r="171" spans="4:17" x14ac:dyDescent="0.25">
      <c r="D171" s="249" t="str" cm="1">
        <f t="array" ref="D171">Common_InputFunctions.Utility_DisplayArrayInTable(Refrigerants_SourceData.Refrigerants_LeakageRates_Data(), Table_Refrigerants_LeakageRates[[#Headers],[Product]], 0)</f>
        <v>Domestic A/C split</v>
      </c>
      <c r="E171" s="249" cm="1">
        <f t="array" ref="E171">Common_InputFunctions.Utility_DisplayArrayInTable(Refrigerants_SourceData.Refrigerants_LeakageRates_Data(), Table_Refrigerants_LeakageRates[[#Headers],[Product]], 0)</f>
        <v>3.5</v>
      </c>
      <c r="F171" s="246"/>
      <c r="G171" s="246"/>
      <c r="H171" s="246"/>
      <c r="I171" s="246"/>
      <c r="J171" s="246"/>
      <c r="K171" s="246"/>
      <c r="L171" s="246"/>
      <c r="M171" s="246"/>
      <c r="N171" s="246"/>
      <c r="O171" s="246"/>
      <c r="P171" s="246"/>
      <c r="Q171" s="246"/>
    </row>
    <row r="172" spans="4:17" x14ac:dyDescent="0.25">
      <c r="D172" s="249" t="str" cm="1">
        <f t="array" ref="D172">Common_InputFunctions.Utility_DisplayArrayInTable(Refrigerants_SourceData.Refrigerants_LeakageRates_Data(), Table_Refrigerants_LeakageRates[[#Headers],[Product]], 0)</f>
        <v>Domestic A/C packaged</v>
      </c>
      <c r="E172" s="249" cm="1">
        <f t="array" ref="E172">Common_InputFunctions.Utility_DisplayArrayInTable(Refrigerants_SourceData.Refrigerants_LeakageRates_Data(), Table_Refrigerants_LeakageRates[[#Headers],[Product]], 0)</f>
        <v>2.5</v>
      </c>
      <c r="F172" s="246"/>
      <c r="G172" s="246"/>
      <c r="H172" s="246"/>
      <c r="I172" s="246"/>
      <c r="J172" s="246"/>
      <c r="K172" s="246"/>
      <c r="L172" s="246"/>
      <c r="M172" s="246"/>
      <c r="N172" s="246"/>
      <c r="O172" s="246"/>
      <c r="P172" s="246"/>
      <c r="Q172" s="246"/>
    </row>
    <row r="173" spans="4:17" x14ac:dyDescent="0.25">
      <c r="D173" s="249" t="str" cm="1">
        <f t="array" ref="D173">Common_InputFunctions.Utility_DisplayArrayInTable(Refrigerants_SourceData.Refrigerants_LeakageRates_Data(), Table_Refrigerants_LeakageRates[[#Headers],[Product]], 0)</f>
        <v>Light vehicle A/C</v>
      </c>
      <c r="E173" s="249" cm="1">
        <f t="array" ref="E173">Common_InputFunctions.Utility_DisplayArrayInTable(Refrigerants_SourceData.Refrigerants_LeakageRates_Data(), Table_Refrigerants_LeakageRates[[#Headers],[Product]], 0)</f>
        <v>6.7</v>
      </c>
      <c r="F173" s="246"/>
      <c r="G173" s="246"/>
      <c r="H173" s="246"/>
      <c r="I173" s="246"/>
      <c r="J173" s="246"/>
      <c r="K173" s="246"/>
      <c r="L173" s="246"/>
      <c r="M173" s="246"/>
      <c r="N173" s="246"/>
      <c r="O173" s="246"/>
      <c r="P173" s="246"/>
      <c r="Q173" s="246"/>
    </row>
    <row r="174" spans="4:17" x14ac:dyDescent="0.25">
      <c r="D174" s="249" t="str" cm="1">
        <f t="array" ref="D174">Common_InputFunctions.Utility_DisplayArrayInTable(Refrigerants_SourceData.Refrigerants_LeakageRates_Data(), Table_Refrigerants_LeakageRates[[#Headers],[Product]], 0)</f>
        <v>Heavy vehicle A/C</v>
      </c>
      <c r="E174" s="249" cm="1">
        <f t="array" ref="E174">Common_InputFunctions.Utility_DisplayArrayInTable(Refrigerants_SourceData.Refrigerants_LeakageRates_Data(), Table_Refrigerants_LeakageRates[[#Headers],[Product]], 0)</f>
        <v>10.8</v>
      </c>
      <c r="F174" s="246"/>
      <c r="G174" s="246"/>
      <c r="H174" s="246"/>
      <c r="I174" s="246"/>
      <c r="J174" s="246"/>
      <c r="K174" s="246"/>
      <c r="L174" s="246"/>
      <c r="M174" s="246"/>
      <c r="N174" s="246"/>
      <c r="O174" s="246"/>
      <c r="P174" s="246"/>
      <c r="Q174" s="246"/>
    </row>
    <row r="175" spans="4:17" x14ac:dyDescent="0.25">
      <c r="D175" s="246"/>
      <c r="E175" s="246"/>
      <c r="F175" s="246"/>
      <c r="G175" s="246"/>
      <c r="H175" s="246"/>
      <c r="I175" s="246"/>
      <c r="J175" s="246"/>
      <c r="K175" s="246"/>
      <c r="L175" s="246"/>
      <c r="M175" s="246"/>
      <c r="N175" s="246"/>
      <c r="O175" s="246"/>
      <c r="P175" s="246"/>
      <c r="Q175" s="246"/>
    </row>
    <row r="176" spans="4:17" x14ac:dyDescent="0.25">
      <c r="D176" s="246"/>
      <c r="E176" s="246"/>
      <c r="F176" s="246"/>
      <c r="G176" s="246"/>
      <c r="H176" s="246"/>
      <c r="I176" s="246"/>
      <c r="J176" s="246"/>
      <c r="K176" s="246"/>
      <c r="L176" s="246"/>
      <c r="M176" s="246"/>
      <c r="N176" s="246"/>
      <c r="O176" s="246"/>
      <c r="P176" s="246"/>
      <c r="Q176" s="246"/>
    </row>
    <row r="177" spans="4:17" x14ac:dyDescent="0.25">
      <c r="D177" s="246"/>
      <c r="E177" s="246"/>
      <c r="F177" s="246"/>
      <c r="G177" s="246"/>
      <c r="H177" s="246"/>
      <c r="I177" s="246"/>
      <c r="J177" s="246"/>
      <c r="K177" s="246"/>
      <c r="L177" s="246"/>
      <c r="M177" s="246"/>
      <c r="N177" s="246"/>
      <c r="O177" s="246"/>
      <c r="P177" s="246"/>
      <c r="Q177" s="246"/>
    </row>
    <row r="178" spans="4:17" x14ac:dyDescent="0.25">
      <c r="D178" s="246"/>
      <c r="E178" s="246"/>
      <c r="F178" s="246"/>
      <c r="G178" s="246"/>
      <c r="H178" s="246"/>
      <c r="I178" s="246"/>
      <c r="J178" s="246"/>
      <c r="K178" s="246"/>
      <c r="L178" s="246"/>
      <c r="M178" s="246"/>
      <c r="N178" s="246"/>
      <c r="O178" s="246"/>
      <c r="P178" s="246"/>
      <c r="Q178" s="246"/>
    </row>
    <row r="179" spans="4:17" x14ac:dyDescent="0.25">
      <c r="D179" s="246"/>
      <c r="E179" s="246"/>
      <c r="F179" s="246"/>
      <c r="G179" s="246"/>
      <c r="H179" s="246"/>
      <c r="I179" s="246"/>
      <c r="J179" s="246"/>
      <c r="K179" s="246"/>
      <c r="L179" s="246"/>
      <c r="M179" s="246"/>
      <c r="N179" s="246"/>
      <c r="O179" s="246"/>
      <c r="P179" s="246"/>
      <c r="Q179" s="246"/>
    </row>
    <row r="180" spans="4:17" x14ac:dyDescent="0.25">
      <c r="D180" s="246"/>
      <c r="E180" s="246"/>
      <c r="F180" s="246"/>
      <c r="G180" s="246"/>
      <c r="H180" s="246"/>
      <c r="I180" s="246"/>
      <c r="J180" s="246"/>
      <c r="K180" s="246"/>
      <c r="L180" s="246"/>
      <c r="M180" s="246"/>
      <c r="N180" s="246"/>
      <c r="O180" s="246"/>
      <c r="P180" s="246"/>
      <c r="Q180" s="246"/>
    </row>
  </sheetData>
  <pageMargins left="0.7" right="0.7" top="0.75" bottom="0.75" header="0.3" footer="0.3"/>
  <tableParts count="4">
    <tablePart r:id="rId1"/>
    <tablePart r:id="rId2"/>
    <tablePart r:id="rId3"/>
    <tablePart r:id="rId4"/>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A438C-AC84-474D-9B1C-34C6A167F833}">
  <sheetPr>
    <tabColor theme="2" tint="-0.499984740745262"/>
  </sheetPr>
  <dimension ref="A1:AI165"/>
  <sheetViews>
    <sheetView showGridLines="0" zoomScaleNormal="100" workbookViewId="0">
      <pane xSplit="1" topLeftCell="B1" activePane="topRight" state="frozenSplit"/>
      <selection pane="topRight" activeCell="A67" sqref="A67"/>
    </sheetView>
  </sheetViews>
  <sheetFormatPr defaultRowHeight="15.75" x14ac:dyDescent="0.25"/>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1118</v>
      </c>
      <c r="AG1"/>
      <c r="AH1"/>
      <c r="AI1"/>
    </row>
    <row r="2" spans="1:35" s="3" customFormat="1" ht="20.100000000000001" customHeight="1" x14ac:dyDescent="0.25">
      <c r="A2"/>
      <c r="AG2"/>
      <c r="AH2"/>
      <c r="AI2"/>
    </row>
    <row r="3" spans="1:35"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WasteSolid_SourceData.Waste_EmissionFactorsForWasteTreatment_Title()</f>
        <v>Emission factors for wastes disposed of at different treatment facilities</v>
      </c>
    </row>
    <row r="6" spans="1:35" ht="20.100000000000001" customHeight="1" x14ac:dyDescent="0.25">
      <c r="A6" s="5" t="str">
        <f>HYPERLINK("#'Results'!A1", "Results")</f>
        <v>Results</v>
      </c>
      <c r="D6" s="17" t="str" cm="1">
        <f t="array" ref="D6">WasteSolid_SourceData.Waste_EmissionFactorsForWasteTreatment_Source()</f>
        <v>VEERG 2026: Table A.4.1.1</v>
      </c>
    </row>
    <row r="7" spans="1:35" ht="20.100000000000001" customHeight="1" x14ac:dyDescent="0.25">
      <c r="D7" s="25" t="str" cm="1">
        <f t="array" ref="D7:D13">WasteSolid_SourceData.Waste_EmissionFactorsForWasteTreatment_Variation()</f>
        <v>VARIATION ON SOURCE:</v>
      </c>
    </row>
    <row r="8" spans="1:35" ht="20.100000000000001" customHeight="1" x14ac:dyDescent="0.25">
      <c r="D8" s="25" t="str">
        <v>Fixed typo 'paper and carboard' to 'paper and cardboard'</v>
      </c>
    </row>
    <row r="9" spans="1:35" ht="20.100000000000001" customHeight="1" x14ac:dyDescent="0.25">
      <c r="A9" s="7" t="s">
        <v>0</v>
      </c>
      <c r="D9" s="25" t="str">
        <v>Fixed typo 'prunnings' to 'prunings'</v>
      </c>
    </row>
    <row r="10" spans="1:35" ht="20.100000000000001" customHeight="1" x14ac:dyDescent="0.25">
      <c r="A10" s="5" t="str">
        <f>HYPERLINK("#'Input - Enterprise'!A1", "Enterprise")</f>
        <v>Enterprise</v>
      </c>
      <c r="D10" s="25" t="str">
        <v>Added EF source column with specific references</v>
      </c>
    </row>
    <row r="11" spans="1:35" ht="20.100000000000001" customHeight="1" x14ac:dyDescent="0.25">
      <c r="A11" s="5" t="str">
        <f>HYPERLINK("#'Input - Site'!A1", "Site")</f>
        <v>Site</v>
      </c>
      <c r="D11" s="25" t="str">
        <v>Added sub-categories for 'Incineration: Food waste, green waste, wood, sludge' in order to use volume to mass conversion factor values</v>
      </c>
    </row>
    <row r="12" spans="1:35" ht="20.100000000000001" customHeight="1" x14ac:dyDescent="0.25">
      <c r="A12" s="5" t="str">
        <f>HYPERLINK("#'Input - Dairy'!A1", "Dairy")</f>
        <v>Dairy</v>
      </c>
      <c r="D12" s="25" t="str">
        <v>Added sub-categories for 'Composting: All organic waste' in order to use volume to mass conversion factor values</v>
      </c>
    </row>
    <row r="13" spans="1:35" ht="20.100000000000001" customHeight="1" x14ac:dyDescent="0.25">
      <c r="A13" s="5" t="str">
        <f>HYPERLINK("#'Input - Livestock sales'!A1", "Livestock sales")</f>
        <v>Livestock sales</v>
      </c>
      <c r="D13" s="25" t="str">
        <v>Added sub-categories for 'Anaerobic digestion: All organic waste' in order to use volume to mass conversion factor values</v>
      </c>
    </row>
    <row r="14" spans="1:35" ht="20.100000000000001" customHeight="1" x14ac:dyDescent="0.25">
      <c r="A14" s="5" t="str">
        <f>HYPERLINK("#'Input - Dairy cattle purchases'!A1", "Dairy cattle purchases")</f>
        <v>Dairy cattle purchases</v>
      </c>
      <c r="D14" s="1" t="str" cm="1">
        <f t="array" ref="D14">WasteSolid_SourceData.Waste_EmissionFactorsForWasteTreatment_Variable()</f>
        <v>EFwt</v>
      </c>
    </row>
    <row r="15" spans="1:35" ht="20.100000000000001" customHeight="1" x14ac:dyDescent="0.25">
      <c r="A15" s="5" t="str">
        <f>HYPERLINK("#'Input - Pasture'!A1", "Pasture")</f>
        <v>Pasture</v>
      </c>
      <c r="D15" s="9" t="str" cm="1">
        <f t="array" ref="D15">WasteSolid_SourceData.Waste_EmissionFactorsForWasteTreatment_Unit()</f>
        <v>t CO2e / t</v>
      </c>
      <c r="I15" s="1" t="s">
        <v>1119</v>
      </c>
      <c r="K15" s="1" t="s">
        <v>1120</v>
      </c>
      <c r="M15" s="1" t="s">
        <v>1121</v>
      </c>
      <c r="O15" s="1" t="s">
        <v>1122</v>
      </c>
    </row>
    <row r="16" spans="1:35" ht="20.100000000000001" customHeight="1" x14ac:dyDescent="0.25">
      <c r="A16" s="5" t="str">
        <f>HYPERLINK("#'Input - Fert Prod System'!A1", "Fert Prod System")</f>
        <v>Fert Prod System</v>
      </c>
      <c r="D16" s="19" t="s">
        <v>1123</v>
      </c>
      <c r="E16" s="19" t="s">
        <v>1124</v>
      </c>
      <c r="F16" s="19" t="s">
        <v>1125</v>
      </c>
      <c r="G16" s="19" t="s">
        <v>1126</v>
      </c>
      <c r="I16" s="19" t="s">
        <v>1124</v>
      </c>
      <c r="K16" s="142" t="s">
        <v>1124</v>
      </c>
      <c r="M16" s="142" t="s">
        <v>1124</v>
      </c>
      <c r="O16" s="142" t="s">
        <v>1124</v>
      </c>
    </row>
    <row r="17" spans="1:15" ht="20.100000000000001" customHeight="1" x14ac:dyDescent="0.25">
      <c r="A17" s="5" t="str">
        <f>HYPERLINK("#'Input - Fertiliser'!A1", "Fertiliser")</f>
        <v>Fertiliser</v>
      </c>
      <c r="D17" s="19" t="str" cm="1">
        <f t="array" ref="D17">Common_InputFunctions.Utility_DisplayArrayInTable(WasteSolid_SourceData.Waste_EmissionFactorsForWasteTreatment_Data(), Table_SourceData_WasteSolid_WasteTreatmentEFs[[#Headers],[Treatment type t]], 0)</f>
        <v>Landfill</v>
      </c>
      <c r="E17" s="19"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9" cm="1">
        <f t="array" ref="F17">Common_InputFunctions.Utility_DisplayArrayInTable(WasteSolid_SourceData.Waste_EmissionFactorsForWasteTreatment_Data(), Table_SourceData_WasteSolid_WasteTreatmentEFs[[#Headers],[Treatment type t]], 0)</f>
        <v>2.1</v>
      </c>
      <c r="G17" s="19" t="str" cm="1">
        <f t="array" ref="G17">Common_InputFunctions.Utility_DisplayArrayInTable(WasteSolid_SourceData.Waste_EmissionFactorsForWasteTreatment_Data(), Table_SourceData_WasteSolid_WasteTreatmentEFs[[#Headers],[Treatment type t]], 0)</f>
        <v>NGAF 2025 table 15</v>
      </c>
      <c r="I17" s="19"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5">
      <c r="A18" s="5" t="str">
        <f>HYPERLINK("#'Input - Fuel'!A1", "Fuel")</f>
        <v>Fuel</v>
      </c>
      <c r="D18" s="1" t="str" cm="1">
        <f t="array" ref="D18">Common_InputFunctions.Utility_DisplayArrayInTable(WasteSolid_SourceData.Waste_EmissionFactorsForWasteTreatment_Data(), Table_SourceData_WasteSolid_WasteTreatmentEFs[[#Headers],[Treatment type t]], 0)</f>
        <v>Landfill</v>
      </c>
      <c r="E18" s="19" t="str" cm="1">
        <f t="array" ref="E18">Common_InputFunctions.Utility_DisplayArrayInTable(WasteSolid_SourceData.Waste_EmissionFactorsForWasteTreatment_Data(), Table_SourceData_WasteSolid_WasteTreatmentEFs[[#Headers],[Treatment type t]], 0)</f>
        <v>Paper and cardboard</v>
      </c>
      <c r="F18" s="19" cm="1">
        <f t="array" ref="F18">Common_InputFunctions.Utility_DisplayArrayInTable(WasteSolid_SourceData.Waste_EmissionFactorsForWasteTreatment_Data(), Table_SourceData_WasteSolid_WasteTreatmentEFs[[#Headers],[Treatment type t]], 0)</f>
        <v>3.3</v>
      </c>
      <c r="G18" s="19" t="str" cm="1">
        <f t="array" ref="G18">Common_InputFunctions.Utility_DisplayArrayInTable(WasteSolid_SourceData.Waste_EmissionFactorsForWasteTreatment_Data(), Table_SourceData_WasteSolid_WasteTreatmentEFs[[#Headers],[Treatment type t]], 0)</f>
        <v>NGAF 2025 table 15</v>
      </c>
      <c r="I18" s="19"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5">
      <c r="A19" s="5" t="str">
        <f>HYPERLINK("#'Input - Electricity'!A1", "Electricity")</f>
        <v>Electricity</v>
      </c>
      <c r="D19" s="1" t="str" cm="1">
        <f t="array" ref="D19">Common_InputFunctions.Utility_DisplayArrayInTable(WasteSolid_SourceData.Waste_EmissionFactorsForWasteTreatment_Data(), Table_SourceData_WasteSolid_WasteTreatmentEFs[[#Headers],[Treatment type t]], 0)</f>
        <v>Landfill</v>
      </c>
      <c r="E19" s="19" t="str" cm="1">
        <f t="array" ref="E19">Common_InputFunctions.Utility_DisplayArrayInTable(WasteSolid_SourceData.Waste_EmissionFactorsForWasteTreatment_Data(), Table_SourceData_WasteSolid_WasteTreatmentEFs[[#Headers],[Treatment type t]], 0)</f>
        <v>Green waste (including crop residues or prunings)</v>
      </c>
      <c r="F19" s="19" cm="1">
        <f t="array" ref="F19">Common_InputFunctions.Utility_DisplayArrayInTable(WasteSolid_SourceData.Waste_EmissionFactorsForWasteTreatment_Data(), Table_SourceData_WasteSolid_WasteTreatmentEFs[[#Headers],[Treatment type t]], 0)</f>
        <v>1.6</v>
      </c>
      <c r="G19" s="19" t="str" cm="1">
        <f t="array" ref="G19">Common_InputFunctions.Utility_DisplayArrayInTable(WasteSolid_SourceData.Waste_EmissionFactorsForWasteTreatment_Data(), Table_SourceData_WasteSolid_WasteTreatmentEFs[[#Headers],[Treatment type t]], 0)</f>
        <v>NGAF 2025 table 15</v>
      </c>
      <c r="I19" s="19"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5">
      <c r="A20" s="5" t="str">
        <f>HYPERLINK("#'Input - Common farm inputs'!A1", "Common farm inputs")</f>
        <v>Common farm inputs</v>
      </c>
      <c r="D20" s="1" t="str" cm="1">
        <f t="array" ref="D20">Common_InputFunctions.Utility_DisplayArrayInTable(WasteSolid_SourceData.Waste_EmissionFactorsForWasteTreatment_Data(), Table_SourceData_WasteSolid_WasteTreatmentEFs[[#Headers],[Treatment type t]], 0)</f>
        <v>Landfill</v>
      </c>
      <c r="E20" s="19" t="str" cm="1">
        <f t="array" ref="E20">Common_InputFunctions.Utility_DisplayArrayInTable(WasteSolid_SourceData.Waste_EmissionFactorsForWasteTreatment_Data(), Table_SourceData_WasteSolid_WasteTreatmentEFs[[#Headers],[Treatment type t]], 0)</f>
        <v>Wood</v>
      </c>
      <c r="F20" s="19" cm="1">
        <f t="array" ref="F20">Common_InputFunctions.Utility_DisplayArrayInTable(WasteSolid_SourceData.Waste_EmissionFactorsForWasteTreatment_Data(), Table_SourceData_WasteSolid_WasteTreatmentEFs[[#Headers],[Treatment type t]], 0)</f>
        <v>0.7</v>
      </c>
      <c r="G20" s="19" t="str" cm="1">
        <f t="array" ref="G20">Common_InputFunctions.Utility_DisplayArrayInTable(WasteSolid_SourceData.Waste_EmissionFactorsForWasteTreatment_Data(), Table_SourceData_WasteSolid_WasteTreatmentEFs[[#Headers],[Treatment type t]], 0)</f>
        <v>NGAF 2025 table 15</v>
      </c>
      <c r="I20" s="19" t="str">
        <f>Table_SourceData_WasteSolid_WasteTreatmentEFs[[#This Row],[Waste type w]]</f>
        <v>Wood</v>
      </c>
      <c r="K20" s="1" t="str">
        <f t="shared" si="0"/>
        <v>Sludge</v>
      </c>
      <c r="M20" s="1" t="str">
        <f>E43</f>
        <v>Sludge</v>
      </c>
      <c r="O20" s="1" t="str">
        <f>E49</f>
        <v>Sludge</v>
      </c>
    </row>
    <row r="21" spans="1:15" ht="20.100000000000001" customHeight="1" x14ac:dyDescent="0.25">
      <c r="A21" s="5" t="str">
        <f>HYPERLINK("#'Input - Crop pasture farm input'!A1", "Crop pasture farm input")</f>
        <v>Crop pasture farm input</v>
      </c>
      <c r="D21" s="1" t="str" cm="1">
        <f t="array" ref="D21">Common_InputFunctions.Utility_DisplayArrayInTable(WasteSolid_SourceData.Waste_EmissionFactorsForWasteTreatment_Data(), Table_SourceData_WasteSolid_WasteTreatmentEFs[[#Headers],[Treatment type t]], 0)</f>
        <v>Landfill</v>
      </c>
      <c r="E21" s="19" t="str" cm="1">
        <f t="array" ref="E21">Common_InputFunctions.Utility_DisplayArrayInTable(WasteSolid_SourceData.Waste_EmissionFactorsForWasteTreatment_Data(), Table_SourceData_WasteSolid_WasteTreatmentEFs[[#Headers],[Treatment type t]], 0)</f>
        <v>Textiles</v>
      </c>
      <c r="F21" s="19" cm="1">
        <f t="array" ref="F21">Common_InputFunctions.Utility_DisplayArrayInTable(WasteSolid_SourceData.Waste_EmissionFactorsForWasteTreatment_Data(), Table_SourceData_WasteSolid_WasteTreatmentEFs[[#Headers],[Treatment type t]], 0)</f>
        <v>2</v>
      </c>
      <c r="G21" s="19" t="str" cm="1">
        <f t="array" ref="G21">Common_InputFunctions.Utility_DisplayArrayInTable(WasteSolid_SourceData.Waste_EmissionFactorsForWasteTreatment_Data(), Table_SourceData_WasteSolid_WasteTreatmentEFs[[#Headers],[Treatment type t]], 0)</f>
        <v>NGAF 2025 table 15</v>
      </c>
      <c r="I21" s="19"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5">
      <c r="A22" s="5" t="str">
        <f>HYPERLINK("#'Input - Livestock farm Inputs'!A1", "Livestock farm Inputs")</f>
        <v>Livestock farm Inputs</v>
      </c>
      <c r="D22" s="1" t="str" cm="1">
        <f t="array" ref="D22">Common_InputFunctions.Utility_DisplayArrayInTable(WasteSolid_SourceData.Waste_EmissionFactorsForWasteTreatment_Data(), Table_SourceData_WasteSolid_WasteTreatmentEFs[[#Headers],[Treatment type t]], 0)</f>
        <v>Landfill</v>
      </c>
      <c r="E22" s="19" t="str" cm="1">
        <f t="array" ref="E22">Common_InputFunctions.Utility_DisplayArrayInTable(WasteSolid_SourceData.Waste_EmissionFactorsForWasteTreatment_Data(), Table_SourceData_WasteSolid_WasteTreatmentEFs[[#Headers],[Treatment type t]], 0)</f>
        <v>Sludge</v>
      </c>
      <c r="F22" s="19" cm="1">
        <f t="array" ref="F22">Common_InputFunctions.Utility_DisplayArrayInTable(WasteSolid_SourceData.Waste_EmissionFactorsForWasteTreatment_Data(), Table_SourceData_WasteSolid_WasteTreatmentEFs[[#Headers],[Treatment type t]], 0)</f>
        <v>0.4</v>
      </c>
      <c r="G22" s="19" t="str" cm="1">
        <f t="array" ref="G22">Common_InputFunctions.Utility_DisplayArrayInTable(WasteSolid_SourceData.Waste_EmissionFactorsForWasteTreatment_Data(), Table_SourceData_WasteSolid_WasteTreatmentEFs[[#Headers],[Treatment type t]], 0)</f>
        <v>NGAF 2025 table 15</v>
      </c>
      <c r="I22" s="19" t="str">
        <f>Table_SourceData_WasteSolid_WasteTreatmentEFs[[#This Row],[Waste type w]]</f>
        <v>Sludge</v>
      </c>
      <c r="K22" s="1" t="str">
        <f t="shared" si="0"/>
        <v>Textiles</v>
      </c>
    </row>
    <row r="23" spans="1:15" ht="20.100000000000001" customHeight="1" x14ac:dyDescent="0.25">
      <c r="A23" s="5" t="str">
        <f>HYPERLINK("#'Input - Freight'!A1", "Freight")</f>
        <v>Freight</v>
      </c>
      <c r="D23" s="1" t="str" cm="1">
        <f t="array" ref="D23">Common_InputFunctions.Utility_DisplayArrayInTable(WasteSolid_SourceData.Waste_EmissionFactorsForWasteTreatment_Data(), Table_SourceData_WasteSolid_WasteTreatmentEFs[[#Headers],[Treatment type t]], 0)</f>
        <v>Landfill</v>
      </c>
      <c r="E23" s="19" t="str" cm="1">
        <f t="array" ref="E23">Common_InputFunctions.Utility_DisplayArrayInTable(WasteSolid_SourceData.Waste_EmissionFactorsForWasteTreatment_Data(), Table_SourceData_WasteSolid_WasteTreatmentEFs[[#Headers],[Treatment type t]], 0)</f>
        <v>Rubber and leather</v>
      </c>
      <c r="F23" s="19" cm="1">
        <f t="array" ref="F23">Common_InputFunctions.Utility_DisplayArrayInTable(WasteSolid_SourceData.Waste_EmissionFactorsForWasteTreatment_Data(), Table_SourceData_WasteSolid_WasteTreatmentEFs[[#Headers],[Treatment type t]], 0)</f>
        <v>3.3</v>
      </c>
      <c r="G23" s="19" t="str" cm="1">
        <f t="array" ref="G23">Common_InputFunctions.Utility_DisplayArrayInTable(WasteSolid_SourceData.Waste_EmissionFactorsForWasteTreatment_Data(), Table_SourceData_WasteSolid_WasteTreatmentEFs[[#Headers],[Treatment type t]], 0)</f>
        <v>NGAF 2025 table 15</v>
      </c>
      <c r="I23" s="19" t="str">
        <f>Table_SourceData_WasteSolid_WasteTreatmentEFs[[#This Row],[Waste type w]]</f>
        <v>Rubber and leather</v>
      </c>
      <c r="K23" s="1" t="str">
        <f t="shared" si="0"/>
        <v>Rubber and leather</v>
      </c>
    </row>
    <row r="24" spans="1:15" ht="20.100000000000001" customHeight="1" x14ac:dyDescent="0.25">
      <c r="A24" s="5" t="str">
        <f>HYPERLINK("#'Input - Solid waste'!A1", "Solid waste")</f>
        <v>Solid waste</v>
      </c>
      <c r="D24" s="1" t="str" cm="1">
        <f t="array" ref="D24">Common_InputFunctions.Utility_DisplayArrayInTable(WasteSolid_SourceData.Waste_EmissionFactorsForWasteTreatment_Data(), Table_SourceData_WasteSolid_WasteTreatmentEFs[[#Headers],[Treatment type t]], 0)</f>
        <v>Landfill</v>
      </c>
      <c r="E24" s="19" t="str" cm="1">
        <f t="array" ref="E24">Common_InputFunctions.Utility_DisplayArrayInTable(WasteSolid_SourceData.Waste_EmissionFactorsForWasteTreatment_Data(), Table_SourceData_WasteSolid_WasteTreatmentEFs[[#Headers],[Treatment type t]], 0)</f>
        <v>Inert waste (including concrete, metal, plastic or glass)</v>
      </c>
      <c r="F24" s="19" cm="1">
        <f t="array" ref="F24">Common_InputFunctions.Utility_DisplayArrayInTable(WasteSolid_SourceData.Waste_EmissionFactorsForWasteTreatment_Data(), Table_SourceData_WasteSolid_WasteTreatmentEFs[[#Headers],[Treatment type t]], 0)</f>
        <v>0</v>
      </c>
      <c r="G24" s="19" t="str" cm="1">
        <f t="array" ref="G24">Common_InputFunctions.Utility_DisplayArrayInTable(WasteSolid_SourceData.Waste_EmissionFactorsForWasteTreatment_Data(), Table_SourceData_WasteSolid_WasteTreatmentEFs[[#Headers],[Treatment type t]], 0)</f>
        <v>NGAF 2025 table 15</v>
      </c>
      <c r="I24" s="19"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5">
      <c r="A25" s="5" t="str">
        <f>HYPERLINK("#'Input - Manure sent off-site'!A1", "Manure sent off-site")</f>
        <v>Manure sent off-site</v>
      </c>
      <c r="D25" s="1" t="str" cm="1">
        <f t="array" ref="D25">Common_InputFunctions.Utility_DisplayArrayInTable(WasteSolid_SourceData.Waste_EmissionFactorsForWasteTreatment_Data(), Table_SourceData_WasteSolid_WasteTreatmentEFs[[#Headers],[Treatment type t]], 0)</f>
        <v>Landfill</v>
      </c>
      <c r="E25" s="19" t="str" cm="1">
        <f t="array" ref="E25">Common_InputFunctions.Utility_DisplayArrayInTable(WasteSolid_SourceData.Waste_EmissionFactorsForWasteTreatment_Data(), Table_SourceData_WasteSolid_WasteTreatmentEFs[[#Headers],[Treatment type t]], 0)</f>
        <v>Municipal solid waste</v>
      </c>
      <c r="F25" s="19" cm="1">
        <f t="array" ref="F25">Common_InputFunctions.Utility_DisplayArrayInTable(WasteSolid_SourceData.Waste_EmissionFactorsForWasteTreatment_Data(), Table_SourceData_WasteSolid_WasteTreatmentEFs[[#Headers],[Treatment type t]], 0)</f>
        <v>1.6</v>
      </c>
      <c r="G25" s="19" t="str" cm="1">
        <f t="array" ref="G25">Common_InputFunctions.Utility_DisplayArrayInTable(WasteSolid_SourceData.Waste_EmissionFactorsForWasteTreatment_Data(), Table_SourceData_WasteSolid_WasteTreatmentEFs[[#Headers],[Treatment type t]], 0)</f>
        <v>NGAF 2025 table 15</v>
      </c>
      <c r="I25" s="19" t="str">
        <f>Table_SourceData_WasteSolid_WasteTreatmentEFs[[#This Row],[Waste type w]]</f>
        <v>Municipal solid waste</v>
      </c>
      <c r="K25" s="1" t="str">
        <f t="shared" si="0"/>
        <v>Municipal solid waste</v>
      </c>
    </row>
    <row r="26" spans="1:15" ht="20.100000000000001" customHeight="1" x14ac:dyDescent="0.25">
      <c r="A26" s="5" t="str">
        <f>HYPERLINK("#'Input - Refrigerants'!A1", "Refrigerants")</f>
        <v>Refrigerants</v>
      </c>
      <c r="D26" s="1" t="str" cm="1">
        <f t="array" ref="D26">Common_InputFunctions.Utility_DisplayArrayInTable(WasteSolid_SourceData.Waste_EmissionFactorsForWasteTreatment_Data(), Table_SourceData_WasteSolid_WasteTreatmentEFs[[#Headers],[Treatment type t]], 0)</f>
        <v>Landfill</v>
      </c>
      <c r="E26" s="19" t="str" cm="1">
        <f t="array" ref="E26">Common_InputFunctions.Utility_DisplayArrayInTable(WasteSolid_SourceData.Waste_EmissionFactorsForWasteTreatment_Data(), Table_SourceData_WasteSolid_WasteTreatmentEFs[[#Headers],[Treatment type t]], 0)</f>
        <v>Commercial and industrial waste</v>
      </c>
      <c r="F26" s="19" cm="1">
        <f t="array" ref="F26">Common_InputFunctions.Utility_DisplayArrayInTable(WasteSolid_SourceData.Waste_EmissionFactorsForWasteTreatment_Data(), Table_SourceData_WasteSolid_WasteTreatmentEFs[[#Headers],[Treatment type t]], 0)</f>
        <v>1.3</v>
      </c>
      <c r="G26" s="19" t="str" cm="1">
        <f t="array" ref="G26">Common_InputFunctions.Utility_DisplayArrayInTable(WasteSolid_SourceData.Waste_EmissionFactorsForWasteTreatment_Data(), Table_SourceData_WasteSolid_WasteTreatmentEFs[[#Headers],[Treatment type t]], 0)</f>
        <v>NGAF 2025 table 15</v>
      </c>
      <c r="I26" s="19" t="str">
        <f>Table_SourceData_WasteSolid_WasteTreatmentEFs[[#This Row],[Waste type w]]</f>
        <v>Commercial and industrial waste</v>
      </c>
      <c r="K26" s="1" t="str">
        <f t="shared" si="0"/>
        <v>Commercial and industrial waste</v>
      </c>
    </row>
    <row r="27" spans="1:15" ht="20.100000000000001" customHeight="1" x14ac:dyDescent="0.25">
      <c r="A27" s="5" t="str">
        <f>HYPERLINK("#'Input - Data quality'!A1", "Data quality")</f>
        <v>Data quality</v>
      </c>
      <c r="D27" s="1" t="str" cm="1">
        <f t="array" ref="D27">Common_InputFunctions.Utility_DisplayArrayInTable(WasteSolid_SourceData.Waste_EmissionFactorsForWasteTreatment_Data(), Table_SourceData_WasteSolid_WasteTreatmentEFs[[#Headers],[Treatment type t]], 0)</f>
        <v>Landfill</v>
      </c>
      <c r="E27" s="19" t="str" cm="1">
        <f t="array" ref="E27">Common_InputFunctions.Utility_DisplayArrayInTable(WasteSolid_SourceData.Waste_EmissionFactorsForWasteTreatment_Data(), Table_SourceData_WasteSolid_WasteTreatmentEFs[[#Headers],[Treatment type t]], 0)</f>
        <v>Construction and demolition waste</v>
      </c>
      <c r="F27" s="19" cm="1">
        <f t="array" ref="F27">Common_InputFunctions.Utility_DisplayArrayInTable(WasteSolid_SourceData.Waste_EmissionFactorsForWasteTreatment_Data(), Table_SourceData_WasteSolid_WasteTreatmentEFs[[#Headers],[Treatment type t]], 0)</f>
        <v>0.2</v>
      </c>
      <c r="G27" s="19" t="str" cm="1">
        <f t="array" ref="G27">Common_InputFunctions.Utility_DisplayArrayInTable(WasteSolid_SourceData.Waste_EmissionFactorsForWasteTreatment_Data(), Table_SourceData_WasteSolid_WasteTreatmentEFs[[#Headers],[Treatment type t]], 0)</f>
        <v>NGAF 2025 table 15</v>
      </c>
      <c r="I27" s="19" t="str">
        <f>Table_SourceData_WasteSolid_WasteTreatmentEFs[[#This Row],[Waste type w]]</f>
        <v>Construction and demolition waste</v>
      </c>
    </row>
    <row r="28" spans="1:15" ht="20.100000000000001" customHeight="1" x14ac:dyDescent="0.25">
      <c r="D28" s="1" t="str" cm="1">
        <f t="array" ref="D28">Common_InputFunctions.Utility_DisplayArrayInTable(WasteSolid_SourceData.Waste_EmissionFactorsForWasteTreatment_Data(), Table_SourceData_WasteSolid_WasteTreatmentEFs[[#Headers],[Treatment type t]], 0)</f>
        <v>Incineration</v>
      </c>
      <c r="E28" s="19" t="str" cm="1">
        <f t="array" ref="E28">Common_InputFunctions.Utility_DisplayArrayInTable(WasteSolid_SourceData.Waste_EmissionFactorsForWasteTreatment_Data(), Table_SourceData_WasteSolid_WasteTreatmentEFs[[#Headers],[Treatment type t]], 0)</f>
        <v>Food waste, green waste, wood, sludge</v>
      </c>
      <c r="F28" s="19" cm="1">
        <f t="array" ref="F28">Common_InputFunctions.Utility_DisplayArrayInTable(WasteSolid_SourceData.Waste_EmissionFactorsForWasteTreatment_Data(), Table_SourceData_WasteSolid_WasteTreatmentEFs[[#Headers],[Treatment type t]], 0)</f>
        <v>0</v>
      </c>
      <c r="G28" s="19"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D29" s="1" t="str" cm="1">
        <f t="array" ref="D29">Common_InputFunctions.Utility_DisplayArrayInTable(WasteSolid_SourceData.Waste_EmissionFactorsForWasteTreatment_Data(), Table_SourceData_WasteSolid_WasteTreatmentEFs[[#Headers],[Treatment type t]], 0)</f>
        <v>Incineration</v>
      </c>
      <c r="E29" s="19"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9" cm="1">
        <f t="array" ref="F29">Common_InputFunctions.Utility_DisplayArrayInTable(WasteSolid_SourceData.Waste_EmissionFactorsForWasteTreatment_Data(), Table_SourceData_WasteSolid_WasteTreatmentEFs[[#Headers],[Treatment type t]], 0)</f>
        <v>0</v>
      </c>
      <c r="G29" s="19"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A30" s="6" t="s">
        <v>2</v>
      </c>
      <c r="D30" s="1" t="str" cm="1">
        <f t="array" ref="D30">Common_InputFunctions.Utility_DisplayArrayInTable(WasteSolid_SourceData.Waste_EmissionFactorsForWasteTreatment_Data(), Table_SourceData_WasteSolid_WasteTreatmentEFs[[#Headers],[Treatment type t]], 0)</f>
        <v>Incineration</v>
      </c>
      <c r="E30" s="19" t="str" cm="1">
        <f t="array" ref="E30">Common_InputFunctions.Utility_DisplayArrayInTable(WasteSolid_SourceData.Waste_EmissionFactorsForWasteTreatment_Data(), Table_SourceData_WasteSolid_WasteTreatmentEFs[[#Headers],[Treatment type t]], 0)</f>
        <v>Green waste (including crop residues or prunings)</v>
      </c>
      <c r="F30" s="19" cm="1">
        <f t="array" ref="F30">Common_InputFunctions.Utility_DisplayArrayInTable(WasteSolid_SourceData.Waste_EmissionFactorsForWasteTreatment_Data(), Table_SourceData_WasteSolid_WasteTreatmentEFs[[#Headers],[Treatment type t]], 0)</f>
        <v>0</v>
      </c>
      <c r="G30" s="19"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A31" s="5" t="str">
        <f>HYPERLINK("#'3.3.1.1-2 Enteric Methane'!A1", "3.3.1.1-2 Enteric methane")</f>
        <v>3.3.1.1-2 Enteric methane</v>
      </c>
      <c r="D31" s="1" t="str" cm="1">
        <f t="array" ref="D31">Common_InputFunctions.Utility_DisplayArrayInTable(WasteSolid_SourceData.Waste_EmissionFactorsForWasteTreatment_Data(), Table_SourceData_WasteSolid_WasteTreatmentEFs[[#Headers],[Treatment type t]], 0)</f>
        <v>Incineration</v>
      </c>
      <c r="E31" s="19" t="str" cm="1">
        <f t="array" ref="E31">Common_InputFunctions.Utility_DisplayArrayInTable(WasteSolid_SourceData.Waste_EmissionFactorsForWasteTreatment_Data(), Table_SourceData_WasteSolid_WasteTreatmentEFs[[#Headers],[Treatment type t]], 0)</f>
        <v>Wood</v>
      </c>
      <c r="F31" s="19" cm="1">
        <f t="array" ref="F31">Common_InputFunctions.Utility_DisplayArrayInTable(WasteSolid_SourceData.Waste_EmissionFactorsForWasteTreatment_Data(), Table_SourceData_WasteSolid_WasteTreatmentEFs[[#Headers],[Treatment type t]], 0)</f>
        <v>0</v>
      </c>
      <c r="G31" s="19"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A32" s="5" t="str">
        <f>HYPERLINK("#'4.3.1.1-2 Methane'!A1", "4.3.1.1-2 Manure methane")</f>
        <v>4.3.1.1-2 Manure methane</v>
      </c>
      <c r="D32" s="1" t="str" cm="1">
        <f t="array" ref="D32">Common_InputFunctions.Utility_DisplayArrayInTable(WasteSolid_SourceData.Waste_EmissionFactorsForWasteTreatment_Data(), Table_SourceData_WasteSolid_WasteTreatmentEFs[[#Headers],[Treatment type t]], 0)</f>
        <v>Incineration</v>
      </c>
      <c r="E32" s="19" t="str" cm="1">
        <f t="array" ref="E32">Common_InputFunctions.Utility_DisplayArrayInTable(WasteSolid_SourceData.Waste_EmissionFactorsForWasteTreatment_Data(), Table_SourceData_WasteSolid_WasteTreatmentEFs[[#Headers],[Treatment type t]], 0)</f>
        <v>Sludge</v>
      </c>
      <c r="F32" s="19" cm="1">
        <f t="array" ref="F32">Common_InputFunctions.Utility_DisplayArrayInTable(WasteSolid_SourceData.Waste_EmissionFactorsForWasteTreatment_Data(), Table_SourceData_WasteSolid_WasteTreatmentEFs[[#Headers],[Treatment type t]], 0)</f>
        <v>0</v>
      </c>
      <c r="G32" s="19"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5">
      <c r="A33" s="5" t="str">
        <f>HYPERLINK("#'4.3.1.3-4 Direct N20'!A1", "4.3.1.3-4 Direct N20")</f>
        <v>4.3.1.3-4 Direct N20</v>
      </c>
      <c r="D33" s="1" t="str" cm="1">
        <f t="array" ref="D33">Common_InputFunctions.Utility_DisplayArrayInTable(WasteSolid_SourceData.Waste_EmissionFactorsForWasteTreatment_Data(), Table_SourceData_WasteSolid_WasteTreatmentEFs[[#Headers],[Treatment type t]], 0)</f>
        <v>Incineration</v>
      </c>
      <c r="E33" s="19" t="str" cm="1">
        <f t="array" ref="E33">Common_InputFunctions.Utility_DisplayArrayInTable(WasteSolid_SourceData.Waste_EmissionFactorsForWasteTreatment_Data(), Table_SourceData_WasteSolid_WasteTreatmentEFs[[#Headers],[Treatment type t]], 0)</f>
        <v>Paper and cardboard</v>
      </c>
      <c r="F33" s="19" cm="1">
        <f t="array" ref="F33">Common_InputFunctions.Utility_DisplayArrayInTable(WasteSolid_SourceData.Waste_EmissionFactorsForWasteTreatment_Data(), Table_SourceData_WasteSolid_WasteTreatmentEFs[[#Headers],[Treatment type t]], 0)</f>
        <v>1.6899999999999998E-2</v>
      </c>
      <c r="G33" s="19"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5">
      <c r="A34" s="5" t="str">
        <f>HYPERLINK("#'4.3.1.5 Atmos deposition'!A1", "4.3.1.5 Atmos deposition")</f>
        <v>4.3.1.5 Atmos deposition</v>
      </c>
      <c r="D34" s="1" t="str" cm="1">
        <f t="array" ref="D34">Common_InputFunctions.Utility_DisplayArrayInTable(WasteSolid_SourceData.Waste_EmissionFactorsForWasteTreatment_Data(), Table_SourceData_WasteSolid_WasteTreatmentEFs[[#Headers],[Treatment type t]], 0)</f>
        <v>Incineration</v>
      </c>
      <c r="E34" s="19" t="str" cm="1">
        <f t="array" ref="E34">Common_InputFunctions.Utility_DisplayArrayInTable(WasteSolid_SourceData.Waste_EmissionFactorsForWasteTreatment_Data(), Table_SourceData_WasteSolid_WasteTreatmentEFs[[#Headers],[Treatment type t]], 0)</f>
        <v>Textiles</v>
      </c>
      <c r="F34" s="19" cm="1">
        <f t="array" ref="F34">Common_InputFunctions.Utility_DisplayArrayInTable(WasteSolid_SourceData.Waste_EmissionFactorsForWasteTreatment_Data(), Table_SourceData_WasteSolid_WasteTreatmentEFs[[#Headers],[Treatment type t]], 0)</f>
        <v>0.36670000000000003</v>
      </c>
      <c r="G34" s="19"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5">
      <c r="A35" s="5" t="str">
        <f>HYPERLINK("#'4.3.1.6-7 Leaching and runoff'!A1", "4.3.1.6-7 Leaching &amp; runoff")</f>
        <v>4.3.1.6-7 Leaching &amp; runoff</v>
      </c>
      <c r="D35" s="1" t="str" cm="1">
        <f t="array" ref="D35">Common_InputFunctions.Utility_DisplayArrayInTable(WasteSolid_SourceData.Waste_EmissionFactorsForWasteTreatment_Data(), Table_SourceData_WasteSolid_WasteTreatmentEFs[[#Headers],[Treatment type t]], 0)</f>
        <v>Incineration</v>
      </c>
      <c r="E35" s="19" t="str" cm="1">
        <f t="array" ref="E35">Common_InputFunctions.Utility_DisplayArrayInTable(WasteSolid_SourceData.Waste_EmissionFactorsForWasteTreatment_Data(), Table_SourceData_WasteSolid_WasteTreatmentEFs[[#Headers],[Treatment type t]], 0)</f>
        <v>Rubber and leather</v>
      </c>
      <c r="F35" s="19" cm="1">
        <f t="array" ref="F35">Common_InputFunctions.Utility_DisplayArrayInTable(WasteSolid_SourceData.Waste_EmissionFactorsForWasteTreatment_Data(), Table_SourceData_WasteSolid_WasteTreatmentEFs[[#Headers],[Treatment type t]], 0)</f>
        <v>0.4919</v>
      </c>
      <c r="G35" s="19"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5">
      <c r="A36" s="5" t="str">
        <f>HYPERLINK("#'4.3.1.8 Manure applied to soils'!A1", "4.3.1.8 Manure applied to soils")</f>
        <v>4.3.1.8 Manure applied to soils</v>
      </c>
      <c r="D36" s="1" t="str" cm="1">
        <f t="array" ref="D36">Common_InputFunctions.Utility_DisplayArrayInTable(WasteSolid_SourceData.Waste_EmissionFactorsForWasteTreatment_Data(), Table_SourceData_WasteSolid_WasteTreatmentEFs[[#Headers],[Treatment type t]], 0)</f>
        <v>Incineration</v>
      </c>
      <c r="E36" s="19" t="str" cm="1">
        <f t="array" ref="E36">Common_InputFunctions.Utility_DisplayArrayInTable(WasteSolid_SourceData.Waste_EmissionFactorsForWasteTreatment_Data(), Table_SourceData_WasteSolid_WasteTreatmentEFs[[#Headers],[Treatment type t]], 0)</f>
        <v>Inert waste (including concrete, metal, plastic or glass)</v>
      </c>
      <c r="F36" s="19" cm="1">
        <f t="array" ref="F36">Common_InputFunctions.Utility_DisplayArrayInTable(WasteSolid_SourceData.Waste_EmissionFactorsForWasteTreatment_Data(), Table_SourceData_WasteSolid_WasteTreatmentEFs[[#Headers],[Treatment type t]], 0)</f>
        <v>0.11</v>
      </c>
      <c r="G36" s="19"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5">
      <c r="A37" s="5" t="str">
        <f>HYPERLINK("#'4.3.1.9 Soil direct N2O'!A1", "4.3.1.9 Soil direct N2O")</f>
        <v>4.3.1.9 Soil direct N2O</v>
      </c>
      <c r="D37" s="1" t="str" cm="1">
        <f t="array" ref="D37">Common_InputFunctions.Utility_DisplayArrayInTable(WasteSolid_SourceData.Waste_EmissionFactorsForWasteTreatment_Data(), Table_SourceData_WasteSolid_WasteTreatmentEFs[[#Headers],[Treatment type t]], 0)</f>
        <v>Incineration</v>
      </c>
      <c r="E37" s="19" t="str" cm="1">
        <f t="array" ref="E37">Common_InputFunctions.Utility_DisplayArrayInTable(WasteSolid_SourceData.Waste_EmissionFactorsForWasteTreatment_Data(), Table_SourceData_WasteSolid_WasteTreatmentEFs[[#Headers],[Treatment type t]], 0)</f>
        <v>Municipal solid waste</v>
      </c>
      <c r="F37" s="19" cm="1">
        <f t="array" ref="F37">Common_InputFunctions.Utility_DisplayArrayInTable(WasteSolid_SourceData.Waste_EmissionFactorsForWasteTreatment_Data(), Table_SourceData_WasteSolid_WasteTreatmentEFs[[#Headers],[Treatment type t]], 0)</f>
        <v>5.3699999999999998E-2</v>
      </c>
      <c r="G37" s="251"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5">
      <c r="A38" s="5" t="str">
        <f>HYPERLINK("#'4.3.1.10-11 Soil Atmos Dep'!A1", "4.3.1.10-11 Soil Atmos Deposition")</f>
        <v>4.3.1.10-11 Soil Atmos Deposition</v>
      </c>
      <c r="D38" s="1" t="str" cm="1">
        <f t="array" ref="D38">Common_InputFunctions.Utility_DisplayArrayInTable(WasteSolid_SourceData.Waste_EmissionFactorsForWasteTreatment_Data(), Table_SourceData_WasteSolid_WasteTreatmentEFs[[#Headers],[Treatment type t]], 0)</f>
        <v>Incineration</v>
      </c>
      <c r="E38" s="19" t="str" cm="1">
        <f t="array" ref="E38">Common_InputFunctions.Utility_DisplayArrayInTable(WasteSolid_SourceData.Waste_EmissionFactorsForWasteTreatment_Data(), Table_SourceData_WasteSolid_WasteTreatmentEFs[[#Headers],[Treatment type t]], 0)</f>
        <v>Commercial and industrial waste</v>
      </c>
      <c r="F38" s="19" cm="1">
        <f t="array" ref="F38">Common_InputFunctions.Utility_DisplayArrayInTable(WasteSolid_SourceData.Waste_EmissionFactorsForWasteTreatment_Data(), Table_SourceData_WasteSolid_WasteTreatmentEFs[[#Headers],[Treatment type t]], 0)</f>
        <v>1.649</v>
      </c>
      <c r="G38" s="251"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5">
      <c r="A39" s="5" t="str">
        <f>HYPERLINK("#'4.3.1.12-13 Soil leach runoff'!A1", "4.3.1.12-13 Soil leach &amp; runoff")</f>
        <v>4.3.1.12-13 Soil leach &amp; runoff</v>
      </c>
      <c r="D39" s="1" t="str" cm="1">
        <f t="array" ref="D39">Common_InputFunctions.Utility_DisplayArrayInTable(WasteSolid_SourceData.Waste_EmissionFactorsForWasteTreatment_Data(), Table_SourceData_WasteSolid_WasteTreatmentEFs[[#Headers],[Treatment type t]], 0)</f>
        <v>Composting</v>
      </c>
      <c r="E39" s="19" t="str" cm="1">
        <f t="array" ref="E39">Common_InputFunctions.Utility_DisplayArrayInTable(WasteSolid_SourceData.Waste_EmissionFactorsForWasteTreatment_Data(), Table_SourceData_WasteSolid_WasteTreatmentEFs[[#Headers],[Treatment type t]], 0)</f>
        <v>All organic waste</v>
      </c>
      <c r="F39" s="19" cm="1">
        <f t="array" ref="F39">Common_InputFunctions.Utility_DisplayArrayInTable(WasteSolid_SourceData.Waste_EmissionFactorsForWasteTreatment_Data(), Table_SourceData_WasteSolid_WasteTreatmentEFs[[#Headers],[Treatment type t]], 0)</f>
        <v>4.5999999999999999E-2</v>
      </c>
      <c r="G39" s="251"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5">
      <c r="A40" s="5" t="str">
        <f>HYPERLINK("#'5.1.1.1-2 Inorganic fert N2O'!A1", "5.1.1.1-2 Inorganic fert N2O")</f>
        <v>5.1.1.1-2 Inorganic fert N2O</v>
      </c>
      <c r="D40" s="1" t="str" cm="1">
        <f t="array" ref="D40">Common_InputFunctions.Utility_DisplayArrayInTable(WasteSolid_SourceData.Waste_EmissionFactorsForWasteTreatment_Data(), Table_SourceData_WasteSolid_WasteTreatmentEFs[[#Headers],[Treatment type t]], 0)</f>
        <v>Composting</v>
      </c>
      <c r="E40" s="19"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9" cm="1">
        <f t="array" ref="F40">Common_InputFunctions.Utility_DisplayArrayInTable(WasteSolid_SourceData.Waste_EmissionFactorsForWasteTreatment_Data(), Table_SourceData_WasteSolid_WasteTreatmentEFs[[#Headers],[Treatment type t]], 0)</f>
        <v>4.5999999999999999E-2</v>
      </c>
      <c r="G40" s="251"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5">
      <c r="A41" s="5" t="str">
        <f>HYPERLINK("#'5.1.1.3-4 Inorganic fert CO2'!A1", "5.1.1.3-4 Inorganic fert CO2")</f>
        <v>5.1.1.3-4 Inorganic fert CO2</v>
      </c>
      <c r="D41" s="1" t="str" cm="1">
        <f t="array" ref="D41">Common_InputFunctions.Utility_DisplayArrayInTable(WasteSolid_SourceData.Waste_EmissionFactorsForWasteTreatment_Data(), Table_SourceData_WasteSolid_WasteTreatmentEFs[[#Headers],[Treatment type t]], 0)</f>
        <v>Composting</v>
      </c>
      <c r="E41" s="19" t="str" cm="1">
        <f t="array" ref="E41">Common_InputFunctions.Utility_DisplayArrayInTable(WasteSolid_SourceData.Waste_EmissionFactorsForWasteTreatment_Data(), Table_SourceData_WasteSolid_WasteTreatmentEFs[[#Headers],[Treatment type t]], 0)</f>
        <v>Green waste (including crop residues or prunings)</v>
      </c>
      <c r="F41" s="19" cm="1">
        <f t="array" ref="F41">Common_InputFunctions.Utility_DisplayArrayInTable(WasteSolid_SourceData.Waste_EmissionFactorsForWasteTreatment_Data(), Table_SourceData_WasteSolid_WasteTreatmentEFs[[#Headers],[Treatment type t]], 0)</f>
        <v>4.5999999999999999E-2</v>
      </c>
      <c r="G41" s="251"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5">
      <c r="A42" s="5" t="str">
        <f>HYPERLINK("#'5.2.1.1-2 Organic Fert N2O'!A1", "5.2.1.1-2 Organic fert N2O")</f>
        <v>5.2.1.1-2 Organic fert N2O</v>
      </c>
      <c r="D42" s="1" t="str" cm="1">
        <f t="array" ref="D42">Common_InputFunctions.Utility_DisplayArrayInTable(WasteSolid_SourceData.Waste_EmissionFactorsForWasteTreatment_Data(), Table_SourceData_WasteSolid_WasteTreatmentEFs[[#Headers],[Treatment type t]], 0)</f>
        <v>Composting</v>
      </c>
      <c r="E42" s="19" t="str" cm="1">
        <f t="array" ref="E42">Common_InputFunctions.Utility_DisplayArrayInTable(WasteSolid_SourceData.Waste_EmissionFactorsForWasteTreatment_Data(), Table_SourceData_WasteSolid_WasteTreatmentEFs[[#Headers],[Treatment type t]], 0)</f>
        <v>Wood</v>
      </c>
      <c r="F42" s="19" cm="1">
        <f t="array" ref="F42">Common_InputFunctions.Utility_DisplayArrayInTable(WasteSolid_SourceData.Waste_EmissionFactorsForWasteTreatment_Data(), Table_SourceData_WasteSolid_WasteTreatmentEFs[[#Headers],[Treatment type t]], 0)</f>
        <v>4.5999999999999999E-2</v>
      </c>
      <c r="G42" s="251"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5">
      <c r="A43" s="5" t="str">
        <f>HYPERLINK("#'5.3.1.1-2 Lime CO2'!A1", "5.3.1.1-2 Lime CO2")</f>
        <v>5.3.1.1-2 Lime CO2</v>
      </c>
      <c r="D43" s="1" t="str" cm="1">
        <f t="array" ref="D43">Common_InputFunctions.Utility_DisplayArrayInTable(WasteSolid_SourceData.Waste_EmissionFactorsForWasteTreatment_Data(), Table_SourceData_WasteSolid_WasteTreatmentEFs[[#Headers],[Treatment type t]], 0)</f>
        <v>Composting</v>
      </c>
      <c r="E43" s="19" t="str" cm="1">
        <f t="array" ref="E43">Common_InputFunctions.Utility_DisplayArrayInTable(WasteSolid_SourceData.Waste_EmissionFactorsForWasteTreatment_Data(), Table_SourceData_WasteSolid_WasteTreatmentEFs[[#Headers],[Treatment type t]], 0)</f>
        <v>Sludge</v>
      </c>
      <c r="F43" s="19" cm="1">
        <f t="array" ref="F43">Common_InputFunctions.Utility_DisplayArrayInTable(WasteSolid_SourceData.Waste_EmissionFactorsForWasteTreatment_Data(), Table_SourceData_WasteSolid_WasteTreatmentEFs[[#Headers],[Treatment type t]], 0)</f>
        <v>4.5999999999999999E-2</v>
      </c>
      <c r="G43" s="251"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5">
      <c r="A44" s="5" t="str">
        <f>HYPERLINK("#'5.4.1.1-4 Atmos deposition'!A1", "5.4.1.1-4 Atmos. deposition")</f>
        <v>5.4.1.1-4 Atmos. deposition</v>
      </c>
      <c r="D44" s="1" t="str" cm="1">
        <f t="array" ref="D44">Common_InputFunctions.Utility_DisplayArrayInTable(WasteSolid_SourceData.Waste_EmissionFactorsForWasteTreatment_Data(), Table_SourceData_WasteSolid_WasteTreatmentEFs[[#Headers],[Treatment type t]], 0)</f>
        <v>Composting</v>
      </c>
      <c r="E44" s="19" t="str" cm="1">
        <f t="array" ref="E44">Common_InputFunctions.Utility_DisplayArrayInTable(WasteSolid_SourceData.Waste_EmissionFactorsForWasteTreatment_Data(), Table_SourceData_WasteSolid_WasteTreatmentEFs[[#Headers],[Treatment type t]], 0)</f>
        <v>Paper and cardboard</v>
      </c>
      <c r="F44" s="19" cm="1">
        <f t="array" ref="F44">Common_InputFunctions.Utility_DisplayArrayInTable(WasteSolid_SourceData.Waste_EmissionFactorsForWasteTreatment_Data(), Table_SourceData_WasteSolid_WasteTreatmentEFs[[#Headers],[Treatment type t]], 0)</f>
        <v>4.5999999999999999E-2</v>
      </c>
      <c r="G44" s="251"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5">
      <c r="A45" s="5" t="str">
        <f>HYPERLINK("#'5.5.1.1-2 Leaching and runoff'!A1", "5.5.1.1-2 Leaching &amp; runoff")</f>
        <v>5.5.1.1-2 Leaching &amp; runoff</v>
      </c>
      <c r="D45" s="1" t="str" cm="1">
        <f t="array" ref="D45">Common_InputFunctions.Utility_DisplayArrayInTable(WasteSolid_SourceData.Waste_EmissionFactorsForWasteTreatment_Data(), Table_SourceData_WasteSolid_WasteTreatmentEFs[[#Headers],[Treatment type t]], 0)</f>
        <v>Anaerobic digestion</v>
      </c>
      <c r="E45" s="19" t="str" cm="1">
        <f t="array" ref="E45">Common_InputFunctions.Utility_DisplayArrayInTable(WasteSolid_SourceData.Waste_EmissionFactorsForWasteTreatment_Data(), Table_SourceData_WasteSolid_WasteTreatmentEFs[[#Headers],[Treatment type t]], 0)</f>
        <v>All organic waste</v>
      </c>
      <c r="F45" s="19" cm="1">
        <f t="array" ref="F45">Common_InputFunctions.Utility_DisplayArrayInTable(WasteSolid_SourceData.Waste_EmissionFactorsForWasteTreatment_Data(), Table_SourceData_WasteSolid_WasteTreatmentEFs[[#Headers],[Treatment type t]], 0)</f>
        <v>2.8000000000000001E-2</v>
      </c>
      <c r="G45" s="251"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5">
      <c r="A46" s="5" t="str">
        <f>HYPERLINK("#'6.2.1.1-2 Pasture residue N2O'!A1", "6.2.1.1-2 Pasture residue N2O")</f>
        <v>6.2.1.1-2 Pasture residue N2O</v>
      </c>
      <c r="D46" s="1" t="str" cm="1">
        <f t="array" ref="D46">Common_InputFunctions.Utility_DisplayArrayInTable(WasteSolid_SourceData.Waste_EmissionFactorsForWasteTreatment_Data(), Table_SourceData_WasteSolid_WasteTreatmentEFs[[#Headers],[Treatment type t]], 0)</f>
        <v>Anaerobic digestion</v>
      </c>
      <c r="E46" s="19"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9" cm="1">
        <f t="array" ref="F46">Common_InputFunctions.Utility_DisplayArrayInTable(WasteSolid_SourceData.Waste_EmissionFactorsForWasteTreatment_Data(), Table_SourceData_WasteSolid_WasteTreatmentEFs[[#Headers],[Treatment type t]], 0)</f>
        <v>2.8000000000000001E-2</v>
      </c>
      <c r="G46" s="251"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5">
      <c r="A47" s="5" t="str">
        <f>HYPERLINK("#'6.3.1.1-2 Leach runoff pasture'!A1", "6.3.1.1-2 Leach &amp; runoff (pasture)")</f>
        <v>6.3.1.1-2 Leach &amp; runoff (pasture)</v>
      </c>
      <c r="D47" s="1" t="str" cm="1">
        <f t="array" ref="D47">Common_InputFunctions.Utility_DisplayArrayInTable(WasteSolid_SourceData.Waste_EmissionFactorsForWasteTreatment_Data(), Table_SourceData_WasteSolid_WasteTreatmentEFs[[#Headers],[Treatment type t]], 0)</f>
        <v>Anaerobic digestion</v>
      </c>
      <c r="E47" s="19" t="str" cm="1">
        <f t="array" ref="E47">Common_InputFunctions.Utility_DisplayArrayInTable(WasteSolid_SourceData.Waste_EmissionFactorsForWasteTreatment_Data(), Table_SourceData_WasteSolid_WasteTreatmentEFs[[#Headers],[Treatment type t]], 0)</f>
        <v>Green waste (including crop residues or prunings)</v>
      </c>
      <c r="F47" s="19" cm="1">
        <f t="array" ref="F47">Common_InputFunctions.Utility_DisplayArrayInTable(WasteSolid_SourceData.Waste_EmissionFactorsForWasteTreatment_Data(), Table_SourceData_WasteSolid_WasteTreatmentEFs[[#Headers],[Treatment type t]], 0)</f>
        <v>2.8000000000000001E-2</v>
      </c>
      <c r="G47" s="251"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5">
      <c r="A48" s="5" t="str">
        <f>HYPERLINK("#'8.1.1.1-2 Transport fuel'!A1", "8.1.1.1-2 Transport fuel")</f>
        <v>8.1.1.1-2 Transport fuel</v>
      </c>
      <c r="D48" s="1" t="str" cm="1">
        <f t="array" ref="D48">Common_InputFunctions.Utility_DisplayArrayInTable(WasteSolid_SourceData.Waste_EmissionFactorsForWasteTreatment_Data(), Table_SourceData_WasteSolid_WasteTreatmentEFs[[#Headers],[Treatment type t]], 0)</f>
        <v>Anaerobic digestion</v>
      </c>
      <c r="E48" s="19" t="str" cm="1">
        <f t="array" ref="E48">Common_InputFunctions.Utility_DisplayArrayInTable(WasteSolid_SourceData.Waste_EmissionFactorsForWasteTreatment_Data(), Table_SourceData_WasteSolid_WasteTreatmentEFs[[#Headers],[Treatment type t]], 0)</f>
        <v>Wood</v>
      </c>
      <c r="F48" s="19" cm="1">
        <f t="array" ref="F48">Common_InputFunctions.Utility_DisplayArrayInTable(WasteSolid_SourceData.Waste_EmissionFactorsForWasteTreatment_Data(), Table_SourceData_WasteSolid_WasteTreatmentEFs[[#Headers],[Treatment type t]], 0)</f>
        <v>2.8000000000000001E-2</v>
      </c>
      <c r="G48" s="251"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A49" s="5" t="str">
        <f>HYPERLINK("#'8.2.1.1-2 Stationary fuel'!A1", "8.2.1.1-2 Stationary fuel")</f>
        <v>8.2.1.1-2 Stationary fuel</v>
      </c>
      <c r="D49" s="1" t="str" cm="1">
        <f t="array" ref="D49">Common_InputFunctions.Utility_DisplayArrayInTable(WasteSolid_SourceData.Waste_EmissionFactorsForWasteTreatment_Data(), Table_SourceData_WasteSolid_WasteTreatmentEFs[[#Headers],[Treatment type t]], 0)</f>
        <v>Anaerobic digestion</v>
      </c>
      <c r="E49" s="19" t="str" cm="1">
        <f t="array" ref="E49">Common_InputFunctions.Utility_DisplayArrayInTable(WasteSolid_SourceData.Waste_EmissionFactorsForWasteTreatment_Data(), Table_SourceData_WasteSolid_WasteTreatmentEFs[[#Headers],[Treatment type t]], 0)</f>
        <v>Sludge</v>
      </c>
      <c r="F49" s="19" cm="1">
        <f t="array" ref="F49">Common_InputFunctions.Utility_DisplayArrayInTable(WasteSolid_SourceData.Waste_EmissionFactorsForWasteTreatment_Data(), Table_SourceData_WasteSolid_WasteTreatmentEFs[[#Headers],[Treatment type t]], 0)</f>
        <v>2.8000000000000001E-2</v>
      </c>
      <c r="G49" s="251"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A50" s="5" t="str">
        <f>HYPERLINK("#'9.1.1.1-2 Refrigerant use'!A1", "9.1.1.1-2 Refrigerant use")</f>
        <v>9.1.1.1-2 Refrigerant use</v>
      </c>
      <c r="D50" s="1" t="str" cm="1">
        <f t="array" ref="D50">Common_InputFunctions.Utility_DisplayArrayInTable(WasteSolid_SourceData.Waste_EmissionFactorsForWasteTreatment_Data(), Table_SourceData_WasteSolid_WasteTreatmentEFs[[#Headers],[Treatment type t]], 0)</f>
        <v>Anaerobic digestion</v>
      </c>
      <c r="E50" s="19" t="str" cm="1">
        <f t="array" ref="E50">Common_InputFunctions.Utility_DisplayArrayInTable(WasteSolid_SourceData.Waste_EmissionFactorsForWasteTreatment_Data(), Table_SourceData_WasteSolid_WasteTreatmentEFs[[#Headers],[Treatment type t]], 0)</f>
        <v>Paper and cardboard</v>
      </c>
      <c r="F50" s="19" cm="1">
        <f t="array" ref="F50">Common_InputFunctions.Utility_DisplayArrayInTable(WasteSolid_SourceData.Waste_EmissionFactorsForWasteTreatment_Data(), Table_SourceData_WasteSolid_WasteTreatmentEFs[[#Headers],[Treatment type t]], 0)</f>
        <v>2.8000000000000001E-2</v>
      </c>
      <c r="G50" s="251"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c r="A51" s="5" t="str">
        <f>HYPERLINK("#'10.1.1-2 Solid waste treatment'!A1", "10.1.1.1-2 Solid waste")</f>
        <v>10.1.1.1-2 Solid waste</v>
      </c>
    </row>
    <row r="52" spans="1:7" ht="20.100000000000001" customHeight="1" x14ac:dyDescent="0.25">
      <c r="A52" s="5" t="str">
        <f>HYPERLINK("#'14.1.1-2 Purchased electricity'!A1", "14.1.1-2 Purchased electricity")</f>
        <v>14.1.1-2 Purchased electricity</v>
      </c>
      <c r="D52" s="2" t="str" cm="1">
        <f t="array" ref="D52">WasteSolid_SourceData.Waste_WasteVolumeToMassConversion_Title()</f>
        <v>Volume to mass conversion factor for various waste types</v>
      </c>
    </row>
    <row r="53" spans="1:7" ht="20.100000000000001" customHeight="1" x14ac:dyDescent="0.25">
      <c r="A53" s="5" t="str">
        <f>HYPERLINK("#'15 Scope 3'!A1", "15 Scope 3")</f>
        <v>15 Scope 3</v>
      </c>
      <c r="D53" s="17" t="str" cm="1">
        <f t="array" ref="D53">WasteSolid_SourceData.Waste_WasteVolumeToMassConversion_Source()</f>
        <v>VEERG 2026: Table A.4.1.2</v>
      </c>
    </row>
    <row r="54" spans="1:7" ht="20.100000000000001" customHeight="1" x14ac:dyDescent="0.25">
      <c r="A54" s="5" t="str">
        <f>HYPERLINK("#'Calcs - Manure sent off-site'!A1", "Calcs - Manure sent off-site")</f>
        <v>Calcs - Manure sent off-site</v>
      </c>
      <c r="D54" s="25" t="str" cm="1">
        <f t="array" ref="D54">WasteSolid_SourceData.Waste_WasteVolumeToMassConversion_Variation()</f>
        <v>VARIATION OF SOURCE: Changed column header CFw to VTMw to match title variable.</v>
      </c>
    </row>
    <row r="55" spans="1:7" ht="20.100000000000001" customHeight="1" x14ac:dyDescent="0.25">
      <c r="D55" s="1" t="str" cm="1">
        <f t="array" ref="D55">WasteSolid_SourceData.Waste_WasteVolumeToMassConversion_Variable()</f>
        <v>VTMw</v>
      </c>
    </row>
    <row r="56" spans="1:7" ht="20.100000000000001" customHeight="1" x14ac:dyDescent="0.25">
      <c r="D56" s="9" t="str" cm="1">
        <f t="array" ref="D56">WasteSolid_SourceData.Waste_WasteVolumeToMassConversion_Unit()</f>
        <v>t/m3</v>
      </c>
    </row>
    <row r="57" spans="1:7" ht="20.100000000000001" customHeight="1" x14ac:dyDescent="0.25">
      <c r="A57" s="82" t="s">
        <v>1</v>
      </c>
      <c r="D57" s="19" t="s">
        <v>1124</v>
      </c>
      <c r="E57" s="19" t="s">
        <v>1127</v>
      </c>
    </row>
    <row r="58" spans="1:7" ht="20.100000000000001" customHeight="1" x14ac:dyDescent="0.25">
      <c r="A58" s="5" t="str">
        <f>HYPERLINK("#'Constants - Dairy'!A1", "Constants - Dairy")</f>
        <v>Constants - Dairy</v>
      </c>
      <c r="D58" s="19"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9"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A59" s="5" t="str">
        <f>HYPERLINK("#'Constants - Ag Residue'!A1", "Constants - Ag residue")</f>
        <v>Constants - Ag residue</v>
      </c>
      <c r="D59" s="1" t="str" cm="1">
        <f t="array" ref="D59">Common_InputFunctions.Utility_DisplayArrayInTable(WasteSolid_SourceData.Waste_WasteVolumeToMassConversion_Data(), Table_SourceData_WasteSolid_VolumeToMassConversion[[#Headers],[Waste type w]], 0)</f>
        <v>Paper and cardboard</v>
      </c>
      <c r="E59" s="19"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A60" s="5" t="str">
        <f>HYPERLINK("#'Constants - Common Livestock'!A1", "Constants - Common Livestock")</f>
        <v>Constants - Common Livestock</v>
      </c>
      <c r="D60" s="1" t="str" cm="1">
        <f t="array" ref="D60">Common_InputFunctions.Utility_DisplayArrayInTable(WasteSolid_SourceData.Waste_WasteVolumeToMassConversion_Data(), Table_SourceData_WasteSolid_VolumeToMassConversion[[#Headers],[Waste type w]], 0)</f>
        <v>Green waste (including crop residues or prunings)</v>
      </c>
      <c r="E60" s="19"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A61" s="5" t="str">
        <f>HYPERLINK("#'Constants - Electricity'!A1", "Constants - Electricity")</f>
        <v>Constants - Electricity</v>
      </c>
      <c r="D61" s="1" t="str" cm="1">
        <f t="array" ref="D61">Common_InputFunctions.Utility_DisplayArrayInTable(WasteSolid_SourceData.Waste_WasteVolumeToMassConversion_Data(), Table_SourceData_WasteSolid_VolumeToMassConversion[[#Headers],[Waste type w]], 0)</f>
        <v>Wood</v>
      </c>
      <c r="E61" s="19"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A62" s="5" t="str">
        <f>HYPERLINK("#'Constants - Fertiliser'!A1", "Constants - Fertiliser")</f>
        <v>Constants - Fertiliser</v>
      </c>
      <c r="D62" s="1" t="str" cm="1">
        <f t="array" ref="D62">Common_InputFunctions.Utility_DisplayArrayInTable(WasteSolid_SourceData.Waste_WasteVolumeToMassConversion_Data(), Table_SourceData_WasteSolid_VolumeToMassConversion[[#Headers],[Waste type w]], 0)</f>
        <v>Textiles</v>
      </c>
      <c r="E62" s="19"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A63" s="5" t="str">
        <f>HYPERLINK("#'Constants - Fuel'!A1", "Constants - Fuel")</f>
        <v>Constants - Fuel</v>
      </c>
      <c r="D63" s="1" t="str" cm="1">
        <f t="array" ref="D63">Common_InputFunctions.Utility_DisplayArrayInTable(WasteSolid_SourceData.Waste_WasteVolumeToMassConversion_Data(), Table_SourceData_WasteSolid_VolumeToMassConversion[[#Headers],[Waste type w]], 0)</f>
        <v>Sludge</v>
      </c>
      <c r="E63" s="19"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A64" s="5" t="str">
        <f>HYPERLINK("#'Constants - Scope 3'!A1", "Constants - Scope 3")</f>
        <v>Constants - Scope 3</v>
      </c>
      <c r="D64" s="1" t="str" cm="1">
        <f t="array" ref="D64">Common_InputFunctions.Utility_DisplayArrayInTable(WasteSolid_SourceData.Waste_WasteVolumeToMassConversion_Data(), Table_SourceData_WasteSolid_VolumeToMassConversion[[#Headers],[Waste type w]], 0)</f>
        <v>Rubber and leather</v>
      </c>
      <c r="E64" s="19" cm="1">
        <f t="array" ref="E64">Common_InputFunctions.Utility_DisplayArrayInTable(WasteSolid_SourceData.Waste_WasteVolumeToMassConversion_Data(), Table_SourceData_WasteSolid_VolumeToMassConversion[[#Headers],[Waste type w]], 0)</f>
        <v>0.14000000000000001</v>
      </c>
    </row>
    <row r="65" spans="1:5" ht="20.100000000000001" customHeight="1" x14ac:dyDescent="0.25">
      <c r="A65" s="5" t="str">
        <f>HYPERLINK("#'Constants - Common'!A1", "Constants - Common")</f>
        <v>Constants - Common</v>
      </c>
      <c r="D65" s="1" t="str" cm="1">
        <f t="array" ref="D65">Common_InputFunctions.Utility_DisplayArrayInTable(WasteSolid_SourceData.Waste_WasteVolumeToMassConversion_Data(), Table_SourceData_WasteSolid_VolumeToMassConversion[[#Headers],[Waste type w]], 0)</f>
        <v>Inert waste (including concrete, metal, plastic or glass)</v>
      </c>
      <c r="E65" s="19" cm="1">
        <f t="array" ref="E65">Common_InputFunctions.Utility_DisplayArrayInTable(WasteSolid_SourceData.Waste_WasteVolumeToMassConversion_Data(), Table_SourceData_WasteSolid_VolumeToMassConversion[[#Headers],[Waste type w]], 0)</f>
        <v>0.42</v>
      </c>
    </row>
    <row r="66" spans="1:5" ht="20.100000000000001" customHeight="1" x14ac:dyDescent="0.25">
      <c r="A66" s="5" t="str">
        <f>HYPERLINK("#'Constants - Refrigerants'!A1", "Constants - Refrigerants")</f>
        <v>Constants - Refrigerants</v>
      </c>
      <c r="D66" s="1" t="str" cm="1">
        <f t="array" ref="D66">Common_InputFunctions.Utility_DisplayArrayInTable(WasteSolid_SourceData.Waste_WasteVolumeToMassConversion_Data(), Table_SourceData_WasteSolid_VolumeToMassConversion[[#Headers],[Waste type w]], 0)</f>
        <v>Municipal solid waste</v>
      </c>
      <c r="E66" s="19" cm="1">
        <f t="array" ref="E66">Common_InputFunctions.Utility_DisplayArrayInTable(WasteSolid_SourceData.Waste_WasteVolumeToMassConversion_Data(), Table_SourceData_WasteSolid_VolumeToMassConversion[[#Headers],[Waste type w]], 0)</f>
        <v>0.36</v>
      </c>
    </row>
    <row r="67" spans="1:5" ht="20.100000000000001" customHeight="1" x14ac:dyDescent="0.25">
      <c r="A67" s="83" t="str">
        <f>HYPERLINK("#'Constants - Solid Waste'!A1", "Constants - Solid Waste")</f>
        <v>Constants - Solid Waste</v>
      </c>
      <c r="D67" s="1" t="str" cm="1">
        <f t="array" ref="D67">Common_InputFunctions.Utility_DisplayArrayInTable(WasteSolid_SourceData.Waste_WasteVolumeToMassConversion_Data(), Table_SourceData_WasteSolid_VolumeToMassConversion[[#Headers],[Waste type w]], 0)</f>
        <v>Commercial and industrial waste</v>
      </c>
      <c r="E67" s="19" cm="1">
        <f t="array" ref="E67">Common_InputFunctions.Utility_DisplayArrayInTable(WasteSolid_SourceData.Waste_WasteVolumeToMassConversion_Data(), Table_SourceData_WasteSolid_VolumeToMassConversion[[#Headers],[Waste type w]], 0)</f>
        <v>0.33</v>
      </c>
    </row>
    <row r="68" spans="1:5" ht="20.100000000000001" customHeight="1" x14ac:dyDescent="0.25">
      <c r="A68" s="5" t="str">
        <f>HYPERLINK("#'Acknowledgements'!A1", "Acknowledgements")</f>
        <v>Acknowledgements</v>
      </c>
      <c r="D68" s="1" t="str" cm="1">
        <f t="array" ref="D68">Common_InputFunctions.Utility_DisplayArrayInTable(WasteSolid_SourceData.Waste_WasteVolumeToMassConversion_Data(), Table_SourceData_WasteSolid_VolumeToMassConversion[[#Headers],[Waste type w]], 0)</f>
        <v>Construction and demolition waste</v>
      </c>
      <c r="E68" s="19" cm="1">
        <f t="array" ref="E68">Common_InputFunctions.Utility_DisplayArrayInTable(WasteSolid_SourceData.Waste_WasteVolumeToMassConversion_Data(), Table_SourceData_WasteSolid_VolumeToMassConversion[[#Headers],[Waste type w]], 0)</f>
        <v>0.39</v>
      </c>
    </row>
    <row r="69" spans="1:5" ht="20.100000000000001" customHeight="1" x14ac:dyDescent="0.25"/>
    <row r="70" spans="1:5" ht="20.100000000000001" customHeight="1" x14ac:dyDescent="0.25"/>
    <row r="71" spans="1:5" ht="20.100000000000001" customHeight="1" x14ac:dyDescent="0.25"/>
    <row r="72" spans="1:5" ht="20.100000000000001" customHeight="1" x14ac:dyDescent="0.25"/>
    <row r="73" spans="1:5" ht="20.100000000000001" customHeight="1" x14ac:dyDescent="0.25"/>
    <row r="74" spans="1:5" ht="20.100000000000001" customHeight="1" x14ac:dyDescent="0.25"/>
    <row r="75" spans="1:5" ht="20.100000000000001" customHeight="1" x14ac:dyDescent="0.25"/>
    <row r="76" spans="1:5" ht="20.100000000000001" customHeight="1" x14ac:dyDescent="0.25"/>
    <row r="77" spans="1:5" ht="20.100000000000001" customHeight="1" x14ac:dyDescent="0.25"/>
    <row r="78" spans="1:5" ht="20.100000000000001" customHeight="1" x14ac:dyDescent="0.25"/>
    <row r="79" spans="1:5" ht="20.100000000000001" customHeight="1" x14ac:dyDescent="0.25"/>
    <row r="80" spans="1: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C72E9-DDA3-4856-A62A-1FFD1A3714C8}">
  <sheetPr>
    <tabColor theme="2" tint="-0.499984740745262"/>
  </sheetPr>
  <dimension ref="A1:A68"/>
  <sheetViews>
    <sheetView zoomScaleNormal="100" workbookViewId="0">
      <pane xSplit="1" topLeftCell="B1" activePane="topRight" state="frozenSplit"/>
      <selection pane="topRight" activeCell="A67" sqref="A67"/>
    </sheetView>
  </sheetViews>
  <sheetFormatPr defaultRowHeight="15" x14ac:dyDescent="0.25"/>
  <cols>
    <col min="1" max="1" width="36.7109375" customWidth="1"/>
  </cols>
  <sheetData>
    <row r="1" spans="1:1" ht="25.5" x14ac:dyDescent="0.35">
      <c r="A1" s="10" t="e" vm="1">
        <v>#VALUE!</v>
      </c>
    </row>
    <row r="3" spans="1:1" ht="15.75" x14ac:dyDescent="0.25">
      <c r="A3" s="5" t="str">
        <f>HYPERLINK("#'Home'!A1", "Home")</f>
        <v>Home</v>
      </c>
    </row>
    <row r="4" spans="1:1" ht="15.75" x14ac:dyDescent="0.25">
      <c r="A4" s="5" t="str">
        <f>HYPERLINK("#'Results - Activity period'!A1", "Results - Activity period")</f>
        <v>Results - Activity period</v>
      </c>
    </row>
    <row r="5" spans="1:1" ht="15.75" x14ac:dyDescent="0.25">
      <c r="A5" s="5" t="str">
        <f>HYPERLINK("#'Results - Product EI'!A1", "Results - Product Emissions Intensity")</f>
        <v>Results - Product Emissions Intensity</v>
      </c>
    </row>
    <row r="6" spans="1:1" ht="15.75" x14ac:dyDescent="0.25">
      <c r="A6" s="5" t="str">
        <f>HYPERLINK("#'Results'!A1", "Results")</f>
        <v>Results</v>
      </c>
    </row>
    <row r="9" spans="1:1" x14ac:dyDescent="0.25">
      <c r="A9" s="7" t="s">
        <v>0</v>
      </c>
    </row>
    <row r="10" spans="1:1" ht="15.75" x14ac:dyDescent="0.25">
      <c r="A10" s="5" t="str">
        <f>HYPERLINK("#'Input - Enterprise'!A1", "Enterprise")</f>
        <v>Enterprise</v>
      </c>
    </row>
    <row r="11" spans="1:1" ht="15.75" x14ac:dyDescent="0.25">
      <c r="A11" s="5" t="str">
        <f>HYPERLINK("#'Input - Site'!A1", "Site")</f>
        <v>Site</v>
      </c>
    </row>
    <row r="12" spans="1:1" ht="15.75" x14ac:dyDescent="0.25">
      <c r="A12" s="5" t="str">
        <f>HYPERLINK("#'Input - Dairy'!A1", "Dairy")</f>
        <v>Dairy</v>
      </c>
    </row>
    <row r="13" spans="1:1" ht="15.75" x14ac:dyDescent="0.25">
      <c r="A13" s="5" t="str">
        <f>HYPERLINK("#'Input - Livestock sales'!A1", "Livestock sales")</f>
        <v>Livestock sales</v>
      </c>
    </row>
    <row r="14" spans="1:1" ht="15.75" x14ac:dyDescent="0.25">
      <c r="A14" s="5" t="str">
        <f>HYPERLINK("#'Input - Dairy cattle purchases'!A1", "Dairy cattle purchases")</f>
        <v>Dairy cattle purchases</v>
      </c>
    </row>
    <row r="15" spans="1:1" ht="15.75" x14ac:dyDescent="0.25">
      <c r="A15" s="5" t="str">
        <f>HYPERLINK("#'Input - Pasture'!A1", "Pasture")</f>
        <v>Pasture</v>
      </c>
    </row>
    <row r="16" spans="1:1" ht="15.75" x14ac:dyDescent="0.25">
      <c r="A16" s="5" t="str">
        <f>HYPERLINK("#'Input - Fert Prod System'!A1", "Fert Prod System")</f>
        <v>Fert Prod System</v>
      </c>
    </row>
    <row r="17" spans="1:1" ht="15.75" x14ac:dyDescent="0.25">
      <c r="A17" s="5" t="str">
        <f>HYPERLINK("#'Input - Fertiliser'!A1", "Fertiliser")</f>
        <v>Fertiliser</v>
      </c>
    </row>
    <row r="18" spans="1:1" ht="15.75" x14ac:dyDescent="0.25">
      <c r="A18" s="5" t="str">
        <f>HYPERLINK("#'Input - Fuel'!A1", "Fuel")</f>
        <v>Fuel</v>
      </c>
    </row>
    <row r="19" spans="1:1" ht="15.75" x14ac:dyDescent="0.25">
      <c r="A19" s="5" t="str">
        <f>HYPERLINK("#'Input - Electricity'!A1", "Electricity")</f>
        <v>Electricity</v>
      </c>
    </row>
    <row r="20" spans="1:1" ht="15.75" x14ac:dyDescent="0.25">
      <c r="A20" s="5" t="str">
        <f>HYPERLINK("#'Input - Common farm inputs'!A1", "Common farm inputs")</f>
        <v>Common farm inputs</v>
      </c>
    </row>
    <row r="21" spans="1:1" ht="15.75" x14ac:dyDescent="0.25">
      <c r="A21" s="5" t="str">
        <f>HYPERLINK("#'Input - Crop pasture farm input'!A1", "Crop pasture farm input")</f>
        <v>Crop pasture farm input</v>
      </c>
    </row>
    <row r="22" spans="1:1" ht="15.75" x14ac:dyDescent="0.25">
      <c r="A22" s="5" t="str">
        <f>HYPERLINK("#'Input - Livestock farm Inputs'!A1", "Livestock farm Inputs")</f>
        <v>Livestock farm Inputs</v>
      </c>
    </row>
    <row r="23" spans="1:1" ht="15.75" x14ac:dyDescent="0.25">
      <c r="A23" s="5" t="str">
        <f>HYPERLINK("#'Input - Freight'!A1", "Freight")</f>
        <v>Freight</v>
      </c>
    </row>
    <row r="24" spans="1:1" ht="15.75" x14ac:dyDescent="0.25">
      <c r="A24" s="5" t="str">
        <f>HYPERLINK("#'Input - Solid waste'!A1", "Solid waste")</f>
        <v>Solid waste</v>
      </c>
    </row>
    <row r="25" spans="1:1" ht="15.75" x14ac:dyDescent="0.25">
      <c r="A25" s="5" t="str">
        <f>HYPERLINK("#'Input - Manure sent off-site'!A1", "Manure sent off-site")</f>
        <v>Manure sent off-site</v>
      </c>
    </row>
    <row r="26" spans="1:1" ht="15.75" x14ac:dyDescent="0.25">
      <c r="A26" s="5" t="str">
        <f>HYPERLINK("#'Input - Refrigerants'!A1", "Refrigerants")</f>
        <v>Refrigerants</v>
      </c>
    </row>
    <row r="27" spans="1:1" ht="15.75" x14ac:dyDescent="0.25">
      <c r="A27" s="5" t="str">
        <f>HYPERLINK("#'Input - Data quality'!A1", "Data quality")</f>
        <v>Data quality</v>
      </c>
    </row>
    <row r="30" spans="1:1" x14ac:dyDescent="0.25">
      <c r="A30" s="6" t="s">
        <v>2</v>
      </c>
    </row>
    <row r="31" spans="1:1" ht="15.75" x14ac:dyDescent="0.25">
      <c r="A31" s="5" t="str">
        <f>HYPERLINK("#'3.3.1.1-2 Enteric Methane'!A1", "3.3.1.1-2 Enteric methane")</f>
        <v>3.3.1.1-2 Enteric methane</v>
      </c>
    </row>
    <row r="32" spans="1:1" ht="15.75" x14ac:dyDescent="0.25">
      <c r="A32" s="5" t="str">
        <f>HYPERLINK("#'4.3.1.1-2 Methane'!A1", "4.3.1.1-2 Manure methane")</f>
        <v>4.3.1.1-2 Manure methane</v>
      </c>
    </row>
    <row r="33" spans="1:1" ht="15.75" x14ac:dyDescent="0.25">
      <c r="A33" s="5" t="str">
        <f>HYPERLINK("#'4.3.1.3-4 Direct N20'!A1", "4.3.1.3-4 Direct N20")</f>
        <v>4.3.1.3-4 Direct N20</v>
      </c>
    </row>
    <row r="34" spans="1:1" ht="15.75" x14ac:dyDescent="0.25">
      <c r="A34" s="5" t="str">
        <f>HYPERLINK("#'4.3.1.5 Atmos deposition'!A1", "4.3.1.5 Atmos deposition")</f>
        <v>4.3.1.5 Atmos deposition</v>
      </c>
    </row>
    <row r="35" spans="1:1" ht="15.75" x14ac:dyDescent="0.25">
      <c r="A35" s="5" t="str">
        <f>HYPERLINK("#'4.3.1.6-7 Leaching and runoff'!A1", "4.3.1.6-7 Leaching &amp; runoff")</f>
        <v>4.3.1.6-7 Leaching &amp; runoff</v>
      </c>
    </row>
    <row r="36" spans="1:1" ht="15.75" x14ac:dyDescent="0.25">
      <c r="A36" s="5" t="str">
        <f>HYPERLINK("#'4.3.1.8 Manure applied to soils'!A1", "4.3.1.8 Manure applied to soils")</f>
        <v>4.3.1.8 Manure applied to soils</v>
      </c>
    </row>
    <row r="37" spans="1:1" ht="15.75" x14ac:dyDescent="0.25">
      <c r="A37" s="5" t="str">
        <f>HYPERLINK("#'4.3.1.9 Soil direct N2O'!A1", "4.3.1.9 Soil direct N2O")</f>
        <v>4.3.1.9 Soil direct N2O</v>
      </c>
    </row>
    <row r="38" spans="1:1" ht="15.75" x14ac:dyDescent="0.25">
      <c r="A38" s="5" t="str">
        <f>HYPERLINK("#'4.3.1.10-11 Soil Atmos Dep'!A1", "4.3.1.10-11 Soil Atmos Deposition")</f>
        <v>4.3.1.10-11 Soil Atmos Deposition</v>
      </c>
    </row>
    <row r="39" spans="1:1" ht="15.75" x14ac:dyDescent="0.25">
      <c r="A39" s="5" t="str">
        <f>HYPERLINK("#'4.3.1.12-13 Soil leach runoff'!A1", "4.3.1.12-13 Soil leach &amp; runoff")</f>
        <v>4.3.1.12-13 Soil leach &amp; runoff</v>
      </c>
    </row>
    <row r="40" spans="1:1" ht="15.75" x14ac:dyDescent="0.25">
      <c r="A40" s="5" t="str">
        <f>HYPERLINK("#'5.1.1.1-2 Inorganic fert N2O'!A1", "5.1.1.1-2 Inorganic fert N2O")</f>
        <v>5.1.1.1-2 Inorganic fert N2O</v>
      </c>
    </row>
    <row r="41" spans="1:1" ht="15.75" x14ac:dyDescent="0.25">
      <c r="A41" s="5" t="str">
        <f>HYPERLINK("#'5.1.1.3-4 Inorganic fert CO2'!A1", "5.1.1.3-4 Inorganic fert CO2")</f>
        <v>5.1.1.3-4 Inorganic fert CO2</v>
      </c>
    </row>
    <row r="42" spans="1:1" ht="15.75" x14ac:dyDescent="0.25">
      <c r="A42" s="5" t="str">
        <f>HYPERLINK("#'5.2.1.1-2 Organic Fert N2O'!A1", "5.2.1.1-2 Organic fert N2O")</f>
        <v>5.2.1.1-2 Organic fert N2O</v>
      </c>
    </row>
    <row r="43" spans="1:1" ht="15.75" x14ac:dyDescent="0.25">
      <c r="A43" s="5" t="str">
        <f>HYPERLINK("#'5.3.1.1-2 Lime CO2'!A1", "5.3.1.1-2 Lime CO2")</f>
        <v>5.3.1.1-2 Lime CO2</v>
      </c>
    </row>
    <row r="44" spans="1:1" ht="15.75" x14ac:dyDescent="0.25">
      <c r="A44" s="5" t="str">
        <f>HYPERLINK("#'5.4.1.1-4 Atmos deposition'!A1", "5.4.1.1-4 Atmos. deposition")</f>
        <v>5.4.1.1-4 Atmos. deposition</v>
      </c>
    </row>
    <row r="45" spans="1:1" ht="15.75" x14ac:dyDescent="0.25">
      <c r="A45" s="5" t="str">
        <f>HYPERLINK("#'5.5.1.1-2 Leaching and runoff'!A1", "5.5.1.1-2 Leaching &amp; runoff")</f>
        <v>5.5.1.1-2 Leaching &amp; runoff</v>
      </c>
    </row>
    <row r="46" spans="1:1" ht="15.75" x14ac:dyDescent="0.25">
      <c r="A46" s="5" t="str">
        <f>HYPERLINK("#'6.2.1.1-2 Pasture residue N2O'!A1", "6.2.1.1-2 Pasture residue N2O")</f>
        <v>6.2.1.1-2 Pasture residue N2O</v>
      </c>
    </row>
    <row r="47" spans="1:1" ht="15.75" x14ac:dyDescent="0.25">
      <c r="A47" s="5" t="str">
        <f>HYPERLINK("#'6.3.1.1-2 Leach runoff pasture'!A1", "6.3.1.1-2 Leach &amp; runoff (pasture)")</f>
        <v>6.3.1.1-2 Leach &amp; runoff (pasture)</v>
      </c>
    </row>
    <row r="48" spans="1:1" ht="15.75" x14ac:dyDescent="0.25">
      <c r="A48" s="5" t="str">
        <f>HYPERLINK("#'8.1.1.1-2 Transport fuel'!A1", "8.1.1.1-2 Transport fuel")</f>
        <v>8.1.1.1-2 Transport fuel</v>
      </c>
    </row>
    <row r="49" spans="1:1" ht="15.75" x14ac:dyDescent="0.25">
      <c r="A49" s="5" t="str">
        <f>HYPERLINK("#'8.2.1.1-2 Stationary fuel'!A1", "8.2.1.1-2 Stationary fuel")</f>
        <v>8.2.1.1-2 Stationary fuel</v>
      </c>
    </row>
    <row r="50" spans="1:1" ht="15.75" x14ac:dyDescent="0.25">
      <c r="A50" s="5" t="str">
        <f>HYPERLINK("#'9.1.1.1-2 Refrigerant use'!A1", "9.1.1.1-2 Refrigerant use")</f>
        <v>9.1.1.1-2 Refrigerant use</v>
      </c>
    </row>
    <row r="51" spans="1:1" ht="15.75" x14ac:dyDescent="0.25">
      <c r="A51" s="5" t="str">
        <f>HYPERLINK("#'10.1.1-2 Solid waste treatment'!A1", "10.1.1.1-2 Solid waste")</f>
        <v>10.1.1.1-2 Solid waste</v>
      </c>
    </row>
    <row r="52" spans="1:1" ht="15.75" x14ac:dyDescent="0.25">
      <c r="A52" s="5" t="str">
        <f>HYPERLINK("#'14.1.1-2 Purchased electricity'!A1", "14.1.1-2 Purchased electricity")</f>
        <v>14.1.1-2 Purchased electricity</v>
      </c>
    </row>
    <row r="53" spans="1:1" ht="15.75" x14ac:dyDescent="0.25">
      <c r="A53" s="5" t="str">
        <f>HYPERLINK("#'15 Scope 3'!A1", "15 Scope 3")</f>
        <v>15 Scope 3</v>
      </c>
    </row>
    <row r="54" spans="1:1" ht="15.75" x14ac:dyDescent="0.25">
      <c r="A54" s="5" t="str">
        <f>HYPERLINK("#'Calcs - Manure sent off-site'!A1", "Calcs - Manure sent off-site")</f>
        <v>Calcs - Manure sent off-site</v>
      </c>
    </row>
    <row r="57" spans="1:1" x14ac:dyDescent="0.25">
      <c r="A57" s="82" t="s">
        <v>1</v>
      </c>
    </row>
    <row r="58" spans="1:1" ht="15.75" x14ac:dyDescent="0.25">
      <c r="A58" s="5" t="str">
        <f>HYPERLINK("#'Constants - Dairy'!A1", "Constants - Dairy")</f>
        <v>Constants - Dairy</v>
      </c>
    </row>
    <row r="59" spans="1:1" ht="15.75" x14ac:dyDescent="0.25">
      <c r="A59" s="5" t="str">
        <f>HYPERLINK("#'Constants - Ag Residue'!A1", "Constants - Ag residue")</f>
        <v>Constants - Ag residue</v>
      </c>
    </row>
    <row r="60" spans="1:1" ht="15.75" x14ac:dyDescent="0.25">
      <c r="A60" s="5" t="str">
        <f>HYPERLINK("#'Constants - Common Livestock'!A1", "Constants - Common Livestock")</f>
        <v>Constants - Common Livestock</v>
      </c>
    </row>
    <row r="61" spans="1:1" ht="15.75" x14ac:dyDescent="0.25">
      <c r="A61" s="5" t="str">
        <f>HYPERLINK("#'Constants - Electricity'!A1", "Constants - Electricity")</f>
        <v>Constants - Electricity</v>
      </c>
    </row>
    <row r="62" spans="1:1" ht="15.75" x14ac:dyDescent="0.25">
      <c r="A62" s="5" t="str">
        <f>HYPERLINK("#'Constants - Fertiliser'!A1", "Constants - Fertiliser")</f>
        <v>Constants - Fertiliser</v>
      </c>
    </row>
    <row r="63" spans="1:1" ht="15.75" x14ac:dyDescent="0.25">
      <c r="A63" s="5" t="str">
        <f>HYPERLINK("#'Constants - Fuel'!A1", "Constants - Fuel")</f>
        <v>Constants - Fuel</v>
      </c>
    </row>
    <row r="64" spans="1:1" ht="15.75" x14ac:dyDescent="0.25">
      <c r="A64" s="5" t="str">
        <f>HYPERLINK("#'Constants - Scope 3'!A1", "Constants - Scope 3")</f>
        <v>Constants - Scope 3</v>
      </c>
    </row>
    <row r="65" spans="1:1" ht="15.75" x14ac:dyDescent="0.25">
      <c r="A65" s="5" t="str">
        <f>HYPERLINK("#'Constants - Common'!A1", "Constants - Common")</f>
        <v>Constants - Common</v>
      </c>
    </row>
    <row r="66" spans="1:1" ht="15.75" x14ac:dyDescent="0.25">
      <c r="A66" s="5" t="str">
        <f>HYPERLINK("#'Constants - Refrigerants'!A1", "Constants - Refrigerants")</f>
        <v>Constants - Refrigerants</v>
      </c>
    </row>
    <row r="67" spans="1:1" ht="15.75" x14ac:dyDescent="0.25">
      <c r="A67" s="5" t="str">
        <f>HYPERLINK("#'Constants - Solid Waste'!A1", "Constants - Solid Waste")</f>
        <v>Constants - Solid Waste</v>
      </c>
    </row>
    <row r="68" spans="1:1" ht="15.75" x14ac:dyDescent="0.25">
      <c r="A68" s="83" t="str">
        <f>HYPERLINK("#'Acknowledgements'!A1", "Acknowledgements")</f>
        <v>Acknowledgements</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7532C-8540-44E5-8090-E452C3E8BF20}">
  <sheetPr>
    <tabColor rgb="FFCC6600"/>
  </sheetPr>
  <dimension ref="A1:M83"/>
  <sheetViews>
    <sheetView showGridLines="0" zoomScaleNormal="100" workbookViewId="0">
      <pane xSplit="1" topLeftCell="B1" activePane="topRight" state="frozenSplit"/>
      <selection pane="topRight" activeCell="A4" sqref="A4"/>
    </sheetView>
  </sheetViews>
  <sheetFormatPr defaultRowHeight="15.75" x14ac:dyDescent="0.25"/>
  <cols>
    <col min="1" max="1" width="36.7109375" customWidth="1"/>
    <col min="2" max="2" width="4.7109375" customWidth="1"/>
    <col min="3" max="3" width="4.7109375" style="1" customWidth="1"/>
    <col min="4" max="4" width="49" style="1" customWidth="1"/>
    <col min="5" max="7" width="47" style="1" customWidth="1"/>
    <col min="8" max="8" width="101.28515625" style="1" customWidth="1"/>
    <col min="9" max="9" width="74.5703125" style="1" customWidth="1"/>
    <col min="10" max="13" width="30.7109375" style="1" customWidth="1"/>
    <col min="14" max="14" width="30.7109375" customWidth="1"/>
  </cols>
  <sheetData>
    <row r="1" spans="1:13" s="10" customFormat="1" ht="25.5" x14ac:dyDescent="0.35">
      <c r="C1" s="10" t="s">
        <v>186</v>
      </c>
    </row>
    <row r="2" spans="1:13" s="3" customFormat="1" x14ac:dyDescent="0.25">
      <c r="A2"/>
    </row>
    <row r="3" spans="1:13" ht="20.25" x14ac:dyDescent="0.25">
      <c r="A3" s="5" t="str">
        <f>HYPERLINK("#'Home'!A1", "Home")</f>
        <v>Home</v>
      </c>
      <c r="C3" s="28"/>
      <c r="D3" s="28"/>
      <c r="E3" s="28"/>
      <c r="F3" s="28"/>
      <c r="G3" s="28"/>
      <c r="H3" s="28"/>
      <c r="I3" s="28"/>
      <c r="J3" s="28"/>
      <c r="K3" s="28"/>
      <c r="L3" s="28"/>
      <c r="M3" s="28"/>
    </row>
    <row r="4" spans="1:13" x14ac:dyDescent="0.25">
      <c r="A4" s="5" t="str">
        <f>HYPERLINK("#'Results - Activity period'!A1", "Results - Activity period")</f>
        <v>Results - Activity period</v>
      </c>
    </row>
    <row r="5" spans="1:13" ht="23.25" x14ac:dyDescent="0.25">
      <c r="A5" s="5" t="str">
        <f>HYPERLINK("#'Results - Product EI'!A1", "Results - Product Emissions Intensity")</f>
        <v>Results - Product Emissions Intensity</v>
      </c>
      <c r="D5" s="2" t="s">
        <v>282</v>
      </c>
    </row>
    <row r="6" spans="1:13" x14ac:dyDescent="0.25">
      <c r="A6" s="5" t="str">
        <f>HYPERLINK("#'Results'!A1", "Results")</f>
        <v>Results</v>
      </c>
    </row>
    <row r="7" spans="1:13" x14ac:dyDescent="0.25">
      <c r="D7" s="81" t="s">
        <v>283</v>
      </c>
      <c r="E7" s="81" t="s">
        <v>284</v>
      </c>
      <c r="F7" s="81" t="s">
        <v>285</v>
      </c>
      <c r="G7" s="81" t="s">
        <v>286</v>
      </c>
      <c r="H7" s="81" t="s">
        <v>187</v>
      </c>
      <c r="I7" s="81" t="s">
        <v>188</v>
      </c>
      <c r="J7" s="81" t="s">
        <v>189</v>
      </c>
    </row>
    <row r="8" spans="1:13" x14ac:dyDescent="0.25">
      <c r="D8" s="1" t="s">
        <v>180</v>
      </c>
      <c r="E8" s="13"/>
      <c r="F8" s="13"/>
      <c r="G8" s="13"/>
      <c r="H8" s="95"/>
      <c r="I8" s="95"/>
      <c r="J8"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9" spans="1:13" x14ac:dyDescent="0.25">
      <c r="A9" s="7" t="s">
        <v>0</v>
      </c>
      <c r="D9" s="1" t="s">
        <v>308</v>
      </c>
      <c r="E9" s="13"/>
      <c r="F9" s="13"/>
      <c r="G9" s="13"/>
      <c r="H9" s="95"/>
      <c r="I9" s="95"/>
      <c r="J9"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0" spans="1:13" x14ac:dyDescent="0.25">
      <c r="A10" s="5" t="str">
        <f>HYPERLINK("#'Input - Enterprise'!A1", "Enterprise")</f>
        <v>Enterprise</v>
      </c>
      <c r="D10" s="1" t="str">
        <f>"Liveweight sold"</f>
        <v>Liveweight sold</v>
      </c>
      <c r="E10" s="13" t="s">
        <v>287</v>
      </c>
      <c r="F10" s="13" t="s">
        <v>288</v>
      </c>
      <c r="G10" s="13" t="s">
        <v>289</v>
      </c>
      <c r="H10" s="95"/>
      <c r="I10" s="95"/>
      <c r="J10"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11" spans="1:13" x14ac:dyDescent="0.25">
      <c r="A11" s="5" t="str">
        <f>HYPERLINK("#'Input - Site'!A1", "Site")</f>
        <v>Site</v>
      </c>
      <c r="D11" s="1" t="str">
        <f>"Manure produced"</f>
        <v>Manure produced</v>
      </c>
      <c r="E11" s="13" t="s">
        <v>293</v>
      </c>
      <c r="F11" s="13" t="s">
        <v>294</v>
      </c>
      <c r="G11" s="13" t="s">
        <v>292</v>
      </c>
      <c r="H11" s="95"/>
      <c r="I11" s="95"/>
      <c r="J11"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2" spans="1:13" x14ac:dyDescent="0.25">
      <c r="A12" s="5" t="str">
        <f>HYPERLINK("#'Input - Dairy'!A1", "Dairy")</f>
        <v>Dairy</v>
      </c>
      <c r="D12" s="1" t="str">
        <f>"Manure sold"</f>
        <v>Manure sold</v>
      </c>
      <c r="E12" s="13" t="s">
        <v>295</v>
      </c>
      <c r="F12" s="13" t="s">
        <v>296</v>
      </c>
      <c r="G12" s="13" t="s">
        <v>297</v>
      </c>
      <c r="H12" s="95"/>
      <c r="I12" s="95"/>
      <c r="J12"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6</v>
      </c>
    </row>
    <row r="13" spans="1:13" x14ac:dyDescent="0.25">
      <c r="A13" s="5" t="str">
        <f>HYPERLINK("#'Input - Livestock sales'!A1", "Livestock sales")</f>
        <v>Livestock sales</v>
      </c>
      <c r="D13" s="1" t="s">
        <v>309</v>
      </c>
      <c r="E13" s="13"/>
      <c r="F13" s="13"/>
      <c r="G13" s="13"/>
      <c r="H13" s="95"/>
      <c r="I13" s="95"/>
      <c r="J13"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4" spans="1:13" x14ac:dyDescent="0.25">
      <c r="A14" s="5" t="str">
        <f>HYPERLINK("#'Input - Dairy cattle purchases'!A1", "Dairy cattle purchases")</f>
        <v>Dairy cattle purchases</v>
      </c>
      <c r="D14" s="1" t="str">
        <f>"Percent income from liveweight sold"</f>
        <v>Percent income from liveweight sold</v>
      </c>
      <c r="E14" s="13" t="s">
        <v>298</v>
      </c>
      <c r="F14" s="13" t="s">
        <v>299</v>
      </c>
      <c r="G14" s="13" t="s">
        <v>300</v>
      </c>
      <c r="H14" s="95"/>
      <c r="I14" s="95"/>
      <c r="J14"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5" spans="1:13" x14ac:dyDescent="0.25">
      <c r="A15" s="5" t="str">
        <f>HYPERLINK("#'Input - Pasture'!A1", "Pasture")</f>
        <v>Pasture</v>
      </c>
      <c r="D15" s="1" t="str">
        <f>"Percent income from manure sold"</f>
        <v>Percent income from manure sold</v>
      </c>
      <c r="E15" s="13" t="s">
        <v>287</v>
      </c>
      <c r="F15" s="13" t="s">
        <v>291</v>
      </c>
      <c r="G15" s="13" t="s">
        <v>289</v>
      </c>
      <c r="H15" s="95"/>
      <c r="I15" s="95"/>
      <c r="J15"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6" spans="1:13" x14ac:dyDescent="0.25">
      <c r="A16" s="5" t="str">
        <f>HYPERLINK("#'Input - Fert Prod System'!A1", "Fert Prod System")</f>
        <v>Fert Prod System</v>
      </c>
    </row>
    <row r="17" spans="1:10" x14ac:dyDescent="0.25">
      <c r="A17" s="5" t="str">
        <f>HYPERLINK("#'Input - Fertiliser'!A1", "Fertiliser")</f>
        <v>Fertiliser</v>
      </c>
      <c r="J17" s="88">
        <f>SUM(Table_Input_DataQuality_Enterprise[Score])</f>
        <v>48</v>
      </c>
    </row>
    <row r="18" spans="1:10" ht="23.25" x14ac:dyDescent="0.25">
      <c r="A18" s="5" t="str">
        <f>HYPERLINK("#'Input - Fuel'!A1", "Fuel")</f>
        <v>Fuel</v>
      </c>
      <c r="D18" s="2" t="s">
        <v>301</v>
      </c>
    </row>
    <row r="19" spans="1:10" x14ac:dyDescent="0.25">
      <c r="A19" s="5" t="str">
        <f>HYPERLINK("#'Input - Electricity'!A1", "Electricity")</f>
        <v>Electricity</v>
      </c>
    </row>
    <row r="20" spans="1:10" x14ac:dyDescent="0.25">
      <c r="A20" s="5" t="str">
        <f>HYPERLINK("#'Input - Common farm inputs'!A1", "Common farm inputs")</f>
        <v>Common farm inputs</v>
      </c>
      <c r="D20" s="81" t="s">
        <v>283</v>
      </c>
      <c r="E20" s="81" t="s">
        <v>284</v>
      </c>
      <c r="F20" s="81" t="s">
        <v>285</v>
      </c>
      <c r="G20" s="81" t="s">
        <v>286</v>
      </c>
      <c r="H20" s="81" t="s">
        <v>187</v>
      </c>
      <c r="I20" s="81" t="s">
        <v>188</v>
      </c>
      <c r="J20" s="81" t="s">
        <v>189</v>
      </c>
    </row>
    <row r="21" spans="1:10" x14ac:dyDescent="0.25">
      <c r="A21" s="5" t="str">
        <f>HYPERLINK("#'Input - Crop pasture farm input'!A1", "Crop pasture farm input")</f>
        <v>Crop pasture farm input</v>
      </c>
      <c r="D21" s="1" t="str">
        <f>"Leaching zone"</f>
        <v>Leaching zone</v>
      </c>
      <c r="E21" s="13" t="s">
        <v>290</v>
      </c>
      <c r="F21" s="13" t="s">
        <v>294</v>
      </c>
      <c r="G21" s="13" t="s">
        <v>289</v>
      </c>
      <c r="H21" s="95"/>
      <c r="I21" s="95"/>
      <c r="J21"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2" spans="1:10" x14ac:dyDescent="0.25">
      <c r="A22" s="5" t="str">
        <f>HYPERLINK("#'Input - Livestock farm Inputs'!A1", "Livestock farm Inputs")</f>
        <v>Livestock farm Inputs</v>
      </c>
      <c r="D22" s="1" t="str">
        <f>"Elevation"</f>
        <v>Elevation</v>
      </c>
      <c r="E22" s="13" t="s">
        <v>290</v>
      </c>
      <c r="F22" s="13" t="s">
        <v>294</v>
      </c>
      <c r="G22" s="13" t="s">
        <v>289</v>
      </c>
      <c r="H22" s="95"/>
      <c r="I22" s="95"/>
      <c r="J22"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3" spans="1:10" x14ac:dyDescent="0.25">
      <c r="A23" s="5" t="str">
        <f>HYPERLINK("#'Input - Freight'!A1", "Freight")</f>
        <v>Freight</v>
      </c>
      <c r="D23" s="1" t="str">
        <f>"Average temperature for reporting period"</f>
        <v>Average temperature for reporting period</v>
      </c>
      <c r="E23" s="13" t="s">
        <v>290</v>
      </c>
      <c r="F23" s="13" t="s">
        <v>294</v>
      </c>
      <c r="G23" s="13" t="s">
        <v>289</v>
      </c>
      <c r="H23" s="95"/>
      <c r="I23" s="95"/>
      <c r="J23"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4" spans="1:10" x14ac:dyDescent="0.25">
      <c r="A24" s="5" t="str">
        <f>HYPERLINK("#'Input - Solid waste'!A1", "Solid waste")</f>
        <v>Solid waste</v>
      </c>
      <c r="D24" s="1" t="str">
        <f>"Total rainfall for reporting period"</f>
        <v>Total rainfall for reporting period</v>
      </c>
      <c r="E24" s="13" t="s">
        <v>287</v>
      </c>
      <c r="F24" s="13" t="s">
        <v>291</v>
      </c>
      <c r="G24" s="13" t="s">
        <v>289</v>
      </c>
      <c r="H24" s="95"/>
      <c r="I24" s="95"/>
      <c r="J24"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5" spans="1:10" x14ac:dyDescent="0.25">
      <c r="A25" s="5" t="str">
        <f>HYPERLINK("#'Input - Manure sent off-site'!A1", "Manure sent off-site")</f>
        <v>Manure sent off-site</v>
      </c>
      <c r="D25" s="1" t="str">
        <f>"Potential evapotranspiration for reporting period"</f>
        <v>Potential evapotranspiration for reporting period</v>
      </c>
      <c r="E25" s="13" t="s">
        <v>290</v>
      </c>
      <c r="F25" s="13" t="s">
        <v>294</v>
      </c>
      <c r="G25" s="13" t="s">
        <v>289</v>
      </c>
      <c r="H25" s="95"/>
      <c r="I25" s="95"/>
      <c r="J25"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6" spans="1:10" x14ac:dyDescent="0.25">
      <c r="A26" s="5" t="str">
        <f>HYPERLINK("#'Input - Refrigerants'!A1", "Refrigerants")</f>
        <v>Refrigerants</v>
      </c>
      <c r="D26" s="1" t="str">
        <f>"Number of frost days for reporting period"</f>
        <v>Number of frost days for reporting period</v>
      </c>
      <c r="E26" s="96" t="s">
        <v>293</v>
      </c>
      <c r="F26" s="96" t="s">
        <v>294</v>
      </c>
      <c r="G26" s="96" t="s">
        <v>289</v>
      </c>
      <c r="H26" s="95"/>
      <c r="I26" s="95"/>
      <c r="J26"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7" spans="1:10" x14ac:dyDescent="0.25">
      <c r="A27" s="99" t="str">
        <f>HYPERLINK("#'Input - Data quality'!A1", "Data quality")</f>
        <v>Data quality</v>
      </c>
    </row>
    <row r="28" spans="1:10" x14ac:dyDescent="0.25">
      <c r="J28" s="88">
        <f>SUM(Table_Input_DataQuality_Site[Score])</f>
        <v>73</v>
      </c>
    </row>
    <row r="29" spans="1:10" ht="23.25" x14ac:dyDescent="0.25">
      <c r="D29" s="2" t="s">
        <v>310</v>
      </c>
    </row>
    <row r="30" spans="1:10" x14ac:dyDescent="0.25">
      <c r="A30" s="6" t="s">
        <v>2</v>
      </c>
    </row>
    <row r="31" spans="1:10" x14ac:dyDescent="0.25">
      <c r="A31" s="5" t="str">
        <f>HYPERLINK("#'3.3.1.1-2 Enteric Methane'!A1", "3.3.1.1-2 Enteric methane")</f>
        <v>3.3.1.1-2 Enteric methane</v>
      </c>
      <c r="D31" s="81" t="s">
        <v>283</v>
      </c>
      <c r="E31" s="81" t="s">
        <v>284</v>
      </c>
      <c r="F31" s="81" t="s">
        <v>285</v>
      </c>
      <c r="G31" s="81" t="s">
        <v>286</v>
      </c>
      <c r="H31" s="81" t="s">
        <v>187</v>
      </c>
      <c r="I31" s="81" t="s">
        <v>188</v>
      </c>
      <c r="J31" s="81" t="s">
        <v>189</v>
      </c>
    </row>
    <row r="32" spans="1:10" x14ac:dyDescent="0.25">
      <c r="A32" s="5" t="str">
        <f>HYPERLINK("#'4.3.1.1-2 Methane'!A1", "4.3.1.1-2 Manure methane")</f>
        <v>4.3.1.1-2 Manure methane</v>
      </c>
      <c r="D32" s="1" t="str">
        <f>"Cattle breed"</f>
        <v>Cattle breed</v>
      </c>
      <c r="E32" s="13" t="s">
        <v>287</v>
      </c>
      <c r="F32" s="13" t="s">
        <v>291</v>
      </c>
      <c r="G32" s="13" t="s">
        <v>289</v>
      </c>
      <c r="H32" s="95"/>
      <c r="I32" s="95"/>
      <c r="J32"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33" spans="1:10" x14ac:dyDescent="0.25">
      <c r="A33" s="5" t="str">
        <f>HYPERLINK("#'4.3.1.3-4 Direct N20'!A1", "4.3.1.3-4 Direct N20")</f>
        <v>4.3.1.3-4 Direct N20</v>
      </c>
      <c r="D33" s="1" t="str">
        <f>"Head count"</f>
        <v>Head count</v>
      </c>
      <c r="E33" s="13" t="s">
        <v>287</v>
      </c>
      <c r="F33" s="13" t="s">
        <v>291</v>
      </c>
      <c r="G33" s="13" t="s">
        <v>292</v>
      </c>
      <c r="H33" s="95"/>
      <c r="I33" s="95"/>
      <c r="J33"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13</v>
      </c>
    </row>
    <row r="34" spans="1:10" x14ac:dyDescent="0.25">
      <c r="A34" s="5" t="str">
        <f>HYPERLINK("#'4.3.1.5 Atmos deposition'!A1", "4.3.1.5 Atmos deposition")</f>
        <v>4.3.1.5 Atmos deposition</v>
      </c>
      <c r="D34" s="1" t="str">
        <f>"Liveweight"</f>
        <v>Liveweight</v>
      </c>
      <c r="E34" s="13" t="s">
        <v>287</v>
      </c>
      <c r="F34" s="13" t="s">
        <v>291</v>
      </c>
      <c r="G34" s="13" t="s">
        <v>302</v>
      </c>
      <c r="H34" s="95"/>
      <c r="I34" s="95"/>
      <c r="J34"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12</v>
      </c>
    </row>
    <row r="35" spans="1:10" x14ac:dyDescent="0.25">
      <c r="A35" s="5" t="str">
        <f>HYPERLINK("#'4.3.1.6-7 Leaching and runoff'!A1", "4.3.1.6-7 Leaching &amp; runoff")</f>
        <v>4.3.1.6-7 Leaching &amp; runoff</v>
      </c>
      <c r="D35" s="1" t="str">
        <f>"Liveweight gain"</f>
        <v>Liveweight gain</v>
      </c>
      <c r="E35" s="13" t="s">
        <v>287</v>
      </c>
      <c r="F35" s="13" t="s">
        <v>291</v>
      </c>
      <c r="G35" s="13" t="s">
        <v>297</v>
      </c>
      <c r="H35" s="95"/>
      <c r="I35" s="95"/>
      <c r="J35"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11</v>
      </c>
    </row>
    <row r="36" spans="1:10" x14ac:dyDescent="0.25">
      <c r="A36" s="5" t="str">
        <f>HYPERLINK("#'4.3.1.8 Manure applied to soils'!A1", "4.3.1.8 Manure applied to soils")</f>
        <v>4.3.1.8 Manure applied to soils</v>
      </c>
      <c r="D36" s="1" t="str">
        <f>"Dry matter digestibility of diet"</f>
        <v>Dry matter digestibility of diet</v>
      </c>
      <c r="E36" s="13" t="s">
        <v>287</v>
      </c>
      <c r="F36" s="96" t="s">
        <v>294</v>
      </c>
      <c r="G36" s="96" t="s">
        <v>300</v>
      </c>
      <c r="H36" s="95"/>
      <c r="I36" s="95"/>
      <c r="J36"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9</v>
      </c>
    </row>
    <row r="37" spans="1:10" x14ac:dyDescent="0.25">
      <c r="A37" s="5" t="str">
        <f>HYPERLINK("#'4.3.1.9 Soil direct N2O'!A1", "4.3.1.9 Soil direct N2O")</f>
        <v>4.3.1.9 Soil direct N2O</v>
      </c>
      <c r="D37" s="1" t="str">
        <f>"Crude protein in diet"</f>
        <v>Crude protein in diet</v>
      </c>
      <c r="E37" s="13" t="s">
        <v>287</v>
      </c>
      <c r="F37" s="96" t="s">
        <v>294</v>
      </c>
      <c r="G37" s="96" t="s">
        <v>300</v>
      </c>
      <c r="H37" s="95"/>
      <c r="I37" s="95"/>
      <c r="J37"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9</v>
      </c>
    </row>
    <row r="38" spans="1:10" x14ac:dyDescent="0.25">
      <c r="A38" s="5" t="str">
        <f>HYPERLINK("#'4.3.1.10-11 Soil Atmos Dep'!A1", "4.3.1.10-11 Soil Atmos Deposition")</f>
        <v>4.3.1.10-11 Soil Atmos Deposition</v>
      </c>
      <c r="D38" s="1" t="s">
        <v>311</v>
      </c>
      <c r="E38" s="13" t="s">
        <v>287</v>
      </c>
      <c r="F38" s="96" t="s">
        <v>291</v>
      </c>
      <c r="G38" s="96" t="s">
        <v>289</v>
      </c>
      <c r="H38" s="95"/>
      <c r="I38" s="95"/>
      <c r="J38"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39" spans="1:10" x14ac:dyDescent="0.25">
      <c r="A39" s="5" t="str">
        <f>HYPERLINK("#'4.3.1.12-13 Soil leach runoff'!A1", "4.3.1.12-13 Soil leach &amp; runoff")</f>
        <v>4.3.1.12-13 Soil leach &amp; runoff</v>
      </c>
      <c r="D39" s="1" t="str">
        <f>"Livestock sales"</f>
        <v>Livestock sales</v>
      </c>
      <c r="E39" s="13" t="s">
        <v>287</v>
      </c>
      <c r="F39" s="96" t="s">
        <v>291</v>
      </c>
      <c r="G39" s="96" t="s">
        <v>289</v>
      </c>
      <c r="H39" s="95"/>
      <c r="I39" s="95"/>
      <c r="J39"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40" spans="1:10" x14ac:dyDescent="0.25">
      <c r="A40" s="5" t="str">
        <f>HYPERLINK("#'5.1.1.1-2 Inorganic fert N2O'!A1", "5.1.1.1-2 Inorganic fert N2O")</f>
        <v>5.1.1.1-2 Inorganic fert N2O</v>
      </c>
      <c r="D40" s="1" t="str">
        <f>"Livestock purchases"</f>
        <v>Livestock purchases</v>
      </c>
      <c r="E40" s="13" t="s">
        <v>287</v>
      </c>
      <c r="F40" s="96" t="s">
        <v>291</v>
      </c>
      <c r="G40" s="96" t="s">
        <v>289</v>
      </c>
      <c r="H40" s="95"/>
      <c r="I40" s="95"/>
      <c r="J40"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41" spans="1:10" x14ac:dyDescent="0.25">
      <c r="A41" s="5" t="str">
        <f>HYPERLINK("#'5.1.1.3-4 Inorganic fert CO2'!A1", "5.1.1.3-4 Inorganic fert CO2")</f>
        <v>5.1.1.3-4 Inorganic fert CO2</v>
      </c>
    </row>
    <row r="42" spans="1:10" x14ac:dyDescent="0.25">
      <c r="A42" s="5" t="str">
        <f>HYPERLINK("#'5.2.1.1-2 Organic Fert N2O'!A1", "5.2.1.1-2 Organic fert N2O")</f>
        <v>5.2.1.1-2 Organic fert N2O</v>
      </c>
      <c r="J42" s="88">
        <f>SUM(Table_Input_DataQuality_PastureBeef[Score])</f>
        <v>110</v>
      </c>
    </row>
    <row r="43" spans="1:10" ht="23.25" x14ac:dyDescent="0.25">
      <c r="A43" s="5" t="str">
        <f>HYPERLINK("#'5.3.1.1-2 Lime CO2'!A1", "5.3.1.1-2 Lime CO2")</f>
        <v>5.3.1.1-2 Lime CO2</v>
      </c>
      <c r="D43" s="2" t="s">
        <v>303</v>
      </c>
    </row>
    <row r="44" spans="1:10" x14ac:dyDescent="0.25">
      <c r="A44" s="5" t="str">
        <f>HYPERLINK("#'5.4.1.1-4 Atmos deposition'!A1", "5.4.1.1-4 Atmos. deposition")</f>
        <v>5.4.1.1-4 Atmos. deposition</v>
      </c>
    </row>
    <row r="45" spans="1:10" x14ac:dyDescent="0.25">
      <c r="A45" s="5" t="str">
        <f>HYPERLINK("#'5.5.1.1-2 Leaching and runoff'!A1", "5.5.1.1-2 Leaching &amp; runoff")</f>
        <v>5.5.1.1-2 Leaching &amp; runoff</v>
      </c>
      <c r="D45" s="81" t="s">
        <v>283</v>
      </c>
      <c r="E45" s="81" t="s">
        <v>284</v>
      </c>
      <c r="F45" s="81" t="s">
        <v>285</v>
      </c>
      <c r="G45" s="81" t="s">
        <v>286</v>
      </c>
      <c r="H45" s="81" t="s">
        <v>187</v>
      </c>
      <c r="I45" s="81" t="s">
        <v>188</v>
      </c>
      <c r="J45" s="81" t="s">
        <v>189</v>
      </c>
    </row>
    <row r="46" spans="1:10" x14ac:dyDescent="0.25">
      <c r="A46" s="5" t="str">
        <f>HYPERLINK("#'6.2.1.1-2 Pasture residue N2O'!A1", "6.2.1.1-2 Pasture residue N2O")</f>
        <v>6.2.1.1-2 Pasture residue N2O</v>
      </c>
      <c r="D46" s="1" t="str">
        <f>"Pasture type"</f>
        <v>Pasture type</v>
      </c>
      <c r="E46" s="13" t="s">
        <v>287</v>
      </c>
      <c r="F46" s="13" t="s">
        <v>291</v>
      </c>
      <c r="G46" s="13" t="s">
        <v>289</v>
      </c>
      <c r="H46" s="95"/>
      <c r="I46" s="95"/>
      <c r="J46"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47" spans="1:10" x14ac:dyDescent="0.25">
      <c r="A47" s="5" t="str">
        <f>HYPERLINK("#'6.3.1.1-2 Leach runoff pasture'!A1", "6.3.1.1-2 Leach &amp; runoff (pasture)")</f>
        <v>6.3.1.1-2 Leach &amp; runoff (pasture)</v>
      </c>
      <c r="D47" s="1" t="str">
        <f>"Irrigation method"</f>
        <v>Irrigation method</v>
      </c>
      <c r="E47" s="13" t="s">
        <v>287</v>
      </c>
      <c r="F47" s="13" t="s">
        <v>291</v>
      </c>
      <c r="G47" s="13" t="s">
        <v>289</v>
      </c>
      <c r="H47" s="95"/>
      <c r="I47" s="95"/>
      <c r="J47"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48" spans="1:10" x14ac:dyDescent="0.25">
      <c r="A48" s="5" t="str">
        <f>HYPERLINK("#'8.1.1.1-2 Transport fuel'!A1", "8.1.1.1-2 Transport fuel")</f>
        <v>8.1.1.1-2 Transport fuel</v>
      </c>
      <c r="D48" s="1" t="str">
        <f>"Area under pasture"</f>
        <v>Area under pasture</v>
      </c>
      <c r="E48" s="13" t="s">
        <v>287</v>
      </c>
      <c r="F48" s="13" t="s">
        <v>291</v>
      </c>
      <c r="G48" s="13" t="s">
        <v>289</v>
      </c>
      <c r="H48" s="95"/>
      <c r="I48" s="95"/>
      <c r="J48"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49" spans="1:10" x14ac:dyDescent="0.25">
      <c r="A49" s="5" t="str">
        <f>HYPERLINK("#'8.2.1.1-2 Stationary fuel'!A1", "8.2.1.1-2 Stationary fuel")</f>
        <v>8.2.1.1-2 Stationary fuel</v>
      </c>
      <c r="D49" s="1" t="str">
        <f>"Pasture yield"</f>
        <v>Pasture yield</v>
      </c>
      <c r="E49" s="13" t="s">
        <v>287</v>
      </c>
      <c r="F49" s="13" t="s">
        <v>296</v>
      </c>
      <c r="G49" s="13" t="s">
        <v>300</v>
      </c>
      <c r="H49" s="95"/>
      <c r="I49" s="95"/>
      <c r="J49"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8</v>
      </c>
    </row>
    <row r="50" spans="1:10" x14ac:dyDescent="0.25">
      <c r="A50" s="5" t="str">
        <f>HYPERLINK("#'9.1.1.1-2 Refrigerant use'!A1", "9.1.1.1-2 Refrigerant use")</f>
        <v>9.1.1.1-2 Refrigerant use</v>
      </c>
      <c r="D50" s="1" t="str">
        <f>"Area of pasture renewed or removed"</f>
        <v>Area of pasture renewed or removed</v>
      </c>
      <c r="E50" s="13" t="s">
        <v>287</v>
      </c>
      <c r="F50" s="13" t="s">
        <v>291</v>
      </c>
      <c r="G50" s="13" t="s">
        <v>289</v>
      </c>
      <c r="H50" s="95"/>
      <c r="I50" s="95"/>
      <c r="J50"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51" spans="1:10" x14ac:dyDescent="0.25">
      <c r="A51" s="5" t="str">
        <f>HYPERLINK("#'10.1.1-2 Solid waste treatment'!A1", "10.1.1.1-2 Solid waste")</f>
        <v>10.1.1.1-2 Solid waste</v>
      </c>
    </row>
    <row r="52" spans="1:10" x14ac:dyDescent="0.25">
      <c r="A52" s="5" t="str">
        <f>HYPERLINK("#'14.1.1-2 Purchased electricity'!A1", "14.1.1-2 Purchased electricity")</f>
        <v>14.1.1-2 Purchased electricity</v>
      </c>
      <c r="J52" s="88">
        <f>SUM(Table_Input_DataQuality_PastureManagement[Score])</f>
        <v>64</v>
      </c>
    </row>
    <row r="53" spans="1:10" ht="23.25" x14ac:dyDescent="0.25">
      <c r="A53" s="5" t="str">
        <f>HYPERLINK("#'15 Scope 3'!A1", "15 Scope 3")</f>
        <v>15 Scope 3</v>
      </c>
      <c r="D53" s="2" t="s">
        <v>304</v>
      </c>
    </row>
    <row r="54" spans="1:10" x14ac:dyDescent="0.25">
      <c r="A54" s="5" t="str">
        <f>HYPERLINK("#'Calcs - Manure sent off-site'!A1", "Calcs - Manure sent off-site")</f>
        <v>Calcs - Manure sent off-site</v>
      </c>
    </row>
    <row r="55" spans="1:10" x14ac:dyDescent="0.25">
      <c r="D55" s="81" t="s">
        <v>283</v>
      </c>
      <c r="E55" s="81" t="s">
        <v>284</v>
      </c>
      <c r="F55" s="81" t="s">
        <v>285</v>
      </c>
      <c r="G55" s="81" t="s">
        <v>286</v>
      </c>
      <c r="H55" s="81" t="s">
        <v>187</v>
      </c>
      <c r="I55" s="81" t="s">
        <v>188</v>
      </c>
      <c r="J55" s="81" t="s">
        <v>189</v>
      </c>
    </row>
    <row r="56" spans="1:10" x14ac:dyDescent="0.25">
      <c r="D56" s="1" t="str">
        <f>"Branded inorganic fertiliser applications"</f>
        <v>Branded inorganic fertiliser applications</v>
      </c>
      <c r="E56" s="13" t="s">
        <v>287</v>
      </c>
      <c r="F56" s="13" t="s">
        <v>291</v>
      </c>
      <c r="G56" s="13" t="s">
        <v>292</v>
      </c>
      <c r="H56" s="95"/>
      <c r="I56" s="95"/>
      <c r="J56"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13</v>
      </c>
    </row>
    <row r="57" spans="1:10" x14ac:dyDescent="0.25">
      <c r="A57" s="82" t="s">
        <v>1</v>
      </c>
      <c r="D57" s="1" t="str">
        <f>"Custom inorganic fertiliser blend applications"</f>
        <v>Custom inorganic fertiliser blend applications</v>
      </c>
      <c r="E57" s="13" t="s">
        <v>287</v>
      </c>
      <c r="F57" s="13" t="s">
        <v>291</v>
      </c>
      <c r="G57" s="13" t="s">
        <v>289</v>
      </c>
      <c r="H57" s="95"/>
      <c r="I57" s="95"/>
      <c r="J57"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58" spans="1:10" x14ac:dyDescent="0.25">
      <c r="A58" s="5" t="str">
        <f>HYPERLINK("#'Constants - Dairy'!A1", "Constants - Dairy")</f>
        <v>Constants - Dairy</v>
      </c>
      <c r="D58" s="1" t="str">
        <f>"Lime applications"</f>
        <v>Lime applications</v>
      </c>
      <c r="E58" s="13" t="s">
        <v>287</v>
      </c>
      <c r="F58" s="13" t="s">
        <v>291</v>
      </c>
      <c r="G58" s="13" t="s">
        <v>289</v>
      </c>
      <c r="H58" s="95"/>
      <c r="I58" s="95"/>
      <c r="J58"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59" spans="1:10" x14ac:dyDescent="0.25">
      <c r="A59" s="5" t="str">
        <f>HYPERLINK("#'Constants - Ag Residue'!A1", "Constants - Ag residue")</f>
        <v>Constants - Ag residue</v>
      </c>
      <c r="D59" s="1" t="str">
        <f>"Organic fertiliser applications"</f>
        <v>Organic fertiliser applications</v>
      </c>
      <c r="E59" s="13" t="s">
        <v>287</v>
      </c>
      <c r="F59" s="13" t="s">
        <v>291</v>
      </c>
      <c r="G59" s="13" t="s">
        <v>289</v>
      </c>
      <c r="H59" s="95"/>
      <c r="I59" s="95"/>
      <c r="J59"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60" spans="1:10" x14ac:dyDescent="0.25">
      <c r="A60" s="5" t="str">
        <f>HYPERLINK("#'Constants - Common Livestock'!A1", "Constants - Common Livestock")</f>
        <v>Constants - Common Livestock</v>
      </c>
    </row>
    <row r="61" spans="1:10" x14ac:dyDescent="0.25">
      <c r="A61" s="5" t="str">
        <f>HYPERLINK("#'Constants - Electricity'!A1", "Constants - Electricity")</f>
        <v>Constants - Electricity</v>
      </c>
      <c r="J61" s="88">
        <f>SUM(Table_Input_DataQuality_FertiliserApplications[Score])</f>
        <v>55</v>
      </c>
    </row>
    <row r="62" spans="1:10" ht="23.25" x14ac:dyDescent="0.25">
      <c r="A62" s="5" t="str">
        <f>HYPERLINK("#'Constants - Fertiliser'!A1", "Constants - Fertiliser")</f>
        <v>Constants - Fertiliser</v>
      </c>
      <c r="D62" s="2" t="s">
        <v>305</v>
      </c>
    </row>
    <row r="63" spans="1:10" x14ac:dyDescent="0.25">
      <c r="A63" s="5" t="str">
        <f>HYPERLINK("#'Constants - Fuel'!A1", "Constants - Fuel")</f>
        <v>Constants - Fuel</v>
      </c>
    </row>
    <row r="64" spans="1:10" x14ac:dyDescent="0.25">
      <c r="A64" s="5" t="str">
        <f>HYPERLINK("#'Constants - Scope 3'!A1", "Constants - Scope 3")</f>
        <v>Constants - Scope 3</v>
      </c>
      <c r="D64" s="81" t="s">
        <v>283</v>
      </c>
      <c r="E64" s="81" t="s">
        <v>284</v>
      </c>
      <c r="F64" s="81" t="s">
        <v>285</v>
      </c>
      <c r="G64" s="81" t="s">
        <v>286</v>
      </c>
      <c r="H64" s="81" t="s">
        <v>187</v>
      </c>
      <c r="I64" s="81" t="s">
        <v>188</v>
      </c>
      <c r="J64" s="81" t="s">
        <v>189</v>
      </c>
    </row>
    <row r="65" spans="1:10" x14ac:dyDescent="0.25">
      <c r="A65" s="5" t="str">
        <f>HYPERLINK("#'Constants - Common'!A1", "Constants - Common")</f>
        <v>Constants - Common</v>
      </c>
      <c r="D65" s="1" t="str">
        <f>"Fuel purchases"</f>
        <v>Fuel purchases</v>
      </c>
      <c r="E65" s="13" t="s">
        <v>287</v>
      </c>
      <c r="F65" s="13" t="s">
        <v>291</v>
      </c>
      <c r="G65" s="13" t="s">
        <v>292</v>
      </c>
      <c r="H65" s="95"/>
      <c r="I65" s="95"/>
      <c r="J65"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66" spans="1:10" x14ac:dyDescent="0.25">
      <c r="A66" s="5" t="str">
        <f>HYPERLINK("#'Constants - Refrigerants'!A1", "Constants - Refrigerants")</f>
        <v>Constants - Refrigerants</v>
      </c>
      <c r="D66" s="1" t="str">
        <f>"Fuel consumption"</f>
        <v>Fuel consumption</v>
      </c>
      <c r="E66" s="13" t="s">
        <v>287</v>
      </c>
      <c r="F66" s="13" t="s">
        <v>291</v>
      </c>
      <c r="G66" s="13" t="s">
        <v>289</v>
      </c>
      <c r="H66" s="95"/>
      <c r="I66" s="95"/>
      <c r="J66"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67" spans="1:10" x14ac:dyDescent="0.25">
      <c r="A67" s="5" t="str">
        <f>HYPERLINK("#'Constants - Solid Waste'!A1", "Constants - Solid Waste")</f>
        <v>Constants - Solid Waste</v>
      </c>
      <c r="D67" s="1" t="str">
        <f>"Electricity consumption"</f>
        <v>Electricity consumption</v>
      </c>
      <c r="E67" s="13" t="s">
        <v>287</v>
      </c>
      <c r="F67" s="13" t="s">
        <v>291</v>
      </c>
      <c r="G67" s="13" t="s">
        <v>289</v>
      </c>
      <c r="H67" s="95"/>
      <c r="I67" s="95"/>
      <c r="J67"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68" spans="1:10" x14ac:dyDescent="0.25">
      <c r="A68" s="5" t="str">
        <f>HYPERLINK("#'Acknowledgements'!A1", "Acknowledgements")</f>
        <v>Acknowledgements</v>
      </c>
      <c r="D68" s="1" t="str">
        <f>"Electricity generation"</f>
        <v>Electricity generation</v>
      </c>
      <c r="E68" s="13" t="s">
        <v>287</v>
      </c>
      <c r="F68" s="13" t="s">
        <v>291</v>
      </c>
      <c r="G68" s="13" t="s">
        <v>289</v>
      </c>
      <c r="H68" s="95"/>
      <c r="I68" s="95"/>
      <c r="J68"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70" spans="1:10" x14ac:dyDescent="0.25">
      <c r="J70" s="88">
        <f>SUM(Table_Input_DataQuality_FuelElectricity[Score])</f>
        <v>55</v>
      </c>
    </row>
    <row r="72" spans="1:10" ht="23.25" x14ac:dyDescent="0.25">
      <c r="D72" s="2" t="s">
        <v>306</v>
      </c>
    </row>
    <row r="74" spans="1:10" x14ac:dyDescent="0.25">
      <c r="D74" s="81" t="s">
        <v>283</v>
      </c>
      <c r="E74" s="81" t="s">
        <v>284</v>
      </c>
      <c r="F74" s="81" t="s">
        <v>285</v>
      </c>
      <c r="G74" s="81" t="s">
        <v>286</v>
      </c>
      <c r="H74" s="81" t="s">
        <v>187</v>
      </c>
      <c r="I74" s="81" t="s">
        <v>188</v>
      </c>
      <c r="J74" s="81" t="s">
        <v>189</v>
      </c>
    </row>
    <row r="75" spans="1:10" x14ac:dyDescent="0.25">
      <c r="D75" s="1" t="str">
        <f>"Farm input purchases"</f>
        <v>Farm input purchases</v>
      </c>
      <c r="E75" s="13" t="s">
        <v>287</v>
      </c>
      <c r="F75" s="13" t="s">
        <v>291</v>
      </c>
      <c r="G75" s="13" t="s">
        <v>292</v>
      </c>
      <c r="H75" s="95"/>
      <c r="I75" s="95"/>
      <c r="J75"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76" spans="1:10" x14ac:dyDescent="0.25">
      <c r="D76" s="1" t="str">
        <f>"Inbound freight use"</f>
        <v>Inbound freight use</v>
      </c>
      <c r="E76" s="13" t="s">
        <v>287</v>
      </c>
      <c r="F76" s="13" t="s">
        <v>291</v>
      </c>
      <c r="G76" s="13" t="s">
        <v>289</v>
      </c>
      <c r="H76" s="95"/>
      <c r="I76" s="95"/>
      <c r="J76"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77" spans="1:10" x14ac:dyDescent="0.25">
      <c r="D77" s="1" t="str">
        <f>"Outbound freight use"</f>
        <v>Outbound freight use</v>
      </c>
      <c r="E77" s="13" t="s">
        <v>287</v>
      </c>
      <c r="F77" s="13" t="s">
        <v>291</v>
      </c>
      <c r="G77" s="13" t="s">
        <v>289</v>
      </c>
      <c r="H77" s="95"/>
      <c r="I77" s="95"/>
      <c r="J77"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78" spans="1:10" x14ac:dyDescent="0.25">
      <c r="D78" s="1" t="s">
        <v>318</v>
      </c>
      <c r="E78" s="13"/>
      <c r="F78" s="13"/>
      <c r="G78" s="13"/>
      <c r="H78" s="95"/>
      <c r="I78" s="95"/>
      <c r="J78"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79" spans="1:10" x14ac:dyDescent="0.25">
      <c r="D79" s="1" t="str">
        <f>"Solid waste generation and treatment"</f>
        <v>Solid waste generation and treatment</v>
      </c>
      <c r="E79" s="13" t="s">
        <v>287</v>
      </c>
      <c r="F79" s="13" t="s">
        <v>291</v>
      </c>
      <c r="G79" s="13" t="s">
        <v>289</v>
      </c>
      <c r="H79" s="95"/>
      <c r="I79" s="95"/>
      <c r="J79"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81" spans="4:10" x14ac:dyDescent="0.25">
      <c r="J81" s="88">
        <f>SUM(Table_Input_DataQuality_FarmInputsFreightWaste[Score])</f>
        <v>55</v>
      </c>
    </row>
    <row r="83" spans="4:10" ht="20.25" x14ac:dyDescent="0.25">
      <c r="D83" s="87" t="s">
        <v>307</v>
      </c>
      <c r="E83" s="90" t="str">
        <f>(J17+J28+J42+J52+J61+J70+J81)&amp;" out of "&amp;((COUNT(Table_Input_DataQuality_Enterprise[Score])*15)+(COUNT(Table_Input_DataQuality_Site[Score])*15)+(COUNT(Table_Input_DataQuality_PastureBeef[Score])*15)+(COUNT(Table_Input_DataQuality_PastureManagement[Score])*15)+(COUNT(Table_Input_DataQuality_FertiliserApplications[Score])*15)+(COUNT(Table_Input_DataQuality_FuelElectricity[Score])*15)+(COUNT(Table_Input_DataQuality_FarmInputsFreightWaste[Score])*15))</f>
        <v>460 out of 615</v>
      </c>
    </row>
  </sheetData>
  <dataValidations count="3">
    <dataValidation type="list" allowBlank="1" showInputMessage="1" showErrorMessage="1" sqref="G21:G26 G46:G50 G56:G59 G65:G68 G8:G15 G32:G40 G75:G79" xr:uid="{7348BC45-1F0E-4593-B1ED-28F0AA15AB79}">
      <formula1>INDIRECT("Table_SourceData_DataQuality_SampleSize[User friendly description]")</formula1>
    </dataValidation>
    <dataValidation type="list" allowBlank="1" showInputMessage="1" showErrorMessage="1" sqref="E21:E26 E46:E50 E56:E59 E65:E68 E8:E15 E32:E40 E75:E79" xr:uid="{BE274FAF-348C-4753-980A-995BBEF645F7}">
      <formula1>INDIRECT("Table_SourceData_DataQuality_TemporalRepresentativeness[User friendly description]")</formula1>
    </dataValidation>
    <dataValidation type="list" allowBlank="1" showInputMessage="1" showErrorMessage="1" sqref="F21:F26 F46:F50 F56:F59 F65:F68 F8:F15 F32:F40 F75:F79" xr:uid="{451D8DCB-BDE7-4E2E-8470-02EAA8EBEF42}">
      <formula1>INDIRECT("Table_SourceData_DataQuality_SpatialRepresentativeness[User friendly description]")</formula1>
    </dataValidation>
  </dataValidations>
  <pageMargins left="0.7" right="0.7" top="0.75" bottom="0.75" header="0.3" footer="0.3"/>
  <tableParts count="7">
    <tablePart r:id="rId1"/>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Mw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A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E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TQBNAFMAXwBEAGEAaQByAHk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IABNAGUAdABoAG8AZAAgADEAIAAtACAATQBhAG4AdQByAGUAIABNAGUAdABoAGEAbgBl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BfAF8AMQBfAFQAbwB0AGEAbABBAG4AbgB1AGEAbABNAGUAdABoAGEAbgBlAEYAcgBvAG0ATQBhAG4AdQByAGUATQBhAG4AYQBnAGUAbQBlAG4AdABcAG4AVABvAHQAYQBsACAAYQBuAG4AdQBhAGwAIABtAGUAdABoAGEAbgBlACAAcAByAG8AZAB1AGMAdABpAG8AbgAgAGYAcgBvAG0AIABtAGEAbgB1AHIAZQAgAG0AYQBuAGEAZwBlAG0AZQBuAHQAXABuAEUAXwBDAEgANABcAG4AdAAgAEMASAA0AFwAbgBFAF8AewBDAEgANAB9AD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bgBOAF8AagAxADIANAAgAD0AIABuAHUAbQBiAGUAcgAgAG8AZgAgAGQAYQBpAHIAeQAgAGMAYQB0AHQAbABlACAAaQBuACAAYwBsAGEAcwBzAGUAcwAgAGoAPQAxACwAMgAsADQAXABuAE0AXwBqADEAMgA0AG0AIAA9ACAAbQBlAHQAaABhAG4AZQAgAHAAcgBvAGQAdQBjAHQAaQBvAG4AIABmAHIAbwBtACAAbQBhAG4AdQByAGUAIABvAGYAIAB3AGUAYQBuAGUAZAAgAGQAYQBpAHIAeQAgAGMAYQB0AHQAbABlACAAaQBuACAAYwBsAGEAcwBzAGUAcwAgAGoAPQAxACwAMgAsADQAIABpAG4AIABNAE0AUwAgAG0AIAAoAGsAZwAgAEMASAA0AC8AaABlAGEAZAAvAGQAYQB5ACkAXABuAEQAXwBqADEAMgA0ACAAPQAgAGQAdQByAGEAdABpAG8AbgAgAG8AZgAgAHMAdABhAHkAIABvAG4AIABmAGEAcgBtACAAZgBvAHIAIABjAGwAYQBzAHMAZQBzACAAagA9ADEALAAyACwANAAgACgAZABhAHkAcwApAFwAbgBOAF8AagAzADUAIAA9ACAAbgB1AG0AYgBlAHIAIABvAGYAIABkAGEAaQByAHkAIABjAGEAdAB0AGwAZQAgAGkAbgAgAGMAbABhAHMAcwBlAHMAIABqAD0AMwAsADUAXABuAE0AXwBqADMANQBtACAAPQAgAG0AZQB0AGgAYQBuAGUAIABwAHIAbwBkAHUAYwB0AGkAbwBuACAAZgByAG8AbQAgAG0AYQBuAHUAcgBlACAAbwBmACAAdwBlAGEAbgBlAGQAIABkAGEAaQByAHkAIABjAGEAdAB0AGwAZQAgAGkAbgAgAGMAbABhAHMAcwBlAHMAIABqAD0AMwAsADUAIABpAG4AIABNAE0AUwAgAG0AIAAoAGsAZwAgAEMASAA0AC8AaABlAGEAZAAvAGQAYQB5ACkAXABuAEQAXwBqADMANQAgAD0AIABkAHUAcgBhAHQAaQBvAG4AIABvAGYAIABzAHQAYQB5ACAAbwBuACAAZgBhAHIAbQAgAGYAbwByACAAYwBsAGEAcwBzAGUAcwAgAGoAPQAzACwANQAgACgAZABhAHkAcwApAFwAbgBNAFAAVwBfAG0AYQBuAHUAcgBlAF8AagAzADUAIAA9ACAAbQBlAHQAaABhAG4AZQAgAHAAcgBvAGQAdQBjAHQAaQBvAG4AIABmAHIAbwBtACAAbQBhAG4AdQByAGUAIABvAGY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0AF8AMwBfADEAXwAxAF8AXwAxAF8AVABvAHQAYQBsAEEAbgBuAHUAYQBsAE0AZQB0AGgAYQBuAGUARgByAG8AbQBNAGEAbgB1AHIAZQBNAGEAbgBhAGcAZQBtAGUAbgB0AFwAbgAgACAAPQBMAEEATQBCAEQAQQAoAFwAbgAgACAAIAAgAE4AXwBqADEAMgA0ACwAIABNAF8AagAxADIANABtACwAIABEAF8AagAxADIANAAsACAATgBfAGoAMwA1ACwAIABNAF8AagAzADUAbQAsACAARABfAGoAMwA1ACwAIABNAFAAVwBfAG0AYQBuAHUAcgBlAF8AagAzADUALABcAG4AIAAgACAAIAAoACgATgBfAGoAMQAyADQAIAAqACAATQBfAGoAMQAyADQAbQAgACoAIABEAF8AagAxADIANAApACAAKwAgACgATgBfAGoAMwA1ACAAKgAgAE0AXwBqADMANQBtACAAKgAgAEQAXwBqADMANQApACAAKwAgACgATgBfAGoAMwA1ACAAKgAgAE0AUABXAF8AbQBhAG4AdQByAGUAXwBqADMANQAgACoAIABEAF8AagAzADUAKQApACAAKgAgADEAMAAgAF4AIAAtADMAXABuACAAIAApADsAXABuAFwAbgBWAEUARQBSAEcAXwA0AF8AMwBfADEAXwAxAF8AXwAxAF8AVABvAHQAYQBsAEEAbgBuAHUAYQBsAE0AZQB0AGgAYQBuAGUARgByAG8AbQBNAGEAbgB1AHIAZQBNAGEAbgBhAGcAZQBtAGUAbgB0AFYAYQByAGkAYQB0AGkAbwBuAFwAbgAgACAAPQBMAEEATQBCAEQAQQAoAFwAbgAgACAAIAAgAE4AXwBqADEAMgA0ACwAIABNAF8AagAxADIANABtACwAIABEAF8AagAxADIANAAsACAATgBfAGoAMwA1ACwAIABNAF8AagAzADUAbQAsACAARABfAGoAMwA1ACwAIABNAFAAVwBfAG0AYQBuAHUAcgBlAF8AagAzADUALAAgAEQAUABXAF8AagAzADUALABcAG4AIAAgACAAIAAoACgATgBfAGoAMQAyADQAIAAqACAATQBfAGoAMQAyADQAbQAgACoAIABEAF8AagAxADIANAApACAAKwAgACgATgBfAGoAMwA1ACAAKgAgAE0AXwBqADMANQBtACAAKgAgAEQAXwBqADMANQApACAAKwAgACgATgBfAGoAMwA1ACAAKgAgAE0AUABXAF8AbQBhAG4AdQByAGUAXwBqADMANQAgACoAIABEAFAAVwBfAGoAMwA1ACkAKQAgACoAIAAxADAAIABeACAALQAzAFwAbgAgACAAKQA7AFwAbgBcAG4AXABuAFYARQBFAFIARwBfADQAXwAzAF8AMQBfADEAXwBfADEAXwBUAG8AdABhAGwAQQBuAG4AdQBhAGwATQBlAHQAaABhAG4AZQBGAHIAbwBtAE0AYQBuAHUAcgBlAE0AYQBuAGEAZwBlAG0AZQBuAHQAXwBUAGkAdABsAGUAXABuACAAIAA9AEwAQQBNAEIARABBACgAXAAiAFQAbwB0AGEAbAAgAGEAbgBuAHUAYQBsACAAbQBlAHQAaABhAG4AZQAgAHAAcgBvAGQAdQBjAHQAaQBvAG4AIABmAHIAbwBtACAAbQBhAG4AdQByAGUAIABtAGEAbgBhAGcAZQBtAGUAbgB0AFwAIgApADsAXABuAFwAbgBWAEUARQBSAEcAXwA0AF8AMwBfADEAXwAxAF8AXwAxAF8AVABvAHQAYQBsAEEAbgBuAHUAYQBsAE0AZQB0AGgAYQBuAGUARgByAG8AbQBNAGEAbgB1AHIAZQBNAGEAbgBhAGcAZQBtAGUAbgB0AF8AVgBhAHIAaQBhAGIAbABlAFwAbgAgACAAPQBMAEEATQBCAEQAQQAoAFwAIgBFAF8AQwBIADQAXAAiACkAOwBcAG4AXABuAFYARQBFAFIARwBfADQAXwAzAF8AMQBfADEAXwBfADEAXwBUAG8AdABhAGwAQQBuAG4AdQBhAGwATQBlAHQAaABhAG4AZQBGAHIAbwBtAE0AYQBuAHUAcgBlAE0AYQBuAGEAZwBlAG0AZQBuAHQAXwBVAG4AaQB0AFwAbgAgACAAPQBMAEEATQBCAEQAQQAoAFwAIgB0ACAAQwBIADQAXAAiACkAOwBcAG4AXABuAFYARQBFAFIARwBfADQAXwAzAF8AMQBfADEAXwBfADEAXwBUAG8AdABhAGwAQQBuAG4AdQBhAGwATQBlAHQAaABhAG4AZQBGAHIAbwBtAE0AYQBuAHUAcgBlAE0AYQBuAGEAZwBlAG0AZQBuAHQAXwBTAG8AdQByAGMAZQBcAG4AIAAgAD0ATABBAE0AQgBEAEEAKABcACIAVgBFAEUAUgBHACAAMgAwADIANgA6ACAANAAuADMALgAxAC4AMQAsACAARQBxAHUAYQB0AGkAbwBuACAAKAAxACkAXAAiACkAOwBcAG4AXABuAFYARQBFAFIARwBfADQAXwAzAF8AMQBfADEAXwBfADEAXwBUAG8AdABhAGwAQQBuAG4AdQBhAGwATQBlAHQAaABhAG4AZQBGAHIAbwBtAE0AYQBuAHUAcgBlAE0AYQBuAGEAZwBlAG0AZQBuAHQAXwBOAEkAUgBSAGUAZgBlAHIAZQBuAGMAZQBcAG4AIAAgAD0ATABBAE0AQgBEAEEAKABcACIAXAAiACkAOwBcAG4AXABuAFYARQBFAFIARwBfADQAXwAzAF8AMQBfADEAXwBfADEAXwBUAG8AdABhAGwAQQBuAG4AdQBhAGwATQBlAHQAaABhAG4AZQBGAHIAbwBtAE0AYQBuAHUAcgBlAE0AYQBuAGEAZwBlAG0AZQBuAHQAXwBMAGEAdABlAHgARQBxAHU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CIAKQA7AFwAbgBcAG4AVgBFAEUAUgBHAF8ANABfADMAXwAxAF8AMQBfAF8AMQBfAFQAbwB0AGEAbABBAG4AbgB1AGEAbABNAGUAdABoAGEAbgBlAEYAcgBvAG0ATQBhAG4AdQByAGUATQBhAG4AYQBnAGUAbQBlAG4AdABfAEwAYQB0AGUAeABFAHEAdQBhAHQAaQBvAG4AVgBhAHIAa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QAFcAXwB7AGoAPQAzACwANQB9ACkAKQBcAFwAdABpAG0AZQBzACAAMQAwAF4AewAtADMAfQBcACIAKQA7AFwAbgBcAG4AVgBFAEUAUgBHAF8ANABfADMAXwAxAF8AMQBfAF8AMQBfAFQAbwB0AGEAbABBAG4AbgB1AGEAbABNAGUAdABoAGEAbgBlAEYAcgBvAG0ATQBhAG4AdQByAGUATQBhAG4AYQBnAGUAbQBlAG4AdA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G0AXAAiACwAIABcACIAbQBlAHQAaABhAG4AZQAgAHAAcgBvAGQAdQBjAHQAaQBvAG4AIABmAHIAbwBtACAAbQBhAG4AdQByAGUAIABvAGYAIAB3AGUAYQBuAGUAZAAgAGQAYQBpAHIAeQAgAGMAYQB0AHQAbABlACAAaQBuACAAYwBsAGEAcwBzAGUAcwAgAGoAPQAxACwAMgAsADQAIABpAG4AIABNAE0AUwAgAG0AXAAiACwAIABcACIAawBnACAAQwBIADQALwBoAGUAYQBkAC8AZABhAHkAXAAiACwAIABcACIAQwBhAGwAYwB1AGwAYQB0AGUAZAAgAGYAcgBvAG0AIAA0AC4AMwAuADEALgAxACAAKAAyACkAXAAiADsAXABuACAAIAAgACAAIAAgACAAIAAgACAAXAAiAEQAXwBqADEAMgA0AFwAIgAsACAAXAAiAGQAdQByAGEAdABpAG8AbgAgAG8AZgAgAHMAdABhAHkAIABvAG4AIABmAGEAcgBtACAAZgBvAHIAIABjAGwAYQBzAHMAZQBzACAAagA9ADEALAAyACwANABcACIALAAgAFwAIgBkAGEAeQBzAFwAIgAsACAAXAAiAEkAbgBwAHUAdABcACIAOwBcAG4AIAAgACAAIAAgACAAIAAgACAAIABcACIATgBfAGoAMwA1AFwAIgAsACAAXAAiAG4AdQBtAGIAZQByACAAbwBmACAAZABhAGkAcgB5ACAAYwBhAHQAdABsAGUAIABpAG4AIABjAGwAYQBzAHMAZQBzACAAagA9ADMALAA1AFwAIgAsACAAXAAiAGgAZQBhAGQAXAAiACwAIABcACIASQBuAHAAdQB0AFwAIgA7AFwAbgAgACAAIAAgACAAIAAgACAAIAAgAFwAIgBNAF8AagAzADUAbQBcACIALAAgAFwAIgBtAGUAdABoAGEAbgBlACAAcAByAG8AZAB1AGMAdABpAG8AbgAgAGYAcgBvAG0AIABtAGEAbgB1AHIAZQAgAG8AZgAgAHcAZQBhAG4AZQBkACAAZABhAGkAcgB5ACAAYwBhAHQAdABsAGUAIABpAG4AIABjAGwAYQBzAHMAZQBzACAAagA9ADMALAA1ACAAaQBuACAATQBNAFMAIABtAFwAIgAsACAAXAAiAGsAZwAgAEMASAA0AC8AaABlAGEAZAAvAGQAYQB5AFwAIgAsACAAXAAiAEMAYQBsAGMAdQBsAGEAdABlAGQAIABmAHIAbwBtACAANAAuADMALgAxAC4AMQAgACgAMgApAFwAIgA7AFwAbgAgACAAIAAgACAAIAAgACAAIAAgAFwAIgBEAF8AagAzADUAXAAiACwAIABcACIAZAB1AHIAYQB0AGkAbwBuACAAbwBmACAAcwB0AGEAeQAgAG8AbgAgAGYAYQByAG0AIABmAG8AcgAgAGMAbABhAHMAcwBlAHMAIABqAD0AMwAsADUAXAAiACwAIABcACIAZABhAHkAcwBcACIALAAgAFwAIgBJAG4AcAB1AHQAXAAiADsAXABuACAAIAAgACAAIAAgACAAIAAgACAAXAAiAE0AUABXAF8AbQBhAG4AdQByAGUAXwBqADMANQBcACIALAAgAFwAIgBtAGUAdABoAGEAbgBlACAAcAByAG8AZAB1AGMAdABpAG8AbgAgAGYAcgBvAG0AIABtAGEAbgB1AHIAZQAgAG8AZgAgAHAAcgBlAC0AdwBlAGEAbgBlAGQAIABoAGUAaQBmAGUAcgAgAGEAbgBkACAAYgB1AGwAbAAgAGMAYQBsAHYAZQBzAFwAIgAsACAAXAAiAGsAZwAgAEMASAA0AC8AaABlAGEAZAAvAGQAYQB5AFwAIgAsACAAXAAiAEMAbwBuAHMAdABhAG4AdABcACIAOwBcAG4AIAAgACAAIAAgACAAIAAgACAAIABcACIARABQAFcAXwBqADMANQBcACIALAAgAFwAIgBkAHUAcgBhAHQAaQBvAG4AIABvAGYAIABzAHQAYQB5ACAAbwBuACAAZgBhAHIAbQAgAGYAbwByACAAcAByAGUALQB3AGUAYQBuAGUAZAAgAGgAZQBpAGYAZQByACAAYQBuAGQAIABiAHUAbABsACAAYwBhAGwAdgBlAHMAXAAiACwAIABcACIAZABhAHkAcwBcACIALAAgAFwAIgBJAG4AcAB1AHQAXAAiAFwAbgAgACAAIAAgACAAIAAgACAAfQAsACAAcgAsACAAYwApAFwAbgAgACAAIAAgACAAIAApAFwAbgAgACAAIAAgACkAXABuACAAIAApADsAXABuAFwAbgBWAEUARQBSAEcAXwA0AF8AMwBfADEAXwAxAF8AXwAxAF8AVABvAHQAYQBsAEEAbgBuAHUAYQBsAE0AZQB0AGgAYQBuAGUARgByAG8AbQBNAGEAbgB1AHIAZQBNAGEAbgBhAGcAZQBtAGUAbgB0AF8AVgBhAHIAaQBhAHQAaQBvAG4AXABuACAAIAA9AEwAQQBNAEIARABBACgAXAAiAFYAQQBSAEkAQQBUAEkATwBOADoAIABVAHMAZQBkACAAcwBlAHAAYQByAGEAdABlACAAdgBhAHIAaQBhAGIAbABlACAAZgBvAHIAIABkAHUAcgBhAHQAaQBvAG4AIABvAGYAIABzAHQAYQB5ACAAbwBuACAAZgBhAHIAbQAgAGYAbwByACAAcAByAGUALQB3AGUAYQBuAGUAZAAgAGgAZQBpAGYAZQByACAAYQBuAGQAIABiAHUAbABsACAAYwBhAGwAdgBlAHMALgBcACIAKQA7AFwAbgBcAG4ALwAqAFwAbgAtAC0ALQAtAC0ALQAtAC0ALQAtAC0ALQAtAC0ALQAtAC0ALQAtAC0ALQAtAC0ALQAtAC0ALQAtAC0ALQAtAC0ALQAtAC0ALQAtAC0AXABuAFYARQBFAFIARwBfADQAXwAzAF8AMQBfADEAXwBfADIAXwBNAGUAdABoAGEAbgBlAEYAcgBvAG0ATQBhAG4AdQByAGUAUAByAG8AZAB1AGMAdABpAG8AbgBcAG4ATQBlAHQAaABhAG4AZQAgAGYAcgBvAG0AIABtAGEAbgB1AHIAZQAgAHAAcgBvAGQAdQBjAHQAaQBvAG4AIABmAHIAbwBtACAAdwBlAGEAbgBlAGQAIABkAGEAaQByAHkAIABjAGEAdAB0AGwAZQBcAG4ATQBfAGoAbQBcAG4AawBnACAAQwBIADQALwBoAGUAYQBkAC8AZABhAHkAXABuAE0AXwB7AGoAbQB9AD0AVgBTAF8AagBcAFwAdABpAG0AZQBzACAARgBWAFMAXwB7AGoAbQAsAFQAPQAxAH0AXABcAHQAaQBtAGUAcwAgAE0AQwBGAF8AewBpAG0AfQBcAFwAdABpAG0AZQBzACAAQgBfAG8AXABcAHQAaQBtAGUAcwAgAFwAXAByAGgAbwBcAG4AVgBTAF8AagAgAD0AIABkAGEAaQBsAHkAIAB2AG8AbABhAHQAaQBsAGUAIABzAG8AbABpAGQAcwAgAHAAcgBvAGQAdQBjAHQAaQBvAG4AIABwAGUAcgAgAGgAZQBhAGQAIABmAG8AcgAgAGQAYQBpAHIAeQAgAGMAYQB0AHQAbABlACAAKABrAGcALwBoAGUAYQBkAC8AZABhAHkAKQBcAG4ARgBWAFMAXwBqAG0AVAAxACAAPQAgAGYAcgBhAGMAdABpAG8AbgAgAG8AZgAgAHcAYQBzAHQAZQAgAGYAcgBvAG0AIABlAGEAYwBoACAAYwBsAGEAcwBzACAAaQBuACAAZQBhAGMAaAAgAG0AYQBuAGEAZwBlAG0AZQBuAHQAIABzAHkAcwB0AGUAbQBcAG4ATQBDAEYAXwBpAG0AIAA9ACAAbQBlAHQAaABhAG4AZQAgAGMAbwBuAHYAZQByAHMAaQBvAG4AIABmAGEAYwB0AG8AcgAgAGYAbwByACAAdABlAG0AcABlAHIAYQB0AHUAcgBlACAAegBvAG4AZQAgAGEAbgBkACAATQBNAFMAXABuAEIAXwBvACAAPQAgAGUAbQBpAHMAcwBpAG8AbgBzACAAcABvAHQAZQBuAHQAaQBhAGwAIAAoAG0AMwAgAEMASAA0AC8AawBnAFYAUwApAFwAbgByAGgAbwAgAD0AIABkAGUAbgBzAGkAdAB5ACAAbwBmACAAbQBlAHQAaABhAG4AZQAgACgAawBnAC8AbQAzACkAXABuAC0ALQAtAC0ALQAtAC0ALQAtAC0ALQAtAC0ALQAtAC0ALQAtAC0ALQAtAC0ALQAtAC0ALQAtAC0ALQAtAC0ALQAtAC0ALQAtAC0ALQBcAG4AKgAvAFwAbgBcAG4AVgBFAEUAUgBHAF8ANABfADMAXwAxAF8AMQBfAF8AMgBfAE0AZQB0AGgAYQBuAGUARgByAG8AbQBNAGEAbgB1AHIAZQBQAHIAbwBkAHUAYwB0AGkAbwBuAFwAbgAgACAAPQBMAEEATQBCAEQAQQAoAFwAbgAgACAAIAAgAFYAUwBfAGoALAAgAEYAVgBTAF8AagBtAFQAMQAsACAATQBDAEYAXwBpAG0ALAAgAEIAXwBvACwAIAByAGgAbwAsAFwAbgAgACAAIAAgAFYAUwBfAGoAIAAqACAARgBWAFMAXwBqAG0AVAAxACAAKgAgAE0AQwBGAF8AaQBtACAAKgAgAEIAXwBvACAAKgAgAHIAaABvAFwAbgAgACAAKQA7AFwAbgBcAG4AVgBFAEUAUgBHAF8ANABfADMAXwAxAF8AMQBfAF8AMgBfAE0AZQB0AGgAYQBuAGUARgByAG8AbQBNAGEAbgB1AHIAZQBQAHIAbwBkAHUAYwB0AGkAbwBuAF8AVABpAHQAbABlAFwAbgAgACAAPQBMAEEATQBCAEQAQQAoAFwAIgBNAGUAdABoAGEAbgBlACAAZgByAG8AbQAgAG0AYQBuAHUAcgBlACAAcAByAG8AZAB1AGMAdABpAG8AbgAgAGYAcgBvAG0AIAB3AGUAYQBuAGUAZAAgAGQAYQBpAHIAeQAgAGMAYQB0AHQAbABlAFwAIgApADsAXABuAFwAbgBWAEUARQBSAEcAXwA0AF8AMwBfADEAXwAxAF8AXwAyAF8ATQBlAHQAaABhAG4AZQBGAHIAbwBtAE0AYQBuAHUAcgBlAFAAcgBvAGQAdQBjAHQAaQBvAG4AXwBWAGEAcgBpAGEAYgBsAGUAXABuACAAIAA9AEwAQQBNAEIARABBACgAXAAiAE0AXwBqAG0AXAAiACkAOwBcAG4AXABuAFYARQBFAFIARwBfADQAXwAzAF8AMQBfADEAXwBfADIAXwBNAGUAdABoAGEAbgBlAEYAcgBvAG0ATQBhAG4AdQByAGUAUAByAG8AZAB1AGMAdABpAG8AbgBfAFUAbgBpAHQAXABuACAAIAA9AEwAQQBNAEIARABBACgAXAAiAGsAZwAgAEMASAA0AC8AaABlAGEAZAAvAGQAYQB5AFwAIgApADsAXABuAFwAbgBWAEUARQBSAEcAXwA0AF8AMwBfADEAXwAxAF8AXwAyAF8ATQBlAHQAaABhAG4AZQBGAHIAbwBtAE0AYQBuAHUAcgBlAFAAcgBvAGQAdQBjAHQAaQBvAG4AXwBTAG8AdQByAGMAZQBcAG4AIAAgAD0ATABBAE0AQgBEAEEAKABcACIAVgBFAEUAUgBHACAAMgAwADIANgA6ACAANAAuADMALgAxAC4AMQAsACAARQBxAHUAYQB0AGkAbwBuACAAKAAyACkAXAAiACkAOwBcAG4AXABuAFYARQBFAFIARwBfADQAXwAzAF8AMQBfADEAXwBfADIAXwBNAGUAdABoAGEAbgBlAEYAcgBvAG0ATQBhAG4AdQByAGUAUAByAG8AZAB1AGMAdABpAG8AbgBfAE4ASQBSAFIAZQBmAGUAcgBlAG4AYwBlAFwAbgAgACAAPQBMAEEATQBCAEQAQQAoAFwAIgBcACIAKQA7AFwAbgBcAG4AVgBFAEUAUgBHAF8ANABfADMAXwAxAF8AMQBfAF8AMgBfAE0AZQB0AGgAYQBuAGUARgByAG8AbQBNAGEAbgB1AHIAZQBQAHIAbwBkAHUAYwB0AGkAbwBuAF8ATABhAHQAZQB4AEUAcQB1AGEAdABpAG8AbgBcAG4AIAAgAD0ATABBAE0AQgBEAEEAKABcACIATQBfAHsAagBtAH0APQBWAFMAXwBqAFwAXAB0AGkAbQBlAHMAIABGAFYAUwBfAHsAagBtACwAVAA9ADEAfQBcAFwAdABpAG0AZQBzACAATQBDAEYAXwB7AGkAbQB9AFwAXAB0AGkAbQBlAHMAIABCAF8AbwBcAFwAdABpAG0AZQBzACAAXABcAHIAaABvAFwAIgApADsAXABuAFwAbgBWAEUARQBSAEcAXwA0AF8AMwBfADEAXwAxAF8AXwAyAF8ATQBlAHQAaABhAG4AZQBGAHIAbwBtAE0AYQBuAHUAc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8AagBcACIALAAgAFwAIgBkAGEAaQBsAHkAIAB2AG8AbABhAHQAaQBsAGUAIABzAG8AbABpAGQAcwAgAHAAcgBvAGQAdQBjAHQAaQBvAG4AIABwAGUAcgAgAGgAZQBhAGQAIABmAG8AcgAgAGQAYQBpAHIAeQAgAGMAYQB0AHQAbABlACAAKABrAGcALwBoAGUAYQBkAC8AZABhAHkAKQBcACIALAAgAFwAIgBrAGcALwBoAGUAYQBkAC8AZABhAHkAXAAiACwAIABcACIAQwBhAGwAYwB1AGwAYQB0AGUAZAAgAGYAcgBvAG0AIAA0AC4AMwAuADEALgAxACAAKAAzACkAXAAiADsAXABuACAAIAAgACAAIAAgACAAIAAgACAAXAAiAEYAVgBTAF8AagBtAFQAMQBcACIALAAgAFwAIgBmAHIAYQBjAHQAaQBvAG4AIABvAGYAIAB3AGEAcwB0AGUAIABmAHIAbwBtACAAZQBhAGMAaAAgAGMAbABhAHMAcwAgAGkAbgAgAGUAYQBjAGgAIABtAGEAbgBhAGcAZQBtAGUAbgB0ACAAcwB5AHMAdABlAG0AXAAiACwAIABcACIAZgByAGEAYwB0AGkAbwBuAFwAIgAsACAAXAAiAEMAYQBsAGMAdQBsAGEAdABlAGQAIABmAHIAbwBtACAANAAuADMALgAxAC4AMQAgACgANAApACgANQAp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CAF8AbwBcACIALAAgAFwAIgBlAG0AaQBzAHMAaQBvAG4AcwAgAHAAbwB0AGUAbgB0AGkAYQBsACAAKABtADMAIABDAEgANAAvAGsAZwBWAFMAKQBcACIALAAgAFwAIgBtADMAIABDAEgANAAvAGsAZwBWAFMAXAAiACwAIABcACIAQwBvAG4AcwB0AGEAbgB0AFwAIgA7AFwAbgAgACAAIAAgACAAIAAgACAAIAAgAFwAIgByAGgAbwBcACIALAAgAFwAIgBkAGUAbgBzAGkAdAB5ACAAbwBmACAAbQBlAHQAaABhAG4AZQAgACgAawBnAC8AbQAzACkAXAAiACwAIABcACIAawBnAC8AbQAzAFwAIgAsACAAXAAiAEMAbwBuAHMAdABhAG4AdABcACIAOwBcAG4AIAAgACAAIAAgACAAIAAgACAAIABcACIAaQBcACIALAAgAFwAIgBzAHQAYQB0AGUAXAAiACwAIABcACIAcwB0AGEAdABlAFwAIgAsACAAXAAiAEkAbgBwAHUAdABcACIAXABuACAAIAAgACAAIAAgACAAIAB9ACwAIAByACwAIABjACkAXABuACAAIAAgACAAIAAgACkAXABuACAAIAAgACAAKQBcAG4AIAAgACkAOwBcAG4AXABuAFYARQBFAFIARwBfADQAXwAzAF8AMQBfADEAXwBfADIAXwBNAGUAdABoAGEAbgBlAEYAcgBvAG0ATQBhAG4AdQBy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AgAFwAIgBkAGEAaQBsAHkAIAB2AG8AbABhAHQAaQBsAGUAIABzAG8AbABpAGQAcwAgAHAAcgBvAGQAdQBjAHQAaQBvAG4AIABwAGUAcgAgAGgAZQBhAGQAIABmAG8AcgAgAGQAYQBpAHIAeQAgAGMAYQB0AHQAbABlACAAKABrAGcALwBoAGUAYQBkAC8AZABhAHkAKQBcACIALAAgAFwAIgBrAGcALwBoAGUAYQBkAC8AZABhAHkAXAAiACwAIABcACIAQwBhAGwAYwB1AGwAYQB0AGUAZAAgAGYAcgBvAG0AIAA0AC4AMwAuADEALgAxACAAKAAzACkAXAAiADsAXABuACAAIAAgACAAIAAgACAAIAAgACAAXAAiAEYAVgBTAF8AagBtAFQAMQBcACIALAAgAFwAIgBmAHIAYQBjAHQAaQBvAG4AIABvAGYAIAB3AGEAcwB0AGUAIABmAHIAbwBtACAAZQBhAGMAaAAgAGMAbABhAHMAcwAgAGkAbgAgAGUAYQBjAGgAIABtAGEAbgBhAGcAZQBtAGUAbgB0ACAAcwB5AHMAdABlAG0AXAAiACwAIABcACIAZgByAGEAYwB0AGkAbwBuAFwAIgAsACAAXAAiAEMAYQBsAGMAdQBsAGEAdABlAGQAIABmAHIAbwBtACAANAAuADMALgAxAC4AMQAgACgANAApACgANQAp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CAF8AbwBcACIALAAgAFwAIgBlAG0AaQBzAHMAaQBvAG4AcwAgAHAAbwB0AGUAbgB0AGkAYQBsACAAKABtADMAIABDAEgANAAvAGsAZwBWAFMAKQBcACIALAAgAFwAIgBtADMAIABDAEgANAAvAGsAZwBWAFMAXAAiACwAIABcACIAQwBvAG4AcwB0AGEAbgB0AFwAIgA7AFwAbgAgACAAIAAgACAAIAAgACAAIAAgAFwAIgByAGgAbwBcACIALAAgAFwAIgBkAGUAbgBzAGkAdAB5ACAAbwBmACAAbQBlAHQAaABhAG4AZQAgACgAawBnAC8AbQAzACkAXAAiACwAIABcACIAawBnAC8AbQAzAFwAIgAsACAAXAAiAEMAbwBuAHMAdABhAG4AdABcACIAOwBcAG4AIAAgACAAIAAgACAAIAAgACAAIABcACIATQBBAFQAXAAiACwAIABcACIATQBlAGEAbgAgAGEAbgBuAHUAYQBsACAAdABlAG0AcABlAHIAYQB0AHUAcgBlAFwAIgAsACAAXAAiALAAQ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MwBfAFYAbwBsAGEAdABpAGwAZQBTAG8AbABpAGQAcwBGAG8AcgBXAGUAYQBuAGUAZABEAGEAaQByAHkAQwBhAHQAdABsAGUAXABuAFYAbwBsAGEAdABpAGwAZQAgAHMAbwBsAGkAZABzACAAZgBvAHIAIAB3AGUAYQBuAGUAZAAgAGQAYQBpAHIAeQAgAGMAYQB0AHQAbABlAFwAbgBWAFMAXwBqAFwAbgBrAGcALwBoAGUAYQBkAC8AZABhAHkAXABuAFYAUwBfAGoAPQAoAEkAXwBqAFwAXAB0AGkAbQBlAHMAIAAoADEALQBEAE0ARABfAGoAKQArACgAMAAuADAANABcAFwAdABpAG0AZQBzACAASQBfAGoAKQApAFwAXAB0AGkAbQBlAHMAIAAoADEALQBBACkAXABuAEkAXwBqACAAPQAgAGQAcgB5ACAAbQBhAHQAdABlAHIAIABmAGUAZQBkACAAaQBuAHQAYQBrAGUAIAAoAGsAZwBEAE0ALwBoAGUAYQBkAC8AZABhAHkAKQBcAG4ARABNAEQAXwBqACAAPQAgAGQAcgB5ACAAbQBhAHQAdABlAHIAIABkAGkAZwBlAHMAdABpAGIAaQBsAGkAdAB5AFwAbgBBACAAPQAgAGEAcwBoACAAYwBvAG4AdABlAG4AdAAgAG8AZgAgAGYAZQBlAGQAIABpAG4AdABhAGsAZQBcAG4ALQAtAC0ALQAtAC0ALQAtAC0ALQAtAC0ALQAtAC0ALQAtAC0ALQAtAC0ALQAtAC0ALQAtAC0ALQAtAC0ALQAtAC0ALQAtAC0ALQAtAFwAbgAqAC8AXABuAFwAbgBWAEUARQBSAEcAXwA0AF8AMwBfADEAXwAxAF8AXwAzAF8AVgBvAGwAYQB0AGkAbABlAFMAbwBsAGkAZABzAEYAbwByAFcAZQBhAG4AZQBkAEQAYQBpAHIAeQBDAGEAdAB0AGwAZQBcAG4AIAAgAD0ATABBAE0AQgBEAEEAKABcAG4AIAAgACAAIABJAF8AagAsACAARABNAEQAXwBqACwAIABBACwAXABuACAAIAAgACAAKABJAF8AagAgACoAIAAoADEAIAAtACAARABNAEQAXwBqACkAIAArACAAKAAwAC4AMAA0ACAAKgAgAEkAXwBqACkAKQAgACoAIAAoADEAIAAtACAAQQApAFwAbgAgACAAKQA7AFwAbgBcAG4AVgBFAEUAUgBHAF8ANABfADMAXwAxAF8AMQBfAF8AMwBfAFYAbwBsAGEAdABpAGwAZQBTAG8AbABpAGQAcwBGAG8AcgBXAGUAYQBuAGUAZABEAGEAaQByAHkAQwBhAHQAdABsAGUAXwBUAGkAdABsAGUAXABuACAAIAA9AEwAQQBNAEIARABBACgAXAAiAFYAbwBsAGEAdABpAGwAZQAgAHMAbwBsAGkAZABzACAAZgBvAHIAIAB3AGUAYQBuAGUAZAAgAGQAYQBpAHIAeQAgAGMAYQB0AHQAbABlAFwAIgApADsAXABuAFwAbgBWAEUARQBSAEcAXwA0AF8AMwBfADEAXwAxAF8AXwAzAF8AVgBvAGwAYQB0AGkAbABlAFMAbwBsAGkAZABzAEYAbwByAFcAZQBhAG4AZQBkAEQAYQBpAHIAeQBDAGEAdAB0AGwAZQBfAFYAYQByAGkAYQBiAGwAZQBcAG4AIAAgAD0ATABBAE0AQgBEAEEAKABcACIAVgBTAF8AagBcACIAKQA7AFwAbgBcAG4AVgBFAEUAUgBHAF8ANABfADMAXwAxAF8AMQBfAF8AMwBfAFYAbwBsAGEAdABpAGwAZQBTAG8AbABpAGQAcwBGAG8AcgBXAGUAYQBuAGUAZABEAGEAaQByAHkAQwBhAHQAdABsAGUAXwBVAG4AaQB0AFwAbgAgACAAPQBMAEEATQBCAEQAQQAoAFwAIgBrAGcALwBoAGUAYQBkAC8AZABhAHkAXAAiACkAOwBcAG4AXABuAFYARQBFAFIARwBfADQAXwAzAF8AMQBfADEAXwBfADMAXwBWAG8AbABhAHQAaQBsAGUAUwBvAGwAaQBkAHMARgBvAHIAVwBlAGEAbgBlAGQARABhAGkAcgB5AEMAYQB0AHQAbABlAF8AUwBvAHUAcgBjAGUAXABuACAAIAA9AEwAQQBNAEIARABBACgAXAAiAFYARQBFAFIARwAgADIAMAAyADYAOgAgADQALgAzAC4AMQAuADEALAAgAEUAcQB1AGEAdABpAG8AbgAgACgAMwApAFwAIgApADsAXABuAFwAbgBWAEUARQBSAEcAXwA0AF8AMwBfADEAXwAxAF8AXwAzAF8AVgBvAGwAYQB0AGkAbABlAFMAbwBsAGkAZABzAEYAbwByAFcAZQBhAG4AZQBkAEQAYQBpAHIAeQBDAGEAdAB0AGwAZQBfAE4ASQBSAFIAZQBmAGUAcgBlAG4AYwBlAFwAbgAgACAAPQBMAEEATQBCAEQAQQAoAFwAIgBcACIAKQA7AFwAbgBcAG4AVgBFAEUAUgBHAF8ANABfADMAXwAxAF8AMQBfAF8AMwBfAFYAbwBsAGEAdABpAGwAZQBTAG8AbABpAGQAcwBGAG8AcgBXAGUAYQBuAGUAZABEAGEAaQByAHkAQwBhAHQAdABsAGUAXwBMAGEAdABlAHgARQBxAHUAYQB0AGkAbwBuAFwAbgAgACAAPQBMAEEATQBCAEQAQQAoAFwAIgBWAFMAXwBqAD0AKABJAF8AagBcAFwAdABpAG0AZQBzACAAKAAxAC0ARABNAEQAXwBqACkAKwAoADAALgAwADQAXABcAHQAaQBtAGUAcwAgAEkAXwBqACkAKQBcAFwAdABpAG0AZQBzACAAKAAxAC0AQQApAFwAIgApADsAXABuAFwAbgBWAEUARQBSAEcAXwA0AF8AMwBfADEAXwAxAF8AXwAzAF8AVgBvAGwAYQB0AGkAbABlAFMAbwBsAGkAZABzAEYAbwByAFcAZQBhAG4AZQBkAEQAYQBpAHIAeQBDAGEAdAB0AGwAZQ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ZgBlAGUAZAAgAGkAbgB0AGEAawBlACAAKABrAGcARABNAC8AaABlAGEAZAAvAGQAYQB5ACkAXAAiACwAIABcACIAawBnAEQATQAvAGgAZQBhAGQALwBkAGEAeQBcACIALAAgAFwAIgBDAGEAbABjAHUAbABhAHQAZQBkACAAZgByAG8AbQAgADMALgAzAC4AMQAuADEAIAAoADMAKQBcACIAOwBcAG4AIAAgACAAIAAgACAAIAAgACAAIABcACIARABNAEQAXwBqAFwAIgAsACAAXAAiAGQAcgB5ACAAbQBhAHQAdABlAHIAIABkAGkAZwBlAHMAdABpAGIAaQBsAGkAdAB5AFwAIgAsACAAXAAiAGYAcgBhAGMAdABpAG8AbgBcACIALAAgAFwAIgBJAG4AcAB1AHQAXAAiADsAXABuACAAIAAgACAAIAAgACAAIAAgACAAXAAiAEEAXAAiACwAIABcACIAYQBzAGgAIABjAG8AbgB0AGUAbgB0ACAAbwBmACAAZgBlAGUAZAAgAGkAbgB0AGEAawBl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ABfAEYAcgBhAGMAdABpAG8AbgBWAG8AbABhAHQAaQBsAGUAUwBvAGwAaQBkAHMATgBvAHQAUwBvAGwAaQBkAFMAdABvAHIAYQBnAGUAXABuAEYAcgBhAGMAdABpAG8AbgAgAG8AZgAgAHYAbwBsAGEAdABpAGwAZQAgAHMAbwBsAGkAZABzACAAaQBuACAAZQBhAGMAaAAgAHMAeQBzAHQAZQBtACAAbwB0AGgAZQByACAAdABoAGEAbgAgAHMAbwBsAGkAZAAgAHMAdABvAHIAYQBnAGUAXABuAEYAVgBTAF8AagBtAFwAbgBmAHIAYQBjAHQAaQBvAG4AXABuAEYAVgBTAF8AewBqAG0AfQA9AE0ATQBTAF8AewBqAG0AfQBcAFwAdABpAG0AZQBzACAAKAAxAC0AUwBTAF8AbQApAFwAbgBTAFMAXwBtACAAPQAgAGYAcgBhAGMAdABpAG8AbgAgAG8AZgAgAHYAbwBsAGEAdABpAGwAZQAgAHMAbwBsAGkAZABzACAAcwBlAHAAYQByAGEAdABlAGQAIAB0AG8AIABzAG8AbABpAGQAIABzAHQAbwByAGEAZwBlACAAZgBvAHIAIABlAGEAYwBoACAATQBNAFMAXABuAE0ATQBTAF8AagBtACAAPQAgAGYAcgBhAGMAdABpAG8AbgAgAG8AZgAgAG0AYQBuAHUAcgBlACAAdABvACAAZQBhAGMAaAAgAHAAcgBpAG0AYQByAHkAIABNAE0AUwAgAGYAbwByACAAZQBhAGMAaAAgAGMAbABhAHMAcwAgAHAAcgBpAG8AcgAgAHQAbwAgAHMAbwBsAGkAZAAgAHMAZQBwAGEAcgBhAHQAaQBvAG4AXABuAC0ALQAtAC0ALQAtAC0ALQAtAC0ALQAtAC0ALQAtAC0ALQAtAC0ALQAtAC0ALQAtAC0ALQAtAC0ALQAtAC0ALQAtAC0ALQAtAC0ALQBcAG4AKgAvAFwAbgBcAG4AVgBFAEUAUgBHAF8ANABfADMAXwAxAF8AMQBfAF8ANABfAEYAcgBhAGMAdABpAG8AbgBWAG8AbABhAHQAaQBsAGUAUwBvAGwAaQBkAHMATgBvAHQAUwBvAGwAaQBkAFMAdABvAHIAYQBnAGUAXABuACAAIAA9AEwAQQBNAEIARABBACgAXABuACAAIAAgACAATQBNAFMAXwBqAG0ALAAgAFMAUwBfAG0ALABcAG4AIAAgACAAIABNAE0AUwBfAGoAbQAgACoAIAAoADEAIAAtACAAUwBTAF8AbQApAFwAbgAgACAAKQA7AFwAbgBcAG4AVgBFAEUAUgBHAF8ANABfADMAXwAxAF8AMQBfAF8ANABfAEYAcgBhAGMAdABpAG8AbgBWAG8AbABhAHQAaQBsAGUAUwBvAGwAaQBkAHMATgBvAHQAUwBvAGwAaQBkAFMAdABvAHIAYQBnAGUAXwBUAGkAdABsAGUAXABuACAAIAA9AEwAQQBNAEIARABBACgAXAAiAEYAcgBhAGMAdABpAG8AbgAgAG8AZgAgAHYAbwBsAGEAdABpAGwAZQAgAHMAbwBsAGkAZABzACAAaQBuACAAZQBhAGMAaAAgAHMAeQBzAHQAZQBtACAAbwB0AGgAZQByACAAdABoAGEAbgAgAHMAbwBsAGkAZAAgAHMAdABvAHIAYQBnAGUAXAAiACkAOwBcAG4AXABuAFYARQBFAFIARwBfADQAXwAzAF8AMQBfADEAXwBfADQAXwBGAHIAYQBjAHQAaQBvAG4AVgBvAGwAYQB0AGkAbABlAFMAbwBsAGkAZABzAE4AbwB0AFMAbwBsAGkAZABTAHQAbwByAGEAZwBlAF8AVgBhAHIAaQBhAGIAbABlAFwAbgAgACAAPQBMAEEATQBCAEQAQQAoAFwAIgBGAFYAUwBfAGoAbQBcACIAKQA7AFwAbgBcAG4AVgBFAEUAUgBHAF8ANABfADMAXwAxAF8AMQBfAF8ANABfAEYAcgBhAGMAdABpAG8AbgBWAG8AbABhAHQAaQBsAGUAUwBvAGwAaQBkAHMATgBvAHQAUwBvAGwAaQBkAFMAdABvAHIAYQBnAGUAXwBVAG4AaQB0AFwAbgAgACAAPQBMAEEATQBCAEQAQQAoAFwAIgBmAHIAYQBjAHQAaQBvAG4AXAAiACkAOwBcAG4AXABuAFYARQBFAFIARwBfADQAXwAzAF8AMQBfADEAXwBfADQAXwBGAHIAYQBjAHQAaQBvAG4AVgBvAGwAYQB0AGkAbABlAFMAbwBsAGkAZABzAE4AbwB0AFMAbwBsAGkAZABTAHQAbwByAGEAZwBlAF8AUwBvAHUAcgBjAGUAXABuACAAIAA9AEwAQQBNAEIARABBACgAXAAiAFYARQBFAFIARwAgADIAMAAyADYAOgAgADQALgAzAC4AMQAuADEALAAgAEUAcQB1AGEAdABpAG8AbgAgACgANAApAFwAIgApADsAXABuAFwAbgBWAEUARQBSAEcAXwA0AF8AMwBfADEAXwAxAF8AXwA0AF8ARgByAGEAYwB0AGkAbwBuAFYAbwBsAGEAdABpAGwAZQBTAG8AbABpAGQAcwBOAG8AdABTAG8AbABpAGQAUwB0AG8AcgBhAGcAZQBfAE4ASQBSAFIAZQBmAGUAcgBlAG4AYwBlAFwAbgAgACAAPQBMAEEATQBCAEQAQQAoAFwAIgBcACIAKQA7AFwAbgBcAG4AVgBFAEUAUgBHAF8ANABfADMAXwAxAF8AMQBfAF8ANABfAEYAcgBhAGMAdABpAG8AbgBWAG8AbABhAHQAaQBsAGUAUwBvAGwAaQBkAHMATgBvAHQAUwBvAGwAaQBkAFMAdABvAHIAYQBnAGUAXwBMAGEAdABlAHgARQBxAHUAYQB0AGkAbwBuAFwAbgAgACAAPQBMAEEATQBCAEQAQQAoAFwAIgBGAFYAUwBfAHsAagBtAH0APQBNAE0AUwBfAHsAagBtAH0AXABcAHQAaQBtAGUAcwAgACgAMQAtAFMAUwBfAG0AKQBcACIAKQA7AFwAbgBcAG4AVgBFAEUAUgBHAF8ANABfADMAXwAxAF8AMQBfAF8ANABfAEYAcgBhAGMAdABpAG8AbgBWAG8AbABhAHQAaQBsAGUAUwBvAGwAaQBkAHMATgBvAHQAUwBvAGwAaQBkAFMAdABvAHIAYQBnAGUAXwBBAHIAZwB1AG0AZQBuAHQAcwBcAG4AIAAgAD0ATABBAE0AQgBEAEEAKABcAG4AIAAgACAAIABNAEEASwBFAEEAUgBSAEEAWQAoADIALAAgADQALABcAG4AIAAgACAAIAAgACAATABBAE0AQgBEAEEAKAByACwAYwAsAFwAbgAgACAAIAAgACAAIAAgACAASQBOAEQARQBYACgAewBcAG4AIAAgACAAIAAgACAAIAAgACAAIABcACIATQBNAFMAXwBqAG0AXAAiACwAIABcACIAZgByAGEAYwB0AGkAbwBuACAAbwBmACAAbQBhAG4AdQByAGUAIAB0AG8AIABlAGEAYwBoACAAcAByAGkAbQBhAHIAeQAgAE0ATQBTACAAZgBvAHIAIABlAGEAYwBoACAAYwBsAGEAcwBzACAAcAByAGkAbwByACAAdABvACAAcwBvAGwAaQBkACAAcwBlAHAAYQByAGEAdABpAG8Ab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1AF8ARgByAGEAYwB0AGkAbwBuAFYAbwBsAGEAdABpAGwAZQBTAG8AbABpAGQAcwBTAG8AbABpAGQAUwB0AG8AcgBhAGcAZQBcAG4ARgByAGEAYwB0AGkAbwBuACAAbwBmACAAdgBvAGwAYQB0AGkAbABlACAAcwBvAGwAaQBkAHMAIABpAG4AIABzAG8AbABpAGQAIABzAHQAbwByAGEAZwBlAFwAbgBGAFYAUwBfAGoAbQA0AFwAbgBmAHIAYQBjAHQAaQBvAG4AXABuAEYAVgBTAF8AewBqAG0APQA0AH0APQBNAE0AUwBfAHsAagBtAD0ANAB9ACsAKABNAE0AUwBfAHsAagBtAD0AMQAsADcALAA5AH0AXABcAHQAaQBtAGUAcwAgAFMAUwBfAG0AKQBcAG4ATQBNAFMAXwBqAG0ANAAgAD0AIABmAHIAYQBjAHQAaQBvAG4AIABvAGYAIAB2AG8AbABhAHQAaQBsAGUAIABzAG8AbABpAGQAcwAgAGkAbgAgAHMAbwBsAGkAZAAgAHMAdABvAHIAYQBnAGUAIABiAGUAZgBvAHIAZQAgAHQAcgBhAG4AcwBmAGUAcgBcAG4ATQBNAFMAXwBqAG0AMQA3ADkAIAA9ACAAZgByAGEAYwB0AGkAbwBuACAAbwBmACAAdgBvAGwAYQB0AGkAbABlACAAcwBvAGwAaQBkAHMAIABpAG4AIABNAE0AUwAgAG0APQAxACwANwAsADkAIABiAGUAZgBvAHIAZQAgAHQAcgBhAG4AcwBmAGUAcgBcAG4AUwBTAF8AbQAgAD0AIABmAHIAYQBjAHQAaQBvAG4AIABvAGYAIAB2AG8AbABhAHQAaQBsAGUAIABzAG8AbABpAGQAcwAgAHMAZQBwAGEAcgBhAHQAZQBkACAAdABvACAAcwBvAGwAaQBkACAAcwB0AG8AcgBhAGcAZQAgAGYAbwByACAAZQBhAGMAaAAgAE0ATQBTAFwAbgAtAC0ALQAtAC0ALQAtAC0ALQAtAC0ALQAtAC0ALQAtAC0ALQAtAC0ALQAtAC0ALQAtAC0ALQAtAC0ALQAtAC0ALQAtAC0ALQAtAC0AXABuACoALwBcAG4AXABuAFYARQBFAFIARwBfADQAXwAzAF8AMQBfADEAXwBfADUAXwBGAHIAYQBjAHQAaQBvAG4AVgBvAGwAYQB0AGkAbABlAFMAbwBsAGkAZABzAFMAbwBsAGkAZABTAHQAbwByAGEAZwBlAFwAbgAgACAAPQBMAEEATQBCAEQAQQAoAFwAbgAgACAAIAAgAE0ATQBTAF8AagBtADQALAAgAE0ATQBTAF8AagBtADEANwA5ACwAIABTAFMAXwBtACwAXABuACAAIAAgACAATQBNAFMAXwBqAG0ANAAgACsAIAAoAE0ATQBTAF8AagBtADEANwA5ACAAKgAgAFMAUwBfAG0AKQBcAG4AIAAgACkAOwBcAG4AXABuAFYARQBFAFIARwBfADQAXwAzAF8AMQBfADEAXwBfADUAXwBGAHIAYQBjAHQAaQBvAG4AVgBvAGwAYQB0AGkAbABlAFMAbwBsAGkAZABzAFMAbwBsAGkAZABTAHQAbwByAGEAZwBlAFYAYQByAGkAYQB0AGkAbwBuAFwAbgAgACAAPQBMAEEATQBCAEQAQQAoAFwAbgAgACAAIAAgAE0ATQBTAF8AagBtADQALAAgAE0ATQBTAF8AagBtADEALAAgAE0ATQBTAF8AagBtADcALAAgAE0ATQBTAF8AagBtADkALAAgAFMAUwBfAG0AMQAsACAAUwBTAF8AbQA3ACwAIABTAFMAXwBtADkALABcAG4AIAAgACAAIABNAE0AUwBfAGoAbQA0ACAAKwAgACgATQBNAFMAXwBqAG0AMQAgACoAIABTAFMAXwBtADEAKQAgACsAIAAoAE0ATQBTAF8AagBtADcAIAAqACAAUwBTAF8AbQA3ACkAIAArACAAKABNAE0AUwBfAGoAbQA5ACAAKgAgAFMAUwBfAG0AOQApAFwAbgAgACAAKQA7AFwAbgBcAG4AXABuAFYARQBFAFIARwBfADQAXwAzAF8AMQBfADEAXwBfADUAXwBGAHIAYQBjAHQAaQBvAG4AVgBvAGwAYQB0AGkAbABlAFMAbwBsAGkAZABzAFMAbwBsAGkAZABTAHQAbwByAGEAZwBlAF8AVABpAHQAbABlAFwAbgAgACAAPQBMAEEATQBCAEQAQQAoAFwAIgBGAHIAYQBjAHQAaQBvAG4AIABvAGYAIAB2AG8AbABhAHQAaQBsAGUAIABzAG8AbABpAGQAcwAgAGkAbgAgAHMAbwBsAGkAZAAgAHMAdABvAHIAYQBnAGUAXAAiACkAOwBcAG4AXABuAFYARQBFAFIARwBfADQAXwAzAF8AMQBfADEAXwBfADUAXwBGAHIAYQBjAHQAaQBvAG4AVgBvAGwAYQB0AGkAbABlAFMAbwBsAGkAZABzAFMAbwBsAGkAZABTAHQAbwByAGEAZwBlAF8AVgBhAHIAaQBhAGIAbABlAFwAbgAgACAAPQBMAEEATQBCAEQAQQAoAFwAIgBGAFYAUwBfAGoAbQA0AFwAIgApADsAXABuAFwAbgBWAEUARQBSAEcAXwA0AF8AMwBfADEAXwAxAF8AXwA1AF8ARgByAGEAYwB0AGkAbwBuAFYAbwBsAGEAdABpAGwAZQBTAG8AbABpAGQAcwBTAG8AbABpAGQAUwB0AG8AcgBhAGcAZQBfAFUAbgBpAHQAXABuACAAIAA9AEwAQQBNAEIARABBACgAXAAiAGYAcgBhAGMAdABpAG8AbgBcACIAKQA7AFwAbgBcAG4AVgBFAEUAUgBHAF8ANABfADMAXwAxAF8AMQBfAF8ANQBfAEYAcgBhAGMAdABpAG8AbgBWAG8AbABhAHQAaQBsAGUAUwBvAGwAaQBkAHMAUwBvAGwAaQBkAFMAdABvAHIAYQBnAGUAXwBTAG8AdQByAGMAZQBcAG4AIAAgAD0ATABBAE0AQgBEAEEAKABcACIAVgBFAEUAUgBHACAAMgAwADIANgA6ACAANAAuADMALgAxAC4AMQAsACAARQBxAHUAYQB0AGkAbwBuACAAKAA1ACkAXAAiACkAOwBcAG4AXABuAFYARQBFAFIARwBfADQAXwAzAF8AMQBfADEAXwBfADUAXwBGAHIAYQBjAHQAaQBvAG4AVgBvAGwAYQB0AGkAbABlAFMAbwBsAGkAZABzAFMAbwBsAGkAZABTAHQAbwByAGEAZwBlAF8ATgBJAFIAUgBlAGYAZQByAGUAbgBjAGUAXABuACAAIAA9AEwAQQBNAEIARABBACgAXAAiAFwAIgApADsAXABuAFwAbgBWAEUARQBSAEcAXwA0AF8AMwBfADEAXwAxAF8AXwA1AF8ARgByAGEAYwB0AGkAbwBuAFYAbwBsAGEAdABpAGwAZQBTAG8AbABpAGQAcwBTAG8AbABpAGQAUwB0AG8AcgBhAGcAZQBfAEwAYQB0AGUAeABFAHEAdQBhAHQAaQBvAG4AXABuACAAIAA9AEwAQQBNAEIARABBACgAXAAiAEYAVgBTAF8AewBqAG0APQA0AH0APQBNAE0AUwBfAHsAagBtAD0ANAB9ACsAKABNAE0AUwBfAHsAagBtAD0AMQAsADcALAA5AH0AXABcAHQAaQBtAGUAcwAgAFMAUwBfAG0AKQBcACIAKQA7AFwAbgBcAG4AVgBFAEUAUgBHAF8ANABfADMAXwAxAF8AMQBfAF8ANQBfAEYAcgBhAGMAdABpAG8AbgBWAG8AbABhAHQAaQBsAGUAUwBvAGwAaQBkAHMAUwBvAGwAaQBkAFMAdABvAHIAYQBnAGUAXwBMAGEAdABlAHgARQBxAHUAYQB0AGkAbwBuAFYAYQByAGkAYQB0AGkAbwBuAFwAbgAgACAAPQBMAEEATQBCAEQAQQAoAFwAIgBGAFYAUwBfAHsAagBtAD0ANAB9AD0ATQBNAFMAXwB7AGoAbQA9ADQAfQArACgATQBNAFMAXwB7AGoAbQA9ADEAfQBcAFwAdABpAG0AZQBzACAAUwBTAF8AewBtAD0AMQB9ACkAKwAoAE0ATQBTAF8AewBqAG0APQA3AH0AXABcAHQAaQBtAGUAcwAgAFMAUwBfAHsAbQA9ADcAfQApACsAKABNAE0AUwBfAHsAagBtAD0AOQB9AFwAXAB0AGkAbQBlAHMAIABTAFMAXwB7AG0APQA5AH0AKQBcACIAKQA7AFwAbgBcAG4AVgBFAEUAUgBHAF8ANABfADMAXwAxAF8AMQBfAF8ANQBfAEYAcgBhAGMAdABpAG8AbgBWAG8AbABhAHQAaQBsAGUAUwBvAGwAaQBkAHM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XwBqAG0ANABcACIALAAgAFwAIgBmAHIAYQBjAHQAaQBvAG4AIABvAGYAIAB2AG8AbABhAHQAaQBsAGUAIABzAG8AbABpAGQAcwAgAGkAbgAgAHMAbwBsAGkAZAAgAHMAdABvAHIAYQBnAGUAIABiAGUAZgBvAHIAZQAgAHQAcgBhAG4AcwBmAGUAcgBcACIALAAgAFwAIgBmAHIAYQBjAHQAaQBvAG4AXAAiACwAIABcACIASQBuAHAAdQB0AFwAIgA7AFwAbgAgACAAIAAgACAAIAAgACAAIAAgAFwAIgBNAE0AUwBfAGoAbQAxADcAOQBcACIALAAgAFwAIgBmAHIAYQBjAHQAaQBvAG4AIABvAGYAIAB2AG8AbABhAHQAaQBsAGUAIABzAG8AbABpAGQAcwAgAGkAbgAgAE0ATQBTACAAbQA9ADEALAA3ACwAOQAgAGIAZQBmAG8AcgBlACAAdAByAGEAbgBzAGYAZQBy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MAXwAxAF8AMQBfAF8ANQBfAEYAcgBhAGMAdABpAG8AbgBWAG8AbABhAHQAaQBsAGUAUwBvAGwAaQBkAHMAUwBvAGwAaQBkAFMAdABvAHIAYQBnAGUAXwBWAGEAcgBpAGEAdABpAG8AbgBcAG4AIAAgAD0ATABBAE0AQgBEAEEAKABcACIAVQBzAGUAZAAgAHMAZQBwAGEAcgBhAHQAZQAgAHYAYQByAGkAYQBiAGwAZQBzACAAZgBvAHIAIABNAE0AUwAgAGEAbgBkACAAUwBTACAAbQAgADEALAAgADcAIABhAG4AZAAgADkALgBcACIAKQA7AFwAbgBcAG4AIgB9ACwAewAiAHAAYQB0AGgAIgA6ACIALwBwAHIAbwBqAGUAYwB0AHMALwBNAE0AUwBfAEQAYQBpAHIAe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MAIABNAGUAdABoAG8AZAAgADEAIAAtACAATQBhAG4AdQByAGU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NAE4AXwB7AGoAbQB9AFwAXAB0AGkAbQBlAHMAIABFAEYAXwBtAFwAXAB0AGkAbQBlAHMAIABDAF8AewBOADIATwB9AFwAXAB0AGkAbQBlAHMAIAAxADAAXgB7AC0AMwB9AFwAbgBNAE4AXwBqAG0AIAA9ACAAdABvAHQAYQBsACAAbgBpAHQAcgBvAGcAZQBuACAAaQBuACAAZQBhAGMAaAAgAE0ATQBTACAAZgBvAHIAIABkAGEAaQByAHkAIABjAGEAdAB0AGwAZQAgAGMAbABhAHMAcwBlAHMAIAAoAGsAZwAgAE4AKQBcAG4ARQBGAF8AbQAgAD0AIABuAGkAdAByAG8AdQBzACAAbwB4AGkAZABlACAAZQBtAGkAcwBzAGkAbwBuACAAZgBhAGMAdABvAHIAIABmAG8AcgAgAGUAYQBjAGgAIABNAE0AUw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zAF8AXwAxAF8AVABvAHQAYQBsAEEAbgBuAHUAYQBsAEQAaQByAGUAYwB0AE4AaQB0AHIAbwB1AHMATwB4AGkAZABlAEUAbQBpAHMAcwBpAG8AbgBzAEYAcgBvAG0ATQBNAFMAXABuACAAIAA9AEwAQQBNAEIARABBACgAXABuACAAIAAgACAATQBOAF8AagBtACwAIABFAEYAXwBtACwAIABDAF8ATgAyAE8ALABcAG4AIAAgACAAIABNAE4AXwBqAG0AIAAqACAARQBGAF8AbQAgACoAIABDAF8ATgAyAE8AIAAqACAAMQAwACAAXgAgAC0AMwBcAG4AIAAgACkAOwBcAG4AXABuAFYARQBFAFIARwBfADQAXwAzAF8AMQBfADMAXwBfADEAXwBUAG8AdABhAGwAQQBuAG4AdQBhAGwARABpAHIAZQBjAHQATgBpAHQAcgBvAHUAcwBPAHgAaQBkAGUARQBtAGkAcwBzAGkAbwBuAHMARgByAG8AbQBNAE0AU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MwBfADEAXwAzAF8AXwAxAF8AVABvAHQAYQBsAEEAbgBuAHUAYQBsAEQAaQByAGUAYwB0AE4AaQB0AHIAbwB1AHMATwB4AGkAZABlAEUAbQBpAHMAcwBpAG8AbgBzAEYAcgBvAG0ATQBNAFMAXwBWAGEAcgBpAGEAYgBsAGUAXABuACAAIAA9AEwAQQBNAEIARABBACgAXAAiAEUAXwBOADIATwBkAGkAcgBcACIAKQA7AFwAbgBcAG4AVgBFAEUAUgBHAF8ANABfADMAXwAxAF8AMwBfAF8AMQBfAFQAbwB0AGEAbABBAG4AbgB1AGEAbABEAGkAcgBlAGMAdABOAGkAdAByAG8AdQBzAE8AeABpAGQAZQBFAG0AaQBzAHMAaQBvAG4AcwBGAHIAbwBtAE0ATQBTAF8AVQBuAGkAdABcAG4AIAAgAD0ATABBAE0AQgBEAEEAKABcACIAdAAgAE4AMgBPAFwAIgApADsAXABuAFwAbgBWAEUARQBSAEcAXwA0AF8AMwBfADEAXwAzAF8AXwAxAF8AVABvAHQAYQBsAEEAbgBuAHUAYQBsAEQAaQByAGUAYwB0AE4AaQB0AHIAbwB1AHMATwB4AGkAZABlAEUAbQBpAHMAcwBpAG8AbgBzAEYAcgBvAG0ATQBNAFMAXwBTAG8AdQByAGMAZQBcAG4AIAAgAD0ATABBAE0AQgBEAEEAKABcACIAVgBFAEUAUgBHACAAMgAwADIANgA6ACAANAAuADMALgAxAC4AMwAsACAARQBxAHUAYQB0AGkAbwBuACAAKAAxACkAXAAiACkAOwBcAG4AXABuAFYARQBFAFIARwBfADQAXwAzAF8AMQBfADMAXwBfADEAXwBUAG8AdABhAGwAQQBuAG4AdQBhAGwARABpAHIAZQBjAHQATgBpAHQAcgBvAHUAcwBPAHgAaQBkAGUARQBtAGkAcwBzAGkAbwBuAHMARgByAG8AbQBNAE0AUwBfAE4ASQBSAFIAZQBmAGUAcgBlAG4AYwBlAFwAbgAgACAAPQBMAEEATQBCAEQAQQAoAFwAIgBcACIAKQA7AFwAbgBcAG4AVgBFAEUAUgBHAF8ANABfADMAXwAxAF8AMwBfAF8AMQBfAFQAbwB0AGEAbABBAG4AbgB1AGEAbABEAGkAcgBlAGMAdABOAGkAdAByAG8AdQBzAE8AeABpAGQAZQBFAG0AaQBzAHMAaQBvAG4AcwBGAHIAbwBtAE0ATQBTAF8ATABhAHQAZQB4AEUAcQB1AGEAdABpAG8AbgBcAG4AIAAgAD0ATABBAE0AQgBEAEEAKABcACIARQBfAHsATgAyAE8ALABkAGkAcgB9AD0AXABcAHMAdQBtAFwAXABuAG8AbABpAG0AaQB0AHMAXwB7AGoAfQBcAFwAcwB1AG0AXABcAG4AbwBsAGkAbQBpAHQAcwBfAHsAbQB9ACgATQBOAF8AewBqAG0AfQBcAFwAdABpAG0AZQBzACAARQBGAF8AbQBcAFwAdABpAG0AZQBzACAAQwBfAHsATgAyAE8AfQBcAFwAdABpAG0AZQBzACAAMQAwAF4AewAtADMAfQApAFwAIgApADsAXABuAFwAbgBWAEUARQBSAEcAXwA0AF8AMwBfADEAXwAzAF8AXwAxAF8AVABvAHQAYQBsAEEAbgBuAHUAYQBsAEQAaQByAGUAYwB0AE4AaQB0AHIAbwB1AHMATwB4AGkAZABlAEUAbQBpAHMAcwBpAG8AbgBzAEYAcgBvAG0ATQBNAFMAXwBBAHIAZwB1AG0AZQBuAHQAcwBcAG4AIAAgAD0ATABBAE0AQgBEAEEAKABcAG4AIAAgACAAIABNAEEASwBFAEEAUgBSAEEAWQAoADM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bgBpAHQAcgBvAHUAcwAgAG8AeABpAGQAZQAgAGUAbQBpAHMAcwBpAG8AbgAgAGYAYQBjAHQAbwByACAAZgBvAHIAIABlAGEAYwBoACAATQBNAFMAIAAoAGsAZwAgAE4AMgBPAC0ATgAvAGsAZwAgAE4AIABkAGUAcABvAHMAaQB0AGUAZAAp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yAF8AVABvAHQAYQBsAE4AaQB0AHIAbwBnAGUAbgBJAG4ARQBhAGMAaABNAE0AUwBcAG4AVABvAHQAYQBsACAAbgBpAHQAcgBvAGcAZQBuACAAaQBuACAAZQBhAGMAaAAgAE0ATQBTAFwAbgBNAE4AXwBqAG0AXABuAGsAZwAgAE4AXABuAE0ATgBfAHsAagBtAH0APQBBAEUAXwBqAFwAXAB0AGkAbQBlAHMAIABNAE0AUwBfAHsAagBtAH0AXABuAEEARQBfAGoAIAA9ACAAdABvAHQAYQBsACAAbgBpAHQAcgBvAGcAZQBuACAAZQB4AGMAcgBlAHQAZQBkACAAYgB5ACAAZQBhAGMAaAAgAGQAYQBpAHIAeQAgAGMAbABhAHMAcwAgACgAawBnACAATgApAFwAbgBNAE0AUwBfAGoAbQAgAD0AIABtAGEAbgB1AHIAZQAgAG0AYQBuAGEAZwBlAG0AZQBuAHQAIABzAHkAcwB0AGUAbQAgAGYAcgBhAGMAdABpAG8AbgAgAGYAbwByACAAYwBsAGEAcwBzACAAagAgAGEAbgBkACAAcwB5AHMAdABlAG0AIABtAFwAbgAtAC0ALQAtAC0ALQAtAC0ALQAtAC0ALQAtAC0ALQAtAC0ALQAtAC0ALQAtAC0ALQAtAC0ALQAtAC0ALQAtAC0ALQAtAC0ALQAtAC0AXABuACoALwBcAG4AXABuAFYARQBFAFIARwBfADQAXwAzAF8AMQBfADMAXwBfADIAXwBUAG8AdABhAGwATgBpAHQAcgBvAGcAZQBuAEkAbgBFAGEAYwBoAE0ATQBTAFwAbgAgACAAPQBMAEEATQBCAEQAQQAoAFwAbgAgACAAIAAgAEEARQBfAGoALAAgAE0ATQBTAF8AagBtACwAXABuACAAIAAgACAAQQBFAF8AagAgACoAIABNAE0AUwBfAGoAbQBcAG4AIAAgACkAOwBcAG4AXABuAFYARQBFAFIARwBfADQAXwAzAF8AMQBfADMAXwBfADIAXwBUAG8AdABhAGwATgBpAHQAcgBvAGcAZQBuAEkAbgBFAGEAYwBoAE0ATQBTAF8AVABpAHQAbABlAFwAbgAgACAAPQBMAEEATQBCAEQAQQAoAFwAIgBUAG8AdABhAGwAIABuAGkAdAByAG8AZwBlAG4AIABpAG4AIABlAGEAYwBoACAATQBNAFMAXAAiACkAOwBcAG4AXABuAFYARQBFAFIARwBfADQAXwAzAF8AMQBfADMAXwBfADIAXwBUAG8AdABhAGwATgBpAHQAcgBvAGcAZQBuAEkAbgBFAGEAYwBoAE0ATQBTAF8AVgBhAHIAaQBhAGIAbABlAFwAbgAgACAAPQBMAEEATQBCAEQAQQAoAFwAIgBNAE4AXwBqAG0AXAAiACkAOwBcAG4AXABuAFYARQBFAFIARwBfADQAXwAzAF8AMQBfADMAXwBfADIAXwBUAG8AdABhAGwATgBpAHQAcgBvAGcAZQBuAEkAbgBFAGEAYwBoAE0ATQBTAF8AVQBuAGkAdABcAG4AIAAgAD0ATABBAE0AQgBEAEEAKABcACIAawBnACAATgBcACIAKQA7AFwAbgBcAG4AVgBFAEUAUgBHAF8ANABfADMAXwAxAF8AMwBfAF8AMgBfAFQAbwB0AGEAbABOAGkAdAByAG8AZwBlAG4ASQBuAEUAYQBjAGgATQBNAFMAXwBTAG8AdQByAGMAZQBcAG4AIAAgAD0ATABBAE0AQgBEAEEAKABcACIAVgBFAEUAUgBHACAAMgAwADIANgA6ACAANAAuADMALgAxAC4AMwAsACAARQBxAHUAYQB0AGkAbwBuACAAKAAyACkAXAAiACkAOwBcAG4AXABuAFYARQBFAFIARwBfADQAXwAzAF8AMQBfADMAXwBfADIAXwBUAG8AdABhAGwATgBpAHQAcgBvAGcAZQBuAEkAbgBFAGEAYwBoAE0ATQBTAF8ATgBJAFIAUgBlAGYAZQByAGUAbgBjAGUAXABuACAAIAA9AEwAQQBNAEIARABBACgAXAAiAFwAIgApADsAXABuAFwAbgBWAEUARQBSAEcAXwA0AF8AMwBfADEAXwAzAF8AXwAyAF8AVABvAHQAYQBsAE4AaQB0AHIAbwBnAGUAbgBJAG4ARQBhAGMAaABNAE0AUwBfAEwAYQB0AGUAeABFAHEAdQBhAHQAaQBvAG4AXABuACAAIAA9AEwAQQBNAEIARABBACgAXAAiAE0ATgBfAHsAagBtAH0APQBBAEUAXwBqAFwAXAB0AGkAbQBlAHMAIABNAE0AUwBfAHsAagBtAH0AXAAiACkAOwBcAG4AXABuAFYARQBFAFIARwBfADQAXwAzAF8AMQBfADMAXwBfADIAXwBUAG8AdABhAGwATgBpAHQAcgBvAGcAZQBuAEkAbgBFAGEAYwBoAE0ATQBTAF8AQQByAGcAdQBtAGUAbgB0AHMAXABuACAAIAA9AEwAQQBNAEIARABBACgAXABuACAAIAAgACAATQBBAEsARQBBAFIAUgBBAFkAKAAyACwAIAA0ACwAXABuACAAIAAgACAAIAAgAEwAQQBNAEIARABBACgAcgAsAGMALABcAG4AIAAgACAAIAAgACAAIAAgAEkATgBEAEUAWAAoAHsAXABuACAAIAAgACAAIAAgACAAIAAgACAAXAAiAEEARQBfAGoAXAAiACwAIABcACIAdABvAHQAYQBsACAAbgBpAHQAcgBvAGcAZQBuACAAZQB4AGMAcgBlAHQAZQBkACAAYgB5ACAAZQBhAGMAaAAgAGQAYQBpAHIAeQAgAGMAbABhAHMAcwBcACIALAAgAFwAIgBrAGcAIABOAFwAIgAsACAAXAAiAEMAYQBsAGMAdQBsAGEAdABlAGQAIABmAHIAbwBtACAANAAuADMALgAxAC4AMwAgACgAMwBhACkAIABhAG4AZAAgACgAMwBiACkAXAAiADsAXABuACAAIAAgACAAIAAgACAAIAAgACAAXAAiAE0ATQBTAF8AagBtAFwAIgAsACAAXAAiAG0AYQBuAHUAcgBlACAAbQBhAG4AYQBnAGUAbQBlAG4AdAAgAHMAeQBzAHQAZQBtACAAZgByAGEAYwB0AGkAbwBuACAAZgBvAHIAIABjAGwAYQBzAHMAIABqACAAYQBuAGQAIABzAHkAcwB0AGUAbQAg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zAGEAXwBUAG8AdABhAGwAQQBuAG4AdQBhAGwATgBpAHQAcgBvAGcAZQBuAEUAeABjAHIAZQB0AGUAZABHAHIAZQBhAHQAZQByAFQAaABhAG4ATwBuAGUAWQBlAGEAcgBcAG4AVABvAHQAYQBsACAAYQBuAG4AdQBhAGwAIABuAGkAdAByAG8AZwBlAG4AIABlAHgAYwByAGUAdABlAGQAIABiAHkAIABkAGEAaQByAHkAIABjAGEAdAB0AGwAZQAgAFwAdQAwADAAMwBlADEAIAB5AGUAYQByACAAbwBsAGQAXABuAEEARQBfAGoAMQAyADQAXABuAGsAZwAgAE4AXABuAEEARQBfAHsAagA9ADEALAAyACwANAB9AD0ATgBfAHsAagA9ADEALAAyACwANAB9AFwAXAB0AGkAbQBlAHMAIABOAEUAXwB7AGoAPQAxACwAMgAsADQAfQBcAFwAdABpAG0AZQBzACAAMwA2ADUAXABuAE4AXwBqADEAMgA0ACAAPQAgAG4AdQBtAGIAZQByACAAbwBmACAAZABhAGkAcgB5ACAAYwBhAHQAdABsAGUAIABpAG4AIABjAGwAYQBzAHMAZQBzACAAagA9ADEALAAyACwANABcAG4ATgBFAF8AagAxADIANAAgAD0AIABuAGkAdAByAG8AZwBlAG4AIABlAHgAYwByAGUAdABlAGQAIABiAHkAIABkAGEAaQByAHkAIABjAGEAdAB0AGwAZQAgAFwAdQAwADAAMwBlADEAIAB5AGUAYQByACAAbwBsAGQAIAAoAGsAZwAgAE4ALwBoAGUAYQBkAC8AZABhAHkAKQBcAG4ALQAtAC0ALQAtAC0ALQAtAC0ALQAtAC0ALQAtAC0ALQAtAC0ALQAtAC0ALQAtAC0ALQAtAC0ALQAtAC0ALQAtAC0ALQAtAC0ALQAtAFwAbgAqAC8AXABuAFwAbgBWAEUARQBSAEcAXwA0AF8AMwBfADEAXwAzAF8AXwAzAGEAXwBUAG8AdABhAGwAQQBuAG4AdQBhAGwATgBpAHQAcgBvAGcAZQBuAEUAeABjAHIAZQB0AGUAZABHAHIAZQBhAHQAZQByAFQAaABhAG4ATwBuAGUAWQBlAGEAcgBcAG4AIAAgAD0ATABBAE0AQgBEAEEAKABcAG4AIAAgACAAIABOAF8AagAxADIANAAsACAATgBFAF8AagAxADIANAAsAFwAbgAgACAAIAAgAE4AXwBqADEAMgA0ACAAKgAgAE4ARQBfAGoAMQAyADQAIAAqACAAMwA2ADUAXABuACAAIAApADsAXABuAFwAbgBWAEUARQBSAEcAXwA0AF8AMwBfADEAXwAzAF8AXwAzAGEAXwBUAG8AdABhAGwAQQBuAG4AdQBhAGwATgBpAHQAcgBvAGcAZQBuAEUAeABjAHIAZQB0AGUAZABHAHIAZQBhAHQAZQByAFQAaABhAG4ATwBuAGUAWQBlAGEAcgBWAGEAcgBpAGEAdABpAG8AbgBcAG4AIAAgAD0ATABBAE0AQgBEAEEAKABcAG4AIAAgACAAIABOAF8AagAxADIANAAsACAATgBFAF8AagAxADIANAAsACAARABfAGoAMQAyADQALABcAG4AIAAgACAAIABOAF8AagAxADIANAAgACoAIABOAEUAXwBqADEAMgA0ACAAKgAgAEQAXwBqADEAMgA0AFwAbgAgACAAKQA7AFwAbgBcAG4AVgBFAEUAUgBHAF8ANABfADMAXwAxAF8AMwBfAF8AMwBhAF8AVABvAHQAYQBsAEEAbgBuAHUAYQBsAE4AaQB0AHIAbwBnAGUAbgBFAHgAYwByAGUAdABlAGQARwByAGUAYQB0AGUAcgBUAGgAYQBuAE8AbgBlAFkAZQBhAHIAXwBUAGkAdABsAGUAXABuACAAIAA9AEwAQQBNAEIARABBACgAXAAiAFQAbwB0AGEAbAAgAGEAbgBuAHUAYQBsACAAbgBpAHQAcgBvAGcAZQBuACAAZQB4AGMAcgBlAHQAZQBkACAAYgB5ACAAZABhAGkAcgB5ACAAYwBhAHQAdABsAGUAIABnAHIAZQBhAHQAZQByACAAdABoAGEAbgAgAG8AbgBlACAAeQBlAGEAcgAgAG8AbABkAFwAIgApADsAXABuAFwAbgBWAEUARQBSAEcAXwA0AF8AMwBfADEAXwAzAF8AXwAzAGEAXwBUAG8AdABhAGwAQQBuAG4AdQBhAGwATgBpAHQAcgBvAGcAZQBuAEUAeABjAHIAZQB0AGUAZABHAHIAZQBhAHQAZQByAFQAaABhAG4ATwBuAGUAWQBlAGEAcgBfAFYAYQByAGkAYQBiAGwAZQBcAG4AIAAgAD0ATABBAE0AQgBEAEEAKABcACIAQQBFAF8AagAxADIANABcACIAKQA7AFwAbgBcAG4AVgBFAEUAUgBHAF8ANABfADMAXwAxAF8AMwBfAF8AMwBhAF8AVABvAHQAYQBsAEEAbgBuAHUAYQBsAE4AaQB0AHIAbwBnAGUAbgBFAHgAYwByAGUAdABlAGQARwByAGUAYQB0AGUAcgBUAGgAYQBuAE8AbgBlAFkAZQBhAHIAXwBVAG4AaQB0AFwAbgAgACAAPQBMAEEATQBCAEQAQQAoAFwAIgBrAGcAIABOAFwAIgApADsAXABuAFwAbgBWAEUARQBSAEcAXwA0AF8AMwBfADEAXwAzAF8AXwAzAGEAXwBUAG8AdABhAGwAQQBuAG4AdQBhAGwATgBpAHQAcgBvAGcAZQBuAEUAeABjAHIAZQB0AGUAZABHAHIAZQBhAHQAZQByAFQAaABhAG4ATwBuAGUAWQBlAGEAcgBfAFMAbwB1AHIAYwBlAFwAbgAgACAAPQBMAEEATQBCAEQAQQAoAFwAIgBWAEUARQBSAEcAIAAyADAAMgA2ADoAIAA0AC4AMwAuADEALgAzACwAIABFAHEAdQBhAHQAaQBvAG4AIAAoADMAYQApAFwAIgApADsAXABuAFwAbgBWAEUARQBSAEcAXwA0AF8AMwBfADEAXwAzAF8AXwAzAGEAXwBUAG8AdABhAGwAQQBuAG4AdQBhAGwATgBpAHQAcgBvAGcAZQBuAEUAeABjAHIAZQB0AGUAZABHAHIAZQBhAHQAZQByAFQAaABhAG4ATwBuAGUAWQBlAGEAcgBfAE4ASQBSAFIAZQBmAGUAcgBlAG4AYwBlAFwAbgAgACAAPQBMAEEATQBCAEQAQQAoAFwAIgBcACIAKQA7AFwAbgBcAG4AVgBFAEUAUgBHAF8ANABfADMAXwAxAF8AMwBfAF8AMwBhAF8AVABvAHQAYQBsAEEAbgBuAHUAYQBsAE4AaQB0AHIAbwBnAGUAbgBFAHgAYwByAGUAdABlAGQARwByAGUAYQB0AGUAcgBUAGgAYQBuAE8AbgBlAFkAZQBhAHIAXwBMAGEAdABlAHgARQBxAHUAYQB0AGkAbwBuAFwAbgAgACAAPQBMAEEATQBCAEQAQQAoAFwAIgBBAEUAXwB7AGoAPQAxACwAMgAsADQAfQA9AE4AXwB7AGoAPQAxACwAMgAsADQAfQBcAFwAdABpAG0AZQBzACAATgBFAF8AewBqAD0AMQAsADIALAA0AH0AXABcAHQAaQBtAGUAcwAgADMANgA1AFwAIgApADsAXABuAFwAbgBWAEUARQBSAEcAXwA0AF8AMwBfADEAXwAzAF8AXwAzAGEAXwBUAG8AdABhAGwAQQBuAG4AdQBhAGwATgBpAHQAcgBvAGcAZQBuAEUAeABjAHIAZQB0AGUAZABHAHIAZQBhAHQAZQByAFQAaABhAG4ATwBuAGUAWQBlAGEAcgBfAEwAYQB0AGUAeABFAHEAdQBhAHQAaQBvAG4AVgBhAHIAaQBhAHQAaQBvAG4AXABuACAAIAA9AEwAQQBNAEIARABBACgAXAAiAEEARQBfAHsAagA9ADEALAAyACwANAB9AD0ATgBfAHsAagA9ADEALAAyACwANAB9AFwAXAB0AGkAbQBlAHMAIABOAEUAXwB7AGoAPQAxACwAMgAsADQAfQBcAFwAdABpAG0AZQBzACAARABfAHsAagA9ADEALAAyACwANAB9AFwAIgApADsAXABuAFwAbgBWAEUARQBSAEcAXwA0AF8AMwBfADEAXwAzAF8AXwAzAGEAXwBUAG8AdABhAGwAQQBuAG4AdQBhAGwATgBpAHQAcgBvAGcAZQBuAEUAeABjAHIAZQB0AGUAZA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4ARQBfAGoAMQAyADQAXAAiACwAIABcACIAbgBpAHQAcgBvAGcAZQBuACAAZQB4AGMAcgBlAHQAZQBkACAAYgB5ACAAZABhAGkAcgB5ACAAYwBhAHQAdABsAGUAIABnAHIAZQBhAHQAZQByACAAdABoAGEAbgAgAG8AbgBlACAAeQBlAGEAcgAgAG8AbABkACAAKABrAGcAIABOAC8AaABlAGEAZAAvAGQAYQB5ACkAXAAiACwAIABcACIAawBnACAATgAvAGgAZQBhAGQALwBkAGEAeQBcACIALAAgAFwAIgBDAGEAbABjAHUAbABhAHQAZQBkACAAZgByAG8AbQAgADQALgAzAC4AMQAuADMAIAAoADQAKQBcACIAOwBcAG4AIAAgACAAIAAgACAAIAAgACAAIABcACIARABfAGoAMQAyADQAXAAiACwAIABcACIAZAB1AHIAYQB0AGkAbwBuACAAbwBmACAAcwB0AGEAeQAgAG8AbgAgAGYAYQByAG0AIABmAG8AcgAgAGMAbABhAHMAcwBlAHMAIABqAD0AMQAsADIALAA0ACAAKABkAGEAeQBzACkAXAAiACwAIABcACIAZABhAHkAcwBcACIALAAgAFwAIgBJAG4AcAB1AHQAXAAiAFwAbgAgACAAIAAgACAAIAAgACAAfQAsACAAcgAsACAAYwApAFwAbgAgACAAIAAgACAAIAApAFwAbgAgACAAIAAgACkAXABuACAAIAApADsAXABuAFwAbgBWAEUARQBSAEcAXwA0AF8AMwBfADEAXwAzAF8AXwAzAGEAXwBUAG8AdABhAGwAQQBuAG4AdQBhAGwATgBpAHQAcgBvAGcAZQBuAEUAeABjAHIAZQB0AGUAZABHAHIAZQBhAHQAZQByAFQAaABhAG4ATwBuAGUAWQBlAGEAcgBfAFYAYQByAGkAYQB0AGkAbwBuAFwAbgAgACAAPQBMAEEATQBCAEQAQQAoAFwAIgBWAEEAUgBJAEEAVABJAE8ATgA6ACAAVQBzAGUAZAAgAEQAdQByAGEAdABpAG8AbgAgAHYAYQByAGkAYQBiAGwAZQBzACAAaQBuAHMAdABlAGEAZAAgAG8AZgAgAGgAYQByAGQALQBjAG8AZABlAGQAIAAzADYANQAgAHYAYQBsAHUAZQAuAFwAIgApADsAXABuAFwAbgAvACoAXABuAC0ALQAtAC0ALQAtAC0ALQAtAC0ALQAtAC0ALQAtAC0ALQAtAC0ALQAtAC0ALQAtAC0ALQAtAC0ALQAtAC0ALQAtAC0ALQAtAC0ALQBcAG4AVgBFAEUAUgBHAF8ANABfADMAXwAxAF8AMwBfAF8AMwBiAF8AVABvAHQAYQBsAEEAbgBuAHUAYQBsAE4AaQB0AHIAbwBnAGUAbgBFAHgAYwByAGUAdABlAGQATABlAHMAcwBUAGgAYQBuAE8AbgBlAFkAZQBhAHIAXABuAFQAbwB0AGEAbAAgAGEAbgBuAHUAYQBsACAAbgBpAHQAcgBvAGcAZQBuACAAZQB4AGMAcgBlAHQAZQBkACAAYgB5ACAAZABhAGkAcgB5ACAAYwBhAHQAdABsAGUAIABcAHUAMAAwADMAYwAxACAAeQBlAGEAcgAgAG8AbABkAFwAbgBBAEUAXwBqADMANQBcAG4AawBnACAATgBcAG4AQQBFAF8AewBqAD0AMwAsADUAfQA9ACgATgBfAHsAagA9ADMALAA1AH0AXABcAHQAaQBtAGUAcwAgAE4ARQBfAHsAagA9ADMALAA1AH0AXABcAHQAaQBtAGUAcwAgADIAOAAxACkAKwAoAE4AXwB7AGoAPQAzACwANQB9AFwAXAB0AGkAbQBlAHMAIABOAFAAVwBfAHsAagA9ADMALAA1AH0AXABcAHQAaQBtAGUAcwAgADgANAApAFwAbgBOAF8AagAzADUAIAA9ACAAbgB1AG0AYgBlAHIAIABvAGYAIABkAGEAaQByAHkAIABjAGEAdAB0AGwAZQAgAGkAbgAgAGMAbABhAHMAcwBlAHMAIABqAD0AMwAsADUAXABuAE4ARQBfAGoAMwA1ACAAPQAgAG4AaQB0AHIAbwBnAGUAbgAgAGUAeABjAHIAZQB0AGUAZAAgAGIAeQAgAHcAZQBhAG4AZQBkACAAZABhAGkAcgB5ACAAYwBhAHQAdABsAGUAIABcAHUAMAAwADMAYwAxACAAeQBlAGEAcgAgAG8AbABkACAAKABrAGcAIABOAC8AaABlAGEAZAAvAGQAYQB5ACkAXABuAE4AUABXAF8AagAzADUAIAA9ACAAbgBpAHQAcgBvAGcAZQBuACAAZQB4AGMAcgBlAHQAZQBkACAAYgB5ACAAcAByAGUALQB3AGUAYQBuAGUAZAAgAGMAYQBsAHYAZQBzACAAKABrAGcAIABOAC8AaABlAGEAZAAvAGQAYQB5ACkAXABuAC0ALQAtAC0ALQAtAC0ALQAtAC0ALQAtAC0ALQAtAC0ALQAtAC0ALQAtAC0ALQAtAC0ALQAtAC0ALQAtAC0ALQAtAC0ALQAtAC0ALQBcAG4AKgAvAFwAbgBcAG4AVgBFAEUAUgBHAF8ANABfADMAXwAxAF8AMwBfAF8AMwBiAF8AVABvAHQAYQBsAEEAbgBuAHUAYQBsAE4AaQB0AHIAbwBnAGUAbgBFAHgAYwByAGUAdABlAGQATABlAHMAcwBUAGgAYQBuAE8AbgBlAFkAZQBhAHIAXABuACAAIAA9AEwAQQBNAEIARABBACgAXABuACAAIAAgACAATgBfAGoAMwA1ACwAIABOAEUAXwBqADMANQAsACAATgBQAFcAXwBqADMANQAsAFwAbgAgACAAIAAgACgATgBfAGoAMwA1ACAAKgAgAE4ARQBfAGoAMwA1ACAAKgAgADIAOAAxACkAIAArACAAKABOAF8AagAzADUAIAAqACAATgBQAFcAXwBqADMANQAgACoAIAA4ADQAKQBcAG4AIAAgACkAOwBcAG4AXABuAFYARQBFAFIARwBfADQAXwAzAF8AMQBfADMAXwBfADMAYgBfAFQAbwB0AGEAbABBAG4AbgB1AGEAbABOAGkAdAByAG8AZwBlAG4ARQB4AGMAcgBlAHQAZQBkAEwAZQBzAHMAVABoAGEAbgBPAG4AZQBZAGUAYQByAFYAYQByAGkAYQB0AGkAbwBuAFwAbgAgACAAPQBMAEEATQBCAEQAQQAoAFwAbgAgACAAIAAgAE4AXwBqADMANQAsACAATgBFAF8AagAzADUALAAgAE4AUABXAF8AagAzADUALAAgAEQAXwBqADMANQAsACAARABQAFcAXwBqADMANQAsAFwAbgAgACAAIAAgACgATgBfAGoAMwA1ACAAKgAgAE4ARQBfAGoAMwA1ACAAKgAgAEQAXwBqADMANQApACAAKwAgACgATgBfAGoAMwA1ACAAKgAgAE4AUABXAF8AagAzADUAIAAqACAARABQAFcAXwBqADMANQApAFwAbgAgACAAKQA7AFwAbgBcAG4AVgBFAEUAUgBHAF8ANABfADMAXwAxAF8AMwBfAF8AMwBiAF8AVABvAHQAYQBsAEEAbgBuAHUAYQBsAE4AaQB0AHIAbwBnAGUAbgBFAHgAYwByAGUAdABlAGQATABlAHMAcwBUAGgAYQBuAE8AbgBlAFkAZQBhAHIAXwBUAGkAdABsAGUAXABuACAAIAA9AEwAQQBNAEIARABBACgAXAAiAFQAbwB0AGEAbAAgAGEAbgBuAHUAYQBsACAAbgBpAHQAcgBvAGcAZQBuACAAZQB4AGMAcgBlAHQAZQBkACAAYgB5ACAAZABhAGkAcgB5ACAAYwBhAHQAdABsAGUAIABsAGUAcwBzACAAdABoAGEAbgAgAG8AbgBlACAAeQBlAGEAcgAgAG8AbABkAFwAIgApADsAXABuAFwAbgBWAEUARQBSAEcAXwA0AF8AMwBfADEAXwAzAF8AXwAzAGIAXwBUAG8AdABhAGwAQQBuAG4AdQBhAGwATgBpAHQAcgBvAGcAZQBuAEUAeABjAHIAZQB0AGUAZABMAGUAcwBzAFQAaABhAG4ATwBuAGUAWQBlAGEAcgBfAFYAYQByAGkAYQBiAGwAZQBcAG4AIAAgAD0ATABBAE0AQgBEAEEAKABcACIAQQBFAF8AagAzADUAXAAiACkAOwBcAG4AXABuAFYARQBFAFIARwBfADQAXwAzAF8AMQBfADMAXwBfADMAYgBfAFQAbwB0AGEAbABBAG4AbgB1AGEAbABOAGkAdAByAG8AZwBlAG4ARQB4AGMAcgBlAHQAZQBkAEwAZQBzAHMAVABoAGEAbgBPAG4AZQBZAGUAYQByAF8AVQBuAGkAdABcAG4AIAAgAD0ATABBAE0AQgBEAEEAKABcACIAawBnACAATgBcACIAKQA7AFwAbgBcAG4AVgBFAEUAUgBHAF8ANABfADMAXwAxAF8AMwBfAF8AMwBiAF8AVABvAHQAYQBsAEEAbgBuAHUAYQBsAE4AaQB0AHIAbwBnAGUAbgBFAHgAYwByAGUAdABlAGQATABlAHMAcwBUAGgAYQBuAE8AbgBlAFkAZQBhAHIAXwBTAG8AdQByAGMAZQBcAG4AIAAgAD0ATABBAE0AQgBEAEEAKABcACIAVgBFAEUAUgBHACAAMgAwADIANgA6ACAANAAuADMALgAxAC4AMwAsACAARQBxAHUAYQB0AGkAbwBuACAAKAAzAGIAKQBcACIAKQA7AFwAbgBcAG4AVgBFAEUAUgBHAF8ANABfADMAXwAxAF8AMwBfAF8AMwBiAF8AVABvAHQAYQBsAEEAbgBuAHUAYQBsAE4AaQB0AHIAbwBnAGUAbgBFAHgAYwByAGUAdABlAGQATABlAHMAcwBUAGgAYQBuAE8AbgBlAFkAZQBhAHIAXwBOAEkAUgBSAGUAZgBlAHIAZQBuAGMAZQBcAG4AIAAgAD0ATABBAE0AQgBEAEEAKABcACIAXAAiACkAOwBcAG4AXABuAFYARQBFAFIARwBfADQAXwAzAF8AMQBfADMAXwBfADMAYgBfAFQAbwB0AGEAbABBAG4AbgB1AGEAbABOAGkAdAByAG8AZwBlAG4ARQB4AGMAcgBlAHQAZQBkAEwAZQBzAHMAVABoAGEAbgBPAG4AZQBZAGUAYQByAF8ATABhAHQAZQB4AEUAcQB1AGEAdABpAG8AbgBcAG4AIAAgAD0ATABBAE0AQgBEAEEAKABcACIAQQBFAF8AewBqAD0AMwAsADUAfQA9ACgATgBfAHsAagA9ADMALAA1AH0AXABcAHQAaQBtAGUAcwAgAE4ARQBfAHsAagA9ADMALAA1AH0AXABcAHQAaQBtAGUAcwAgADIAOAAxACkAKwAoAE4AXwB7AGoAPQAzACwANQB9AFwAXAB0AGkAbQBlAHMAIABOAFAAVwBfAHsAagA9ADMALAA1AH0AXABcAHQAaQBtAGUAcwAgADgANAApAFwAIgApADsAXABuAFwAbgBWAEUARQBSAEcAXwA0AF8AMwBfADEAXwAzAF8AXwAzAGIAXwBUAG8AdABhAGwAQQBuAG4AdQBhAGwATgBpAHQAcgBvAGcAZQBuAEUAeABjAHIAZQB0AGUAZABMAGUAcwBzAFQAaABhAG4ATwBuAGUAWQBlAGEAcgBfAEwAYQB0AGUAeABFAHEAdQBhAHQAaQBvAG4AVgBhAHIAaQBhAHQAaQBvAG4AXABuACAAIAA9AEwAQQBNAEIARABBACgAXAAiAEEARQBfAHsAagA9ADMALAA1AH0APQAoAE4AXwB7AGoAPQAzACwANQB9AFwAXAB0AGkAbQBlAHMAIABOAEUAXwB7AGoAPQAzACwANQB9AFwAXAB0AGkAbQBlAHMAIABEAF8AewBqAD0AMwAsADUAfQApACsAKABOAF8AewBqAD0AMwAsADUAfQBcAFwAdABpAG0AZQBzACAATgBQAFcAXwB7AGoAPQAzACwANQB9AFwAXAB0AGkAbQBlAHMAIABEAFAAVwBfAHsAagA9ADMALAA1AH0AKQBcACIAKQA7AFwAbgBcAG4AVgBFAEUAUgBHAF8ANABfADMAXwAxAF8AMwBfAF8AMwBiAF8AVABvAHQAYQBsAEEAbgBuAHUAYQBsAE4AaQB0AHIAbwBnAGUAbgBFAHgAYwByAGUAdABlAGQATABlAHMAcwBUAGgAYQBuAE8AbgBlAFkAZQBhAHIAXwBBAHIAZwB1AG0AZQBuAHQAcwBcAG4AIAAgAD0ATABBAE0AQgBEAEEAKABcAG4AIAAgACAAIABNAEEASwBFAEEAUgBSAEEAWQAoADUALAAgADQALABcAG4AIAAgACAAIAAgACAATABBAE0AQgBEAEEAKAByACwAYwAsAFwAbgAgACAAIAAgACAAIAAgACAASQBOAEQARQBYACgAewBcAG4AIAAgACAAIAAgACAAIAAgACAAIABcACIATgBfAGoAMwA1AFwAIgAsACAAXAAiAG4AdQBtAGIAZQByACAAbwBmACAAZABhAGkAcgB5ACAAYwBhAHQAdABsAGUAIABpAG4AIABjAGwAYQBzAHMAZQBzACAAagA9ADMALAA1AFwAIgAsACAAXAAiAGgAZQBhAGQAXAAiACwAIABcACIASQBuAHAAdQB0AFwAIgA7AFwAbgAgACAAIAAgACAAIAAgACAAIAAgAFwAIgBOAEUAXwBqADMANQBcACIALAAgAFwAIgBuAGkAdAByAG8AZwBlAG4AIABlAHgAYwByAGUAdABlAGQAIABiAHkAIAB3AGUAYQBuAGUAZAAgAGQAYQBpAHIAeQAgAGMAYQB0AHQAbABlACAAbABlAHMAcwAgAHQAaABhAG4AIABvAG4AZQAgAHkAZQBhAHIAIABvAGwAZAAgACgAawBnACAATgAvAGgAZQBhAGQALwBkAGEAeQApAFwAIgAsACAAXAAiAGsAZwAgAE4ALwBoAGUAYQBkAC8AZABhAHkAXAAiACwAIABcACIAQwBhAGwAYwB1AGwAYQB0AGUAZAAgAGYAcgBvAG0AIAA0AC4AMwAuADEALgAzACAAKAA0ACkAXAAiADsAXABuACAAIAAgACAAIAAgACAAIAAgACAAXAAiAE4AUABXAF8AagAzADUAXAAiACwAIABcACIAbgBpAHQAcgBvAGcAZQBuACAAZQB4AGMAcgBlAHQAZQBkACAAYgB5ACAAcAByAGUALQB3AGUAYQBuAGUAZAAgAGMAYQBsAHYAZQBzACAAKABrAGcAIABOAC8AaABlAGEAZAAvAGQAYQB5ACkAXAAiACwAIABcACIAawBnACAATgAvAGgAZQBhAGQALwBkAGEAeQBcACIALAAgAFwAIgBDAG8AbgBzAHQAYQBuAHQAXAAiADsAXABuACAAIAAgACAAIAAgACAAIAAgACAAXAAiAEQAXwBqADMANQBcACIALAAgAFwAIgBkAHUAcgBhAHQAaQBvAG4AIABvAGYAIABzAHQAYQB5ACAAbwBuACAAZgBhAHIAbQAgAGYAbwByACAAdwBlAGEAbgBlAGQAIABkAGEAaQByAHkAIABjAGEAdAB0AGwAZQAgAGwAZQBzAHMAIAB0AGgAYQBuACAAbwBuAGUAIAB5AGUAYQByACAAbwBsAGQAIAAoAGQAYQB5AHMAKQBcACIALAAgAFwAIgBkAGEAeQBzAFwAIgAsACAAXAAiAEkAbgBwAHUAdABcACIAOwBcAG4AIAAgACAAIAAgACAAIAAgACAAIABcACIARABQAFcAXwBqADMANQBcACIALAAgAFwAIgBkAHUAcgBhAHQAaQBvAG4AIABvAGYAIABzAHQAYQB5ACAAbwBuACAAZgBhAHIAbQAgAGYAbwByACAAcAByAGUALQB3AGUAYQBuAGUAZAAgAGMAYQBsAHYAZQBzACAAKABkAGEAeQBzACkAXAAiACwAIABcACIAZABhAHkAcwBcACIALAAgAFwAIgBJAG4AcAB1AHQAXAAiAFwAbgAgACAAIAAgACAAIAAgACAAfQAsACAAcgAsACAAYwApAFwAbgAgACAAIAAgACAAIAApAFwAbgAgACAAIAAgACkAXABuACAAIAApADsAXABuAFwAbgBWAEUARQBSAEcAXwA0AF8AMwBfADEAXwAzAF8AXwAzAGIAXwBUAG8AdABhAGwAQQBuAG4AdQBhAGwATgBpAHQAcgBvAGcAZQBuAEUAeABjAHIAZQB0AGUAZABMAGUAcwBzAFQAaABhAG4ATwBuAGUAWQBlAGEAcgBfAFYAYQByAGkAYQB0AGkAbwBuAFwAbgAgACAAPQBMAEEATQBCAEQAQQAoAFwAIgBWAEEAUgBJAEEAVABJAE8ATgA6ACAAVQBzAGUAZAAgAEQAdQByAGEAdABpAG8AbgAgAHYAYQByAGkAYQBiAGwAZQBzACAAaQBuAHMAdABlAGEAZAAgAG8AZgAgAGgAYQByAGQALQBjAG8AZABlAGQAIAAyADgAMQAgAGEAbgBkACAAOAA0ACAAdgBhAGwAdQBlAHMALgBcACIAKQA7AFwAbgBcAG4ALwAqAFwAbgAtAC0ALQAtAC0ALQAtAC0ALQAtAC0ALQAtAC0ALQAtAC0ALQAtAC0ALQAtAC0ALQAtAC0ALQAtAC0ALQAtAC0ALQAtAC0ALQAtAC0AXABuAFYARQBFAFIARwBfADQAXwAzAF8AMQBfADMAXwBfADQAXwBOAGkAdAByAG8AZwBlAG4ARQB4AGMAcgBlAHQAZQBkAEIAeQBEAGEAaQByAHkAQwBhAHQAdABsAGUARwByAGUAYQB0AGUAcgBUAGgAYQBuAE8AbgBlAFkAZQBhAHIAXABuAE4AaQB0AHIAbwBnAGUAbgAgAGUAeABjAHIAZQB0AGUAZAAgAGIAeQAgAGQAYQBpAHIAeQAgAGMAYQB0AHQAbABlACAAXAB1ADAAMAAzAGUAMQAgAHkAZQBhAHIAIABvAGwAZABcAG4ATgBFAF8AagBcAG4AawBnACAATgAvAGgAZQBhAGQALwBkAGEAeQBcAG4ATgBFAF8AagA9ACgAQwBQAEkAXwBqAC8ANgAuADIANQApAC0ATgBSAF8AagAtACgAKAAxAC4AMQBcAFwAdABpAG0AZQBzACAAMQAwAF4AewAtADQAfQBcAFwAdABpAG0AZQBzACAAVwBfAGoAXgB7ADAALgA3ADUAfQApAC8ANgAuADIANQApAFwAbgBDAFAASQBfAGoAIAA9ACAAYwByAHUAZABlACAAcAByAG8AdABlAGkAbgAgAGkAbgB0AGEAawBlACAAKABrAGcALwBoAGUAYQBkAC8AZABhAHkAKQBcAG4ATgBSAF8AagAgAD0AIABhAG0AbwB1AG4AdAAgAG8AZgAgAG4AaQB0AHIAbwBnAGUAbgAgAHIAZQB0AGEAaQBuAGUAZAAgAGIAeQAgAHQAaABlACAAYgBvAGQAeQAgACgAawBnACAATgAvAGgAZQBhAGQALwBkAGEAeQApAFwAbgBXAF8AagAgAD0AIABsAGkAdgBlAHcAZQBpAGcAaAB0ACAAKABrAGcAKQBcAG4ALQAtAC0ALQAtAC0ALQAtAC0ALQAtAC0ALQAtAC0ALQAtAC0ALQAtAC0ALQAtAC0ALQAtAC0ALQAtAC0ALQAtAC0ALQAtAC0ALQAtAFwAbgAqAC8AXABuAFwAbgBWAEUARQBSAEcAXwA0AF8AMwBfADEAXwAzAF8AXwA0AF8ATgBpAHQAcgBvAGcAZQBuAEUAeABjAHIAZQB0AGUAZABCAHkARABhAGkAcgB5AEMAYQB0AHQAbABlAEcAcgBlAGEAdABlAHIAVABoAGEAbgBPAG4AZQBZAGUAYQByAFwAbgAgACAAPQBMAEEATQBCAEQAQQAoAFwAbgAgACAAIAAgAEMAUABJAF8AagAsACAATgBSAF8AagAsACAAVwBfAGoALABcAG4AIAAgACAAIAAoAEMAUABJAF8AagAgAC8AIAA2AC4AMgA1ACkAIAAtACAATgBSAF8AagAgAC0AIAAoACgAMQAuADEAIAAqACAAMQAwACAAXgAgAC0ANAAgACoAIABXAF8AagAgAF4AIAAwAC4ANwA1ACkAIAAvACAANgAuADIANQApAFwAbgAgACAAKQA7AFwAbgBcAG4AVgBFAEUAUgBHAF8ANABfADMAXwAxAF8AMwBfAF8ANABfAE4AaQB0AHIAbwBnAGUAbgBFAHgAYwByAGUAdABlAGQAQgB5AEQAYQBpAHIAeQBDAGEAdAB0AGwAZQBHAHIAZQBhAHQAZQByAFQAaABhAG4ATwBuAGUAWQBlAGEAcgBfAFQAaQB0AGwAZQBcAG4AIAAgAD0ATABBAE0AQgBEAEEAKABcACIATgBpAHQAcgBvAGcAZQBuACAAZQB4AGMAcgBlAHQAZQBkACAAYgB5ACAAZABhAGkAcgB5ACAAYwBhAHQAdABsAGUAIABnAHIAZQBhAHQAZQByACAAdABoAGEAbgAgAG8AbgBlACAAeQBlAGEAcgAgAG8AbABkAFwAIgApADsAXABuAFwAbgBWAEUARQBSAEcAXwA0AF8AMwBfADEAXwAzAF8AXwA0AF8ATgBpAHQAcgBvAGcAZQBuAEUAeABjAHIAZQB0AGUAZABCAHkARABhAGkAcgB5AEMAYQB0AHQAbABlAEcAcgBlAGEAdABlAHIAVABoAGEAbgBPAG4AZQBZAGUAYQByAF8AVgBhAHIAaQBhAGIAbABlAFwAbgAgACAAPQBMAEEATQBCAEQAQQAoAFwAIgBOAEUAXwBqAFwAIgApADsAXABuAFwAbgBWAEUARQBSAEcAXwA0AF8AMwBfADEAXwAzAF8AXwA0AF8ATgBpAHQAcgBvAGcAZQBuAEUAeABjAHIAZQB0AGUAZABCAHkARABhAGkAcgB5AEMAYQB0AHQAbABlAEcAcgBlAGEAdABlAHIAVABoAGEAbgBPAG4AZQBZAGUAYQByAF8AVQBuAGkAdABcAG4AIAAgAD0ATABBAE0AQgBEAEEAKABcACIAawBnACAATgAvAGgAZQBhAGQALwBkAGEAeQBcACIAKQA7AFwAbgBcAG4AVgBFAEUAUgBHAF8ANABfADMAXwAxAF8AMwBfAF8ANABfAE4AaQB0AHIAbwBnAGUAbgBFAHgAYwByAGUAdABlAGQAQgB5AEQAYQBpAHIAeQBDAGEAdAB0AGwAZQBHAHIAZQBhAHQAZQByAFQAaABhAG4ATwBuAGUAWQBlAGEAcgBfAFMAbwB1AHIAYwBlAFwAbgAgACAAPQBMAEEATQBCAEQAQQAoAFwAIgBWAEUARQBSAEcAIAAyADAAMgA2ADoAIAA0AC4AMwAuADEALgAzACwAIABFAHEAdQBhAHQAaQBvAG4AIAAoADQAKQBcACIAKQA7AFwAbgBcAG4AVgBFAEUAUgBHAF8ANABfADMAXwAxAF8AMwBfAF8ANABfAE4AaQB0AHIAbwBnAGUAbgBFAHgAYwByAGUAdABlAGQAQgB5AEQAYQBpAHIAeQBDAGEAdAB0AGwAZQBHAHIAZQBhAHQAZQByAFQAaABhAG4ATwBuAGUAWQBlAGEAcgBfAE4ASQBSAFIAZQBmAGUAcgBlAG4AYwBlAFwAbgAgACAAPQBMAEEATQBCAEQAQQAoAFwAIgBcACIAKQA7AFwAbgBcAG4AVgBFAEUAUgBHAF8ANABfADMAXwAxAF8AMwBfAF8ANABfAE4AaQB0AHIAbwBnAGUAbgBFAHgAYwByAGUAdABlAGQAQgB5AEQAYQBpAHIAeQBDAGEAdAB0AGwAZQBHAHIAZQBhAHQAZQByAFQAaABhAG4ATwBuAGUAWQBlAGEAcgBfAEwAYQB0AGUAeABFAHEAdQBhAHQAaQBvAG4AXABuACAAIAA9AEwAQQBNAEIARABBACgAXAAiAE4ARQBfAGoAPQAoAFwAXABmAHIAYQBjAHsAQwBQAEkAXwBqAH0AewA2AC4AMgA1AH0AKQAtAE4AUgBfAGoALQBcAFwAbABlAGYAdABbAFwAXABmAHIAYQBjAHsAMQAuADEAXABcAHQAaQBtAGUAcwAxADAAXgB7AC0ANAB9ACAAXABcAHQAaQBtAGUAcwAgAFcAXwBqAF4AewAwAC4ANwA1AH0AfQB7ADYALgAyADUAfQBcAFwAcgBpAGcAaAB0AF0AXAAiACkAOwBcAG4AXABuAFYARQBFAFIARwBfADQAXwAzAF8AMQBfADMAXwBfADQAXwBOAGkAdAByAG8AZwBlAG4ARQB4AGMAcgBlAHQAZQBkAEIAeQBEAGEAaQByAHkAQwBhAHQAdABsAGUARwByAGUAYQB0AGUAcgBUAGgAYQBuAE8AbgBlAFkAZQBhAHIAXwBBAHIAZwB1AG0AZQBuAHQAcwBcAG4AIAAgAD0ATABBAE0AQgBEAEEAKABcAG4AIAAgACAAIABNAEEASwBFAEEAUgBSAEEAWQAoADMALAAgADQALABcAG4AIAAgACAAIAAgACAATABBAE0AQgBEAEEAKAByACwAYwAsAFwAbgAgACAAIAAgACAAIAAgACAASQBOAEQARQBYACgAewBcAG4AIAAgACAAIAAgACAAIAAgACAAIABcACIAQwBQAEkAXwBqAFwAIgAsACAAXAAiAGMAcgB1AGQAZQAgAHAAcgBvAHQAZQBpAG4AIABpAG4AdABhAGsAZQAgACgAawBnAC8AaABlAGEAZAAvAGQAYQB5ACkAXAAiACwAIABcACIAawBnAC8AaABlAGEAZAAvAGQAYQB5AFwAIgAsACAAXAAiAEMAYQBsAGMAdQBsAGEAdABlAGQAIABmAHIAbwBtACAANAAuADMALgAxAC4AMwAgACgANQApAFwAIgA7AFwAbgAgACAAIAAgACAAIAAgACAAIAAgAFwAIgBOAFIAXwBqAFwAIgAsACAAXAAiAGEAbQBvAHUAbgB0ACAAbwBmACAAbgBpAHQAcgBvAGcAZQBuACAAcgBlAHQAYQBpAG4AZQBkACAAYgB5ACAAdABoAGUAIABiAG8AZAB5AFwAIgAsACAAXAAiAGsAZwAgAE4ALwBoAGUAYQBkAC8AZABhAHkAXAAiACwAIABcACIAQwBhAGwAYwB1AGwAYQB0AGUAZAAgAGYAcgBvAG0AIAA0AC4AMwAuADEALgAzACAAKAA2ACkAXAAiADsAXABuACAAIAAgACAAIAAgACAAIAAgACAAXAAiAFcAXwBqAFwAIgAsACAAXAAiAGwAaQB2AGUAdwBlAGkAZwBoAHQAIAAoAGsAZwApAFwAIgAsACAAXAAiAGsAZ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NQBfAEMAcgB1AGQAZQBQAHIAbwB0AGUAaQBuAEkAbgB0AGEAawBlAE8AZgBEAGEAaQByAHkAQwBhAHQAdABsAGUAXABuAEMAcgB1AGQAZQAgAHAAcgBvAHQAZQBpAG4AIABpAG4AdABhAGsAZQAgAG8AZgAgAGQAYQBpAHIAeQAgAGMAYQB0AHQAbABlAFwAbgBDAFAASQBfAGoAXABuAGsAZwAvAGgAZQBhAGQALwBkAGEAeQBcAG4AQwBQAEkAXwBqAD0ASQBfAGoAXABcAHQAaQBtAGUAcwAgAEMAUABfAGoAXABuAEkAXwBqACAAPQAgAGQAcgB5ACAAbQBhAHQAdABlAHIAIABpAG4AdABhAGsAZQAgACgAawBnAEQATQAvAGgAZQBhAGQALwBkAGEAeQApAFwAbgBDAFAAXwBqACAAPQAgAGMAcgB1AGQAZQAgAHAAcgBvAHQAZQBpAG4AIABjAG8AbgB0AGUAbgB0ACAAbwBmACAAZgBlAGUAZAAgAGkAbgB0AGEAawBlACAAKABmAHIAYQBjAHQAaQBvAG4AKQBcAG4ALQAtAC0ALQAtAC0ALQAtAC0ALQAtAC0ALQAtAC0ALQAtAC0ALQAtAC0ALQAtAC0ALQAtAC0ALQAtAC0ALQAtAC0ALQAtAC0ALQAtAFwAbgAqAC8AXABuAFwAbgBWAEUARQBSAEcAXwA0AF8AMwBfADEAXwAzAF8AXwA1AF8AQwByAHUAZABlAFAAcgBvAHQAZQBpAG4ASQBuAHQAYQBrAGUATwBmAEQAYQBpAHIAeQBDAGEAdAB0AGwAZQBcAG4AIAAgAD0ATABBAE0AQgBEAEEAKABcAG4AIAAgACAAIABJAF8AagAsACAAQwBQAF8AagAsAFwAbgAgACAAIAAgAEkAXwBqACAAKgAgAEMAUABfAGoAXABuACAAIAApADsAXABuAFwAbgBWAEUARQBSAEcAXwA0AF8AMwBfADEAXwAzAF8AXwA1AF8AQwByAHUAZABlAFAAcgBvAHQAZQBpAG4ASQBuAHQAYQBrAGUATwBmAEQAYQBpAHIAeQBDAGEAdAB0AGwAZQBfAFQAaQB0AGwAZQBcAG4AIAAgAD0ATABBAE0AQgBEAEEAKABcACIAQwByAHUAZABlACAAcAByAG8AdABlAGkAbgAgAGkAbgB0AGEAawBlACAAbwBmACAAZABhAGkAcgB5ACAAYwBhAHQAdABsAGUAXAAiACkAOwBcAG4AXABuAFYARQBFAFIARwBfADQAXwAzAF8AMQBfADMAXwBfADUAXwBDAHIAdQBkAGUAUAByAG8AdABlAGkAbgBJAG4AdABhAGsAZQBPAGYARABhAGkAcgB5AEMAYQB0AHQAbABlAF8AVgBhAHIAaQBhAGIAbABlAFwAbgAgACAAPQBMAEEATQBCAEQAQQAoAFwAIgBDAFAASQBfAGoAXAAiACkAOwBcAG4AXABuAFYARQBFAFIARwBfADQAXwAzAF8AMQBfADMAXwBfADUAXwBDAHIAdQBkAGUAUAByAG8AdABlAGkAbgBJAG4AdABhAGsAZQBPAGYARABhAGkAcgB5AEMAYQB0AHQAbABlAF8AVQBuAGkAdABcAG4AIAAgAD0ATABBAE0AQgBEAEEAKABcACIAawBnAC8AaABlAGEAZAAvAGQAYQB5AFwAIgApADsAXABuAFwAbgBWAEUARQBSAEcAXwA0AF8AMwBfADEAXwAzAF8AXwA1AF8AQwByAHUAZABlAFAAcgBvAHQAZQBpAG4ASQBuAHQAYQBrAGUATwBmAEQAYQBpAHIAeQBDAGEAdAB0AGwAZQBfAFMAbwB1AHIAYwBlAFwAbgAgACAAPQBMAEEATQBCAEQAQQAoAFwAIgBWAEUARQBSAEcAIAAyADAAMgA2ADoAIAA0AC4AMwAuADEALgAzACwAIABFAHEAdQBhAHQAaQBvAG4AIAAoADUAKQBcACIAKQA7AFwAbgBcAG4AVgBFAEUAUgBHAF8ANABfADMAXwAxAF8AMwBfAF8ANQBfAEMAcgB1AGQAZQBQAHIAbwB0AGUAaQBuAEkAbgB0AGEAawBlAE8AZgBEAGEAaQByAHkAQwBhAHQAdABsAGUAXwBOAEkAUgBSAGUAZgBlAHIAZQBuAGMAZQBcAG4AIAAgAD0ATABBAE0AQgBEAEEAKABcACIAXAAiACkAOwBcAG4AXABuAFYARQBFAFIARwBfADQAXwAzAF8AMQBfADMAXwBfADUAXwBDAHIAdQBkAGUAUAByAG8AdABlAGkAbgBJAG4AdABhAGsAZQBPAGYARABhAGkAcgB5AEMAYQB0AHQAbABlAF8ATABhAHQAZQB4AEUAcQB1AGEAdABpAG8AbgBcAG4AIAAgAD0ATABBAE0AQgBEAEEAKABcACIAQwBQAEkAXwBqAD0ASQBfAGoAXABcAHQAaQBtAGUAcwAgAEMAUABfAGoAXAAiACkAOwBcAG4AXABuAFYARQBFAFIARwBfADQAXwAzAF8AMQBfADMAXwBfADUAXwBDAHIAdQBkAGUAUAByAG8AdABlAGkAbgBJAG4AdABhAGsAZQBPAGYARABhAGkAcgB5AEMAYQB0AHQAbABlAF8AQQByAGcAdQBtAGUAbgB0AHMAXABuACAAIAA9AEwAQQBNAEIARABBACgAXABuACAAIAAgACAATQBBAEsARQBBAFIAUgBBAFkAKAAy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DAFAAXwBqAFwAIgAsACAAXAAiAGMAcgB1AGQAZQAgAHAAcgBvAHQAZQBpAG4AIABjAG8AbgB0AGUAbgB0ACAAbwBmACAAZgBlAGUAZAAgAGkAbgB0AGEAawBl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NgBfAE4AaQB0AHIAbwBnAGUAbgBSAGUAdABhAGkAbgBlAGQAQgB5AEIAbwBkAHkAXABuAEEAbQBvAHUAbgB0ACAAbwBmACAAbgBpAHQAcgBvAGcAZQBuACAAcgBlAHQAYQBpAG4AZQBkACAAYgB5ACAAdABoAGUAIABiAG8AZAB5AFwAbgBOAFIAXwBqAFwAbgBrAGcAIABOAC8AaABlAGEAZAAvAGQAYQB5AFwAbgBOAFIAXwBqAD0AKAAoACgAMAAuADAAMwAyAFwAXAB0AGkAbQBlAHMAIABNAFAAXwBqAFwAXAB0AGkAbQBlAHMAIAAxAC4AMAAzACkALwA2AC4AMwA4ACkAKwAoACgAMAAuADIAMQAyAC0AMAAuADAAMAA4AFwAXAB0AGkAbQBlAHMAIAAoAEwAXwBqAC0AMgApAC0AKAAoADAALgAxADQAMAAtADAALgAwADAAOABcAFwAdABpAG0AZQBzACAAKABMAF8AagAtADIAKQApAC8AKAAxACsARQBYAFAAKAAtADYAXABcAHQAaQBtAGUAcwAgACgAWgBfAGoALQAwAC4ANAApACkAKQApACkAXABcAHQAaQBtAGUAcwAgACgATABXAEcAXwBqAFwAXAB0AGkAbQBlAHMAIAAwAC4AOQAyACkAKQApAFwAXAB0AGkAbQBlAHMAIAAoADEALwA2AC4AMgA1ACkAXABuAE0AUABfAGoAIAA9ACAAbQBpAGwAawAgAHAAcgBvAGQAdQBjAHQAaQBvAG4AIAAoAEwALwBoAGUAYQBkAC8AZABhAHkAKQBcAG4ATABfAGoAIAA9ACAAaQBuAHQAYQBrAGUAIAByAGUAbABhAHQAaQB2AGUAIAB0AG8AIABtAGEAaQBuAHQAZQBuAGEAbgBjAGUAXABuAFoAXwBqACAAPQAgAHIAZQBsAGEAdABpAHYAZQAgAHMAaQB6AGUAXABuAEwAVwBHAF8AagAgAD0AIABsAGkAdgBlAHcAZQBpAGcAaAB0ACAAZwBhAGkAbgAgACgAawBnAC8AZABhAHkAKQBcAG4ALQAtAC0ALQAtAC0ALQAtAC0ALQAtAC0ALQAtAC0ALQAtAC0ALQAtAC0ALQAtAC0ALQAtAC0ALQAtAC0ALQAtAC0ALQAtAC0ALQAtAFwAbgAqAC8AXABuAFwAbgBWAEUARQBSAEcAXwA0AF8AMwBfADEAXwAzAF8AXwA2AF8ATgBpAHQAcgBvAGcAZQBuAFIAZQB0AGEAaQBuAGUAZABCAHkAQgBvAGQAeQBcAG4AIAAgAD0ATABBAE0AQgBEAEEAKABcAG4AIAAgACAAIABNAFAAXwBqACwAIABMAF8AagAsACAAWgBfAGoALAAgAEwAVwBHAF8AagAsAFwAbgAgACAAIAAgACgAKAAwAC4AMAAzADIAIAAqACAATQBQAF8AagAgACoAIAAxAC4AMAAzACkAIAAvACAANgAuADMAOAApACAAKwAgACgAKAAwAC4AMgAxADIAIAAtACAAMAAuADAAMAA4ACAAKgAgACgATABfAGoAIAAtACAAMgApACAALQAgACgAKAAwAC4AMQA0ADAAIAAtACAAMAAuADAAMAA4ACAAKgAgACgATABfAGoAIAAtACAAMgApACkAIAAvACAAKAAxACAAKwAgAEUAWABQACgALQA2ACAAKgAgACgAWgBfAGoAIAAtACAAMAAuADQAKQApACkAKQApACAAKgAgACgATABXAEcAXwBqACAAKgAgADAALgA5ADI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4ACAATQBlAHQAaABvAGQAIAAxACAALQAgAE0AYQBuAHUAcgBlACAAQQBwAHAAbABpAGUAZAAgAFQAbwAgAFMAbwBpAGwAc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gAXwBfADEAXwBNAGEAcwBzAE8AZgBOAGkAdAByAG8AZwBlAG4AQQBwAHAAbABpAGUAZABUAG8AUwBvAGkAbABzAFMAYwBvAHAAZQAxAFwAbgBNAGEAcwBzACAAbwBmACAAbgBpAHQAcgBvAGcAZQBuACAAZgByAG8AbQAgAG0AYQBuAHUAcgBlACAAYQBwAHAAbABpAGUAZAAgAHQAbwAgAHMAbwBpAGwAcwAgAGYAbwByACAAcwBjAG8AcABlACAAMQAgAGUAbQBpAHMAcwBpAG8AbgBzAFwAbgBNAE4AUwBvAGkAbABfAHMAYwBvAHAAZQAxAFwAbgBrAGcAIABOAFwAbgBNAE4AUwBvAGkAbABfAHsAcwBjAG8AcABlADEAfQA9ACgATQBOAF8AewBqAG0AfQBcAFwAdABpAG0AZQBzACAAKAAxAC0ARQBGAF8AbQAtAEYAcgBhAGMARwBBAFMATQBfAG0AKQAtAE0ATgBMAGUAYQBjAGgAXwBqAG0AKQBcAFwAdABpAG0AZQBzACAAUABGAF8AcwBjAG8AcABl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BfAHMAYwBvAHAAZQ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EAXwBNAGEAcwBzAE8AZgBOAGkAdAByAG8AZwBlAG4AQQBwAHAAbABpAGUAZABUAG8AUwBvAGkAbABzAFMAYwBvAHAAZQAxAFwAbgAgACAAPQBMAEEATQBCAEQAQQAoAFwAbgAgACAAIAAgAE0ATgBfAGoAbQAsACAARQBGAF8AbQAsACAARgByAGEAYwBHAEEAUwBNAF8AbQAsACAATQBOAEwAZQBhAGMAaABfAGoAbQAsACAAUABGAF8AcwBjAG8AcABlACwAXABuACAAIAAgACAAKABNAE4AXwBqAG0AIAAqACAAKAAxACAALQAgAEUARgBfAG0AIAAtACAARgByAGEAYwBHAEEAUwBNAF8AbQApACAALQAgAE0ATgBMAGUAYQBjAGgAXwBqAG0AKQAgACoAIABQAEYAXwBzAGMAbwBwAGUAXABuACAAIAApADsAXABuAFwAbgBWAEUARQBSAEcAXwA0AF8AMwBfADEAXwA4AF8AXwAxAF8ATQBhAHMAcwBPAGYATgBpAHQAcgBvAGcAZQBuAEEAcABwAGwAaQBlAGQAVABvAFMAbwBpAGwAcwBTAGMAbwBwAGUAMQBfAFQAaQB0AGwAZQBcAG4AIAAgAD0ATABBAE0AQgBEAEEAKABcACIATQBhAHMAcwAgAG8AZgAgAG4AaQB0AHIAbwBnAGUAbgAgAGYAcgBvAG0AIABtAGEAbgB1AHIAZQAgAGEAcABwAGwAaQBlAGQAIAB0AG8AIABzAG8AaQBsAHMAIABmAG8AcgAgAHMAYwBvAHAAZQAgADEAIABlAG0AaQBzAHMAaQBvAG4AcwBcACIAKQA7AFwAbgBcAG4AVgBFAEUAUgBHAF8ANABfADMAXwAxAF8AOABfAF8AMQBfAE0AYQBzAHMATwBmAE4AaQB0AHIAbwBnAGUAbgBBAHAAcABsAGkAZQBkAFQAbwBTAG8AaQBsAHMAUwBjAG8AcABlADEAXwBWAGEAcgBpAGEAYgBsAGUAXABuACAAIAA9AEwAQQBNAEIARABBACgAXAAiAE0ATgBTAG8AaQBsAF8AcwBjAG8AcABlADEAXAAiACkAOwBcAG4AXABuAFYARQBFAFIARwBfADQAXwAzAF8AMQBfADgAXwBfADEAXwBNAGEAcwBzAE8AZgBOAGkAdAByAG8AZwBlAG4AQQBwAHAAbABpAGUAZABUAG8AUwBvAGkAbABzAFMAYwBvAHAAZQAxAF8AVQBuAGkAdABcAG4AIAAgAD0ATABBAE0AQgBEAEEAKABcACIAawBnACAATgBcACIAKQA7AFwAbgBcAG4AVgBFAEUAUgBHAF8ANABfADMAXwAxAF8AOABfAF8AMQBfAE0AYQBzAHMATwBmAE4AaQB0AHIAbwBnAGUAbgBBAHAAcABsAGkAZQBkAFQAbwBTAG8AaQBsAHMAUwBjAG8AcABlADEAXwBTAG8AdQByAGMAZQBcAG4AIAAgAD0ATABBAE0AQgBEAEEAKABcACIAVgBFAEUAUgBHACAAMgAwADIANgA6ACAANAAuADMALgAxAC4AOAAsACAARQBxAHUAYQB0AGkAbwBuACAAKAAxACkAXAAiACkAOwBcAG4AXABuAFYARQBFAFIARwBfADQAXwAzAF8AMQBfADgAXwBfADEAXwBNAGEAcwBzAE8AZgBOAGkAdAByAG8AZwBlAG4AQQBwAHAAbABpAGUAZABUAG8AUwBvAGkAbABzAFMAYwBvAHAAZQAxAF8ATgBJAFIAUgBlAGYAZQByAGUAbgBjAGUAXABuACAAIAA9AEwAQQBNAEIARABBACgAXAAiAFwAIgApADsAXABuAFwAbgBWAEUARQBSAEcAXwA0AF8AMwBfADEAXwA4AF8AXwAxAF8ATQBhAHMAcwBPAGYATgBpAHQAcgBvAGcAZQBuAEEAcABwAGwAaQBlAGQAVABvAFMAbwBpAGwAcwBTAGMAbwBwAGUAMQBfAEwAYQB0AGUAeABFAHEAdQBhAHQAaQBvAG4AXABuACAAIAA9AEwAQQBNAEIARABBACgAXAAiAE0ATgBTAG8AaQBsAF8AewBzAGMAbwBwAGUAMQ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UABGAFwAIgApADsAXABuAFwAbgBWAEUARQBSAEcAXwA0AF8AMwBfADEAXwA4AF8AXwAxAF8ATQBhAHMAcwBPAGYATgBpAHQAcgBvAGcAZQBuAEEAcABwAGwAaQBlAGQAVABvAFMAbwBpAGwAcwBTAGMAbwBwAGUAMQBfAEEAcgBnAHUAbQBlAG4AdABzAFwAbgAgACAAPQBMAEEATQBCAEQAQQAoAFwAbgAgACAAIAAgAE0AQQBLAEUAQQBSAFIAQQBZACgANQ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lAG0AaQBzAHMAaQBvAG4AIABmAGEAYwB0AG8AcgAgAGYAbwByACAAbgBpAHQAcgBvAHUAcwAgAG8AeABpAGQAZQAgAGUAbQBpAHMAcwBpAG8AbgBzACAAcABlAHIAIABNAE0AUwBcACIALAAgAFwAIgBrAGcAIABOADIATwAtAE4ALwBrAGcAIABOAFwAIgAsACAAXAAiAEMAbwBuAHMAdABhAG4AdABcACIAOwBcAG4AIAAgACAAIAAgACAAIAAgACAAIABcACIARgByAGEAYwBHAEEAUwBNAF8AbQBcACIALAAgAFwAIgBmAHIAYQBjAHQAaQBvAG4AIABvAGYAIABOACAAdgBvAGwAYQB0AGkAbABpAHMAZQBkACAAZgByAG8AbQAgAE0ATQBTAFwAIgAsACAAXAAiAGYAcgBhAGMAdABpAG8AbgBcACIALAAgAFwAIgBDAG8AbgBzAHQAYQBuAHQAXAAiADsAXABuACAAIAAgACAAIAAgACAAIAAgACAAXAAiAE0ATgBMAGUAYQBjAGgAXwBqAG0AXAAiACwAIABcACIAbQBhAHMAcwAgAG8AZgAgAE4AIABsAG8AcwB0ACAAdABoAHIAbwB1AGcAaAAgAGwAZQBhAGMAaABpAG4AZwAgAGEAbgBkACAAcgB1AG4AbwBmAGYAIABmAHIAbwBtACAAZQBhAGMAaAAgAE0ATQBTAFwAIgAsACAAXAAiAGsAZwAgAE4AXAAiACwAIABcACIAQwBhAGwAYwB1AGwAYQB0AGUAZAAgAGYAcgBvAG0AIAA0AC4AMwAuADEALgA2ACAAKAAyACkAXAAiADsAXABuACAAIAAgACAAIAAgACAAIAAgACAAXAAiAFAARgBfAHMAYwBvAHAAZQBcACIALAAgAFwAIgBmAHIAYQBjAHQAaQBvAG4AIABvAGYAIABtAGEAbgB1AHIAZQAgAGEAcABwAGwAaQBlAGQAIAB0AG8AIABzAG8AaQBsACAAdwBpAHQAaABpAG4AIABmAGEAcgBtACAAYgBvAHUAbgBkAGEAcgB5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OABfAF8AMgBfAE0AYQBzAHMATwBmAE4AaQB0AHIAbwBnAGUAbgBBAHAAcABsAGkAZQBkAFQAbwBTAG8AaQBsAHMAUwBjAG8AcABlADMAXABuAE0AYQBzAHMAIABvAGYAIABuAGkAdAByAG8AZwBlAG4AIABmAHIAbwBtACAAbQBhAG4AdQByAGUAIABhAHAAcABsAGkAZQBkACAAdABvACAAcwBvAGkAbABzACAAZgBvAHIAIABzAGMAbwBwAGUAIAAzACAAZQBtAGkAcwBzAGkAbwBuAHMAXABuAE0ATgBTAG8AaQBsAF8AcwBjAG8AcABlADMAXABuAGsAZwAgAE4AXABuAE0ATgBTAG8AaQBsAF8AewBzAGMAbwBwAGUAMwB9AD0AKABNAE4AXwB7AGoAbQB9AFwAXAB0AGkAbQBlAHMAIAAoADEALQBFAEYAXwBtAC0ARgByAGEAYwBHAEEAUwBNAF8AbQApAC0ATQBOAEwAZQBhAGMAaABfAGoAbQApAFwAXAB0AGkAbQBlAHMAIAAoADEALQBQAEYAK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yAF8ATQBhAHMAcwBPAGYATgBpAHQAcgBvAGcAZQBuAEEAcABwAGwAaQBlAGQAVABvAFMAbwBpAGwAcwBTAGMAbwBwAGUAMwBcAG4AIAAgAD0ATABBAE0AQgBEAEEAKABcAG4AIAAgACAAIABNAE4AXwBqAG0ALAAgAEUARgBfAG0ALAAgAEYAcgBhAGMARwBBAFMATQBfAG0ALAAgAE0ATgBMAGUAYQBjAGgAXwBqAG0ALAAgAFAARgAsAFwAbgAgACAAIAAgACgATQBOAF8AagBtACAAKgAgACgAMQAgAC0AIABFAEYAXwBtACAALQAgAEYAcgBhAGMARwBBAFMATQBfAG0AKQAgAC0AIABNAE4ATABlAGEAYwBoAF8AagBtACkAIAAqACAAKAAxACAALQAgAFAARgApAFwAbgAgACAAKQA7AFwAbgBcAG4AVgBFAEUAUgBHAF8ANABfADMAXwAxAF8AOABfAF8AMgBfAE0AYQBzAHMATwBmAE4AaQB0AHIAbwBnAGUAbgBBAHAAcABsAGkAZQBkAFQAbwBTAG8AaQBsAHMAUwBjAG8AcABlADMAXwBUAGkAdABsAGUAXABuACAAIAA9AEwAQQBNAEIARABBACgAXAAiAE0AYQBzAHMAIABvAGYAIABuAGkAdAByAG8AZwBlAG4AIABmAHIAbwBtACAAbQBhAG4AdQByAGUAIABhAHAAcABsAGkAZQBkACAAdABvACAAcwBvAGkAbABzACAAZgBvAHIAIABzAGMAbwBwAGUAIAAzACAAZQBtAGkAcwBzAGkAbwBuAHMAXAAiACkAOwBcAG4AXABuAFYARQBFAFIARwBfADQAXwAzAF8AMQBfADgAXwBfADIAXwBNAGEAcwBzAE8AZgBOAGkAdAByAG8AZwBlAG4AQQBwAHAAbABpAGUAZABUAG8AUwBvAGkAbABzAFMAYwBvAHAAZQAzAF8AVgBhAHIAaQBhAGIAbABlAFwAbgAgACAAPQBMAEEATQBCAEQAQQAoAFwAIgBNAE4AUwBvAGkAbABfAHMAYwBvAHAAZQAzAFwAIgApADsAXABuAFwAbgBWAEUARQBSAEcAXwA0AF8AMwBfADEAXwA4AF8AXwAyAF8ATQBhAHMAcwBPAGYATgBpAHQAcgBvAGcAZQBuAEEAcABwAGwAaQBlAGQAVABvAFMAbwBpAGwAcwBTAGMAbwBwAGUAMwBfAFUAbgBpAHQAXABuACAAIAA9AEwAQQBNAEIARABBACgAXAAiAGsAZwAgAE4AXAAiACkAOwBcAG4AXABuAFYARQBFAFIARwBfADQAXwAzAF8AMQBfADgAXwBfADIAXwBNAGEAcwBzAE8AZgBOAGkAdAByAG8AZwBlAG4AQQBwAHAAbABpAGUAZABUAG8AUwBvAGkAbABzAFMAYwBvAHAAZQAzAF8AUwBvAHUAcgBjAGUAXABuACAAIAA9AEwAQQBNAEIARABBACgAXAAiAFYARQBFAFIARwAgADIAMAAyADYAOgAgADQALgAzAC4AMQAuADgALAAgAEUAcQB1AGEAdABpAG8AbgAgACgAMgApAFwAIgApADsAXABuAFwAbgBWAEUARQBSAEcAXwA0AF8AMwBfADEAXwA4AF8AXwAyAF8ATQBhAHMAcwBPAGYATgBpAHQAcgBvAGcAZQBuAEEAcABwAGwAaQBlAGQAVABvAFMAbwBpAGwAcwBTAGMAbwBwAGUAMwBfAE4ASQBSAFIAZQBmAGUAcgBlAG4AYwBlAFwAbgAgACAAPQBMAEEATQBCAEQAQQAoAFwAIgBcACIAKQA7AFwAbgBcAG4AVgBFAEUAUgBHAF8ANABfADMAXwAxAF8AOABfAF8AMgBfAE0AYQBzAHMATwBmAE4AaQB0AHIAbwBnAGUAbgBBAHAAcABsAGkAZQBkAFQAbwBTAG8AaQBsAHMAUwBjAG8AcABlADMAXwBMAGEAdABlAHgARQBxAHUAYQB0AGkAbwBuAFwAbgAgACAAPQBMAEEATQBCAEQAQQAoAFwAIgBNAE4AUwBvAGkAbABfAHsAcwBjAG8AcABlADM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CgAMQAtAFAARgApAFwAIgApADsAXABuAFwAbgBWAEUARQBSAEcAXwA0AF8AMwBfADEAXwA4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lAG0AaQBzAHMAaQBvAG4AIABmAGEAYwB0AG8AcgAgAGYAbwByACAAbgBpAHQAcgBvAHUAcwAgAG8AeABpAGQAZQAgAGUAbQBpAHMAcwBpAG8AbgBzACAAcABlAHIAIABNAE0AUwBcACIALAAgAFwAIgBrAGcAIABOADIATwAtAE4ALwBrAGcAIABOAFwAIgAsACAAXAAiAEMAbwBuAHMAdABhAG4AdABcACIAOwBcAG4AIAAgACAAIAAgACAAIAAgACAAIABcACIARgByAGEAYwBHAEEAUwBNAF8AbQBcACIALAAgAFwAIgBmAHIAYQBjAHQAaQBvAG4AIABvAGYAIABOACAAdgBvAGwAYQB0AGkAbABpAHMAZQBkACAAZgByAG8AbQAgAE0ATQBTAFwAIgAsACAAXAAiAGYAcgBhAGMAdABpAG8AbgBcACIALAAgAFwAIgBDAG8AbgBzAHQAYQBuAHQAXAAiADsAXABuACAAIAAgACAAIAAgACAAIAAgACAAXAAiAE0ATgBMAGUAYQBjAGgAXwBqAG0AXAAiACwAIABcACIAbQBhAHMAcwAgAG8AZgAgAE4AIABsAG8AcwB0ACAAdABoAHIAbwB1AGcAaAAgAGwAZQBhAGMAaABpAG4AZwAgAGEAbgBkACAAcgB1AG4AbwBmAGYAIABmAHIAbwBtACAAZQBhAGMAaAAgAE0ATQBTAFwAIgAsACAAXAAiAGsAZwAgAE4AXAAiACwAIABcACIAQwBhAGwAYwB1AGwAYQB0AGUAZAAgAGYAcgBvAG0AIAA0AC4AMwAuADEALgA2ACAAKAAyACkAXAAiADsAXABuACAAIAAgACAAIAAgACAAIAAgACAAXAAiAFAARgBcACIALAAgAFwAIgBmAHIAYQBjAHQAaQBvAG4AIABvAGYAIABtAGEAbgB1AHIAZQAgAGEAcABwAGwAaQBlAGQAIAB0AG8AIABzAG8AaQBsACAAdwBpAHQAaABpAG4AIABmAGEAcgBtACAAYgBvAHUAbgBkAGEAcgB5AFwAIgAsACAAXAAiAGYAcgBhAGMAdABpAG8AbgBcACIALAAgAFwAIgBJAG4AcAB1AHQAXAAiAFwAbgAgACAAIAAgACAAIAAgACAAfQAsACAAcgAsACAAYwApAFwAbgAgACAAIAAgACAAIAApAFwAbgAgACAAIAAgACkAXABuACAAIAApADsAXABuACIAfQAsAHsAIgBwAGEAdABoACIAOgAiAC8AcAByAG8AagBlAGMAdABzAC8ATQBNAFMAXwBEAGEAaQ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QAgAE0AZQB0AGgAbwBkACAAMQAgAC0AIABTAG8AaQBs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kAXwBfADEAXwBEAGkAcgBlAGMAdABOAGkAdAByAG8AdQBzAE8AeABpAGQAZQBFAG0AaQBzAHMAaQBvAG4AcwBPAG4AUABhAHMAdAB1AHIAZQBcAG4ARABpAHIAZQBjAHQAIABuAGkAdAByAG8AdQBzACAAbwB4AGkAZABlACAAZQBtAGkAcwBzAGkAbwBuAHMAIABvAG4AIABwAGEAcwB0AHUAcgBlAFwAbgBFAF8ATgAyAE8AZABpAHIAXABuAHQAIABOADIATwBcAG4ARQBfAHsATgAyAE8ALABkAGkAcgB9AD0ATQBOAF8AewBqAG0APQAxADQAfQBcAFwAdABpAG0AZQBzACAARQBGAF8AewBQAFIAUAB9AFwAXAB0AGkAbQBlAHMAIABDAF8AewBOADIATwB9AFwAXAB0AGkAbQBlAHMAIAAxADAAXgB7AC0AMwB9AFwAbgBNAE4AXwBqAG0AMQA0ACAAPQAgAG0AYQBzAHMAIABvAGYAIABuAGkAdAByAG8AZwBlAG4AIABlAHgAYwByAGUAdABlAGQAIABvAG4AIABwAGEAcwB0AHUAcgBlACwAIAByAGEAbgBnAGUALAAgAGEAbgBkACAAcABhAGQAZABvAGMAawAgAGYAbwByACAAZQBhAGMAaAAgAGQAYQBpAHIAeQAgAGMAYQB0AHQAbABlACAAYwBsAGEAcwBzACAAKABrAGcAIABOACkAXABuAEUARgBfAFAAUgBQACAAPQAgAGUAbQBpAHMAcwBpAG8AbgAgAGYAYQBjAHQAbwByACAAZgBvAHIAIABuAGkAdAByAG8AdQBzACAAbwB4AGkAZABlACAAZQBtAGkAcwBzAGkAbwBuAHMAIABmAG8AcgAgAHUAcgBpAG4AZQAgAGEAbgBkACAAZAB1AG4AZwAgAGQAZQBwAG8AcwBpAHQAZQBkACAAbwBuACAAUABSAFA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OQBfAF8AMQBfAEQAaQByAGUAYwB0AE4AaQB0AHIAbwB1AHMATwB4AGkAZABlAEUAbQBpAHMAcwBpAG8AbgBzAE8AbgBQAGEAcwB0AHUAcgBlAFwAbgAgACAAPQBMAEEATQBCAEQAQQAoAFwAbgAgACAAIAAgAE0ATgBfAGoAbQAxADQALAAgAEUARgBfAFAAUgBQACwAIABDAF8ATgAyAE8ALABcAG4AIAAgACAAIABNAE4AXwBqAG0AMQA0ACAAKgAgAEUARgBfAFAAUgBQACAAKgAgAEMAXwBOADIATwAgACoAIAAxADAAIABeACAALQAzAFwAbgAgACAAKQA7AFwAbgBcAG4AVgBFAEUAUgBHAF8ANABfADMAXwAxAF8AOQBfAF8AMQBfAEQAaQByAGUAYwB0AE4AaQB0AHIAbwB1AHMATwB4AGkAZABlAEUAbQBpAHMAcwBpAG8AbgBzAE8AbgBQAGEAcwB0AHUAcgBlAF8AVABpAHQAbABlAFwAbgAgACAAPQBMAEEATQBCAEQAQQAoAFwAIgBEAGkAcgBlAGMAdAAgAG4AaQB0AHIAbwB1AHMAIABvAHgAaQBkAGUAIABlAG0AaQBzAHMAaQBvAG4AcwAgAG8AbgAgAHAAYQBzAHQAdQByAGUAXAAiACkAOwBcAG4AXABuAFYARQBFAFIARwBfADQAXwAzAF8AMQBfADkAXwBfADEAXwBEAGkAcgBlAGMAdABOAGkAdAByAG8AdQBzAE8AeABpAGQAZQBFAG0AaQBzAHMAaQBvAG4AcwBPAG4AUABhAHMAdAB1AHIAZQBfAFYAYQByAGkAYQBiAGwAZQBcAG4AIAAgAD0ATABBAE0AQgBEAEEAKABcACIARQBfAE4AMgBPAGQAaQByAFwAIgApADsAXABuAFwAbgBWAEUARQBSAEcAXwA0AF8AMwBfADEAXwA5AF8AXwAxAF8ARABpAHIAZQBjAHQATgBpAHQAcgBvAHUAcwBPAHgAaQBkAGUARQBtAGkAcwBzAGkAbwBuAHMATwBuAFAAYQBzAHQAdQByAGUAXwBVAG4AaQB0AFwAbgAgACAAPQBMAEEATQBCAEQAQQAoAFwAIgB0ACAATgAyAE8AXAAiACkAOwBcAG4AXABuAFYARQBFAFIARwBfADQAXwAzAF8AMQBfADkAXwBfADEAXwBEAGkAcgBlAGMAdABOAGkAdAByAG8AdQBzAE8AeABpAGQAZQBFAG0AaQBzAHMAaQBvAG4AcwBPAG4AUABhAHMAdAB1AHIAZQBfAFMAbwB1AHIAYwBlAFwAbgAgACAAPQBMAEEATQBCAEQAQQAoAFwAIgBWAEUARQBSAEcAIAAyADAAMgA2ADoAIAA0AC4AMwAuADEALgA5ACwAIABFAHEAdQBhAHQAaQBvAG4AIAAoADEAKQBcACIAKQA7AFwAbgBcAG4AVgBFAEUAUgBHAF8ANABfADMAXwAxAF8AOQBfAF8AMQBfAEQAaQByAGUAYwB0AE4AaQB0AHIAbwB1AHMATwB4AGkAZABlAEUAbQBpAHMAcwBpAG8AbgBzAE8AbgBQAGEAcwB0AHUAcgBlAF8ATgBJAFIAUgBlAGYAZQByAGUAbgBjAGUAXABuACAAIAA9AEwAQQBNAEIARABBACgAXAAiAFwAIgApADsAXABuAFwAbgBWAEUARQBSAEcAXwA0AF8AMwBfADEAXwA5AF8AXwAxAF8ARABpAHIAZQBjAHQATgBpAHQAcgBvAHUAcwBPAHgAaQBkAGUARQBtAGkAcwBzAGkAbwBuAHMATwBuAFAAYQBzAHQAdQByAGUAXwBMAGEAdABlAHgARQBxAHUAYQB0AGkAbwBuAFwAbgAgACAAPQBMAEEATQBCAEQAQQAoAFwAIgBFAF8AewBOADIATwAsAGQAaQByAH0APQBcAFwAcwB1AG0AXABcAG4AbwBsAGkAbQBpAHQAcwBfAHsAagB9ACgATQBOAF8AewBqAG0APQAxADQAfQBcAFwAdABpAG0AZQBzACAARQBGAF8AewBQAFIAUAB9AFwAXAB0AGkAbQBlAHMAIABDAF8AewBOADIATwB9AFwAXAB0AGkAbQBlAHMAIAAxADAAXgB7AC0AMwB9ACkAXAAiACkAOwBcAG4AXABuAFYARQBFAFIARwBfADQAXwAzAF8AMQBfADkAXwBfADEAXwBEAGkAcgBlAGMAdABOAGkAdAByAG8AdQBzAE8AeABpAGQAZQBFAG0AaQBzAHMAaQBvAG4AcwBPAG4AUABhAHMAdAB1AHIAZQBfAEEAcgBnAHUAbQBlAG4AdABzAFwAbgAgACAAPQBMAEEATQBCAEQAQQAoAFwAbgAgACAAIAAgAE0AQQBLAEUAQQBSAFIAQQBZACgANA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LAAgAGEAbgBkACAAcABhAGQAZABvAGMAawAgAGYAbwByACAAZQBhAGMAaAAgAGQAYQBpAHIAeQAgAGMAYQB0AHQAbABlACAAYwBsAGEAcwBzAFwAIgAsACAAXAAiAGsAZwAgAE4AXAAiACwAIABcACIAQwBhAGwAYwB1AGwAYQB0AGUAZAAgAGYAcgBvAG0AIAA0AC4AMwAuADEALgAzACAAKAAyACkAXAAiADsAXABuACAAIAAgACAAIAAgACAAIAAgACAAXAAiAEUARgBfAFAAUgBQAFwAIgAsACAAXAAiAGUAbQBpAHMAcwBpAG8AbgAgAGYAYQBjAHQAbwByACAAZgBvAHIAIABuAGkAdAByAG8AdQBzACAAbwB4AGkAZABlACAAZQBtAGkAcwBzAGkAbwBuAHMAIABmAG8AcgAgAHUAcgBpAG4AZQAgAGEAbgBkACAAZAB1AG4AZwAgAGQAZQBwAG8AcwBpAHQAZQBkACAAbwBuACAAUABSAFA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egBcACIALABcACIAVwBlAHQAIABvAHIAIABkAHIAeQAgAGMAbABpAG0AYQB0AGUAIAB6AG8AbgBlAFwAIgAsACAAXAAiAFwAIgAsACAAXAAiAEkAbgBwAHUAdABcACIAXABuACAAIAAgACAAIAAgACAAIAB9ACwAIAByACwAIABjACkAXABuACAAIAAgACAAIAAgACkAXABuACAAIAAgACAAKQBcAG4AIAAgACkAOwBcAG4AIgB9ACwAewAiAHAAYQB0AGgAIgA6ACIALwBwAHIAbwBqAGUAYwB0AHMALwBNAE0AUwBfAEQAYQBpAHIAeQ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DAAIABNAGUAdABoAG8AZAAgADEAIAAtACAAUwBvAGkAbAAgAEEAdABtAG8AcwBwAGgAZQByAGkAYwAgAEQAZQBwAG8AcwBpAHQAaQBvAG4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MA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ABfAF8AMQBfAEEAdABtAG8AcwBwAGgAZQByAGkAYwBEAGUAcABvAHMAaQB0AGkAbwBuAEUAbQBpAHMAcwBpAG8AbgBzAEYAcgBvAG0AVQByAGkAbgBlAEEAbgBkAEQAdQBuAGcATwBuAFAAYQBzAHQAdQByAGUAXABuACAAIAA9AEwAQQBNAEIARABBACgAXABuACAAIAAgACAATQBfAHYAbwBsAF8AbQAxADQALAAgAEUARgBfAE4AMgBPACwAIABDAF8ATgAyAE8ALABcAG4AIAAgACAAIABNAF8AdgBvAGwAXwBtADEANAAgACoAIABFAEYAXwBOADIATwAgACoAIABDAF8ATgAyAE8AIAAqACAAMQAwACAAXgAgAC0AMwBcAG4AIAAgACkAOwBcAG4AXABuAFYARQBFAFIARwBfADQAXwAzAF8AMQBfADEAMABfAF8AMQBfAEEAdABtAG8AcwBwAGgAZQByAGkAYwBEAGUAcABvAHMAaQB0AGkAbwBuAEUAbQBpAHMAcwBpAG8AbgBzAEYAcgBvAG0AVQByAGkAbgBlAEEAbgBkAEQAdQBuAGcATwBuAFAAYQBzAHQAdQByAGUAXwBUAGkAdABsAGUAXABuACAAIAA9AEwAQQBNAEIARABBACgAXAAiAEEAdABtAG8AcwBwAGgAZQByAGkAYwAgAGQAZQBwAG8AcwBpAHQAaQBvAG4AIABlAG0AaQBzAHMAaQBvAG4AcwAgAGYAcgBvAG0AIAB1AHIAaQBuAGUAIABhAG4AZAAgAGQAdQBuAGcAIABkAGUAcABvAHMAaQB0AGUAZAAgAG8AbgAgAHAAYQBzAHQAdQByAGUAXAAiACkAOwBcAG4AXABuAFYARQBFAFIARwBfADQAXwAzAF8AMQBfADEAMA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zAF8AMQBfADEAMABfAF8AMQBfAEEAdABtAG8AcwBwAGgAZQByAGkAYwBEAGUAcABvAHMAaQB0AGkAbwBuAEUAbQBpAHMAcwBpAG8AbgBzAEYAcgBvAG0AVQByAGkAbgBlAEEAbgBkAEQAdQBuAGcATwBuAFAAYQBzAHQAdQByAGUAXwBVAG4AaQB0AFwAbgAgACAAPQBMAEEATQBCAEQAQQAoAFwAIgB0ACAATgAyAE8AXAAiACkAOwBcAG4AXABuAFYARQBFAFIARwBfADQAXwAzAF8AMQBfADEAMABfAF8AMQBfAEEAdABtAG8AcwBwAGgAZQByAGkAYwBEAGUAcABvAHMAaQB0AGkAbwBuAEUAbQBpAHMAcwBpAG8AbgBzAEYAcgBvAG0AVQByAGkAbgBlAEEAbgBkAEQAdQBuAGcATwBuAFAAYQBzAHQAdQByAGUAXwBTAG8AdQByAGMAZQBcAG4AIAAgAD0ATABBAE0AQgBEAEEAKABcACIAVgBFAEUAUgBHACAAMgAwADIANgA6ACAANAAuADMALgAxAC4AMQAwACwAIABFAHEAdQBhAHQAaQBvAG4AIAAoADEAKQBcACIAKQA7AFwAbgBcAG4AVgBFAEUAUgBHAF8ANABfADMAXwAxAF8AMQAwAF8AXwAxAF8AQQB0AG0AbwBzAHAAaABlAHIAaQBjAEQAZQBwAG8AcwBpAHQAaQBvAG4ARQBtAGkAcwBzAGkAbwBuAHMARgByAG8AbQBVAHIAaQBuAGUAQQBuAGQARAB1AG4AZwBPAG4AUABhAHMAdAB1AHIAZQBfAE4ASQBSAFIAZQBmAGUAcgBlAG4AYwBlAFwAbgAgACAAPQBMAEEATQBCAEQAQQAoAFwAIgBcACIAKQA7AFwAbgBcAG4AVgBFAEUAUgBHAF8ANABfADMAXwAxAF8AMQAwAF8AXwAxAF8AQQB0AG0AbwBzAHAAaABlAHIAaQBjAEQAZQBwAG8AcwBpAHQAaQBvAG4ARQBtAGkAcwBzAGkAbwBuAHMARgByAG8AbQBVAHIAaQBuAGUAQQBuAGQARAB1AG4AZwBPAG4AUABhAHMAdAB1AHIAZQBfAEwAYQB0AGUAeABFAHEAdQBhAHQAaQBvAG4AXABuACAAIAA9AEwAQQBNAEIARABBACgAXAAiAEUAXwB7AE4AMgBPACwAYQBkAH0APQBNAF8AewB2AG8AbAAsAG0APQAxADQAfQBcAFwAdABpAG0AZQBzACAARQBGAF8AewBOADIATwB9AFwAXAB0AGkAbQBlAHMAIABDAF8AewBOADIATwB9AFwAXAB0AGkAbQBlAHMAIAAxADAAXgB7AC0AMwB9AFwAIgApADsAXABuAFwAbgBWAEUARQBSAEcAXwA0AF8AMwBfADEAXwAxADAAXwBfADEAXwBBAHQAbQBvAHMAcABoAGUAcgBpAGMARABlAHAAbwBzAGkAdABpAG8AbgBFAG0AaQBzAHMAaQBvAG4AcwBGAHIAbwBtAFUAcgBpAG4AZQBBAG4AZABEAHUAbgBnAE8AbgBQAGEAcwB0AHUAcgBlAF8AQQByAGcAdQBtAGUAbgB0AHMAXABuACAAIAA9AEwAQQBNAEIARABBACgAXABuACAAIAAgACAATQBBAEsARQBBAFIAUgBBAFkAKAA2ACwAIAA0ACwAXABuACAAIAAgACAAIAAgAEwAQQBNAEIARABBACgAcgAsAGMALABcAG4AIAAgACAAIAAgACAAIAAgAEkATgBEAEUAWAAoAHsAXABuACAAIAAgACAAIAAgACAAIAAgACAAXAAiAE0AXwB2AG8AbABfAG0AMQA0AFwAIgAsACAAXAAiAG0AYQBzAHMAIABvAGYAIABuAGkAdAByAG8AZwBlAG4AIAB2AG8AbABhAHQAaQBsAGkAcwBlAGQAIABmAHIAbwBtACAAdQByAGkAbgBlACAAYQBuAGQAIABmAGEAZQBjAGUAcwAgAGQAZQBwAG8AcwBpAHQAZQBkACAAbwBuACAAcABhAHMAdAB1AHIAZQBcACIALAAgAFwAIgBrAGcAIABOAFwAIgAsACAAXAAiAEMAYQBsAGMAdQBsAGEAdABlAGQAIABmAHIAbwBtACAANAAuADMALgAxAC4AMQAw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AwAF8AXwAyAF8ATQBhAHMAcwBPAGYATgBpAHQAcgBvAGcAZQBuAFYAbwBsAGEAdABpAGwAaQBzAGUAZABPAG4AUABhAHMAdAB1AHIAZQBcAG4ATQBhAHMAcwAgAG8AZgAgAG4AaQB0AHIAbwBnAGUAbgAgAHYAbwBsAGEAdABpAGwAaQBzAGUAZAAgAGYAcgBvAG0AIAB1AHIAaQBuAGUAIABhAG4AZAAgAGYAYQBlAGMAZQBzACAAZABlAHAAbwBzAGkAdABlAGQAIABvAG4AIABwAGEAcwB0AHUAcgBlAFwAbgBNAF8AdgBvAGwAXwBtADEANABcAG4AawBnACAATgBcAG4ATQBfAHsAdgBvAGwALABtAD0AMQA0AH0APQBNAE4AXwB7AGoAbQA9ADEANAB9AFwAXAB0AGkAbQBlAHMAIABGAHIAYQBjAEcAQQBTAE0AcwBvAGkAbABcAG4ATQBOAF8AagBtADEANAAgAD0AIABtAGEAcwBzACAAbwBmACAAbgBpAHQAcgBvAGcAZQBuACAAZQB4AGMAcgBlAHQAZQBkACAAbwBuACAAcABhAHMAdAB1AHIAZQAsACAAcgBhAG4AZwBlACAAYQBuAGQAIABwAGEAZABkAG8AYwBrACAAZgBvAHIAIABlAGEAYwBoACAAZABhAGkAcgB5ACAAYwBsAGEAcwBz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wBfADEAXwAxADAAXwBfADIAXwBNAGEAcwBzAE8AZgBOAGkAdAByAG8AZwBlAG4AVgBvAGwAYQB0AGkAbABpAHMAZQBkAE8AbgBQAGEAcwB0AHUAcgBlAFwAbgAgACAAPQBMAEEATQBCAEQAQQAoAFwAbgAgACAAIAAgAE0ATgBfAGoAbQAxADQALAAgAEYAcgBhAGMARwBBAFMATQBzAG8AaQBsACwAXABuACAAIAAgACAATQBOAF8AagBtADEANAAgACoAIABGAHIAYQBjAEcAQQBTAE0AcwBvAGkAbABcAG4AIAAgACkAOwBcAG4AXABuAFYARQBFAFIARwBfADQAXwAzAF8AMQBfADEAMABfAF8AMgBfAE0AYQBzAHMATwBmAE4AaQB0AHIAbwBnAGUAbgBWAG8AbABhAHQAaQBsAGkAcwBlAGQATwBuAFAAYQBzAHQAdQByAGUAXwBUAGkAdABsAGUAXABuACAAIAA9AEwAQQBNAEIARABBACgAXAAiAE0AYQBzAHMAIABvAGYAIABuAGkAdAByAG8AZwBlAG4AIAB2AG8AbABhAHQAaQBsAGkAcwBlAGQAIABmAHIAbwBtACAAdQByAGkAbgBlACAAYQBuAGQAIABmAGEAZQBjAGUAcwAgAGQAZQBwAG8AcwBpAHQAZQBkACAAbwBuACAAcABhAHMAdAB1AHIAZQBcACIAKQA7AFwAbgBcAG4AVgBFAEUAUgBHAF8ANABfADMAXwAxAF8AMQAwAF8AXwAyAF8ATQBhAHMAcwBPAGYATgBpAHQAcgBvAGcAZQBuAFYAbwBsAGEAdABpAGwAaQBzAGUAZABPAG4AUABhAHMAdAB1AHIAZQBfAFYAYQByAGkAYQBiAGwAZQBcAG4AIAAgAD0ATABBAE0AQgBEAEEAKABcACIATQBfAHYAbwBsAF8AbQAxADQAXAAiACkAOwBcAG4AXABuAFYARQBFAFIARwBfADQAXwAzAF8AMQBfADEAMABfAF8AMgBfAE0AYQBzAHMATwBmAE4AaQB0AHIAbwBnAGUAbgBWAG8AbABhAHQAaQBsAGkAcwBlAGQATwBuAFAAYQBzAHQAdQByAGUAXwBVAG4AaQB0AFwAbgAgACAAPQBMAEEATQBCAEQAQQAoAFwAIgBrAGcAIABOAFwAIgApADsAXABuAFwAbgBWAEUARQBSAEcAXwA0AF8AMwBfADEAXwAxADAAXwBfADIAXwBNAGEAcwBzAE8AZgBOAGkAdAByAG8AZwBlAG4AVgBvAGwAYQB0AGkAbABpAHMAZQBkAE8AbgBQAGEAcwB0AHUAcgBlAF8AUwBvAHUAcgBjAGUAXABuACAAIAA9AEwAQQBNAEIARABBACgAXAAiAFYARQBFAFIARwAgADIAMAAyADYAOgAgADQALgAzAC4AMQAuADEAMAAsACAARQBxAHUAYQB0AGkAbwBuACAAKAAyACkAXAAiACkAOwBcAG4AXABuAFYARQBFAFIARwBfADQAXwAzAF8AMQBfADEAMABfAF8AMgBfAE0AYQBzAHMATwBmAE4AaQB0AHIAbwBnAGUAbgBWAG8AbABhAHQAaQBsAGkAcwBlAGQATwBuAFAAYQBzAHQAdQByAGUAXwBOAEkAUgBSAGUAZgBlAHIAZQBuAGMAZQBcAG4AIAAgAD0ATABBAE0AQgBEAEEAKABcACIAXAAiACkAOwBcAG4AXABuAFYARQBFAFIARwBfADQAXwAzAF8AMQBfADEAMABfAF8AMgBfAE0AYQBzAHMATwBmAE4AaQB0AHIAbwBnAGUAbgBWAG8AbABhAHQAaQBsAGkAcwBlAGQATwBuAFAAYQBzAHQAdQByAGUAXwBMAGEAdABlAHgARQBxAHUAYQB0AGkAbwBuAFwAbgAgACAAPQBMAEEATQBCAEQAQQAoAFwAIgBNAF8AewB2AG8AbAAsAG0APQAxADQAfQA9AFwAXABzAHUAbQBcAFwAbgBvAGwAaQBtAGkAdABzAF8AewBqAH0AKABNAE4AXwB7AGoAbQA9ADEANAB9AFwAXAB0AGkAbQBlAHMAIABGAHIAYQBjAEcAQQBTAE0AcwBvAGkAbAApAFwAIgApADsAXABuAFwAbgBWAEUARQBSAEcAXwA0AF8AMwBfADEAXwAxADAAXwBfADIAXwBNAGEAcwBzAE8AZgBOAGkAdAByAG8AZwBlAG4AVgBvAGwAYQB0AGkAbABpAHMAZQBkAE8AbgBQAGEAcwB0AHUAcgBlAF8AQQByAGcAdQBtAGUAbgB0AHMAXABuACAAIAA9AEwAQQBNAEIARABBACgAXABuACAAIAAgACAATQBBAEsARQBBAFIAUgBBAFkAKAAy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gAGEAbgBkACAAcABhAGQAZABvAGMAawAgAGYAbwByACAAZQBhAGMAaAAgAGQAYQBpAHIAeQAgAGMAbABhAHMAcwBcACIALAAgAFwAIgBrAGcAIABOAFwAIgAsACAAXAAiAEMAYQBsAGMAdQBsAGEAdABlAGQAIABmAHIAbwBtACAANAAuADMALgAxAC4AMwAgACgAMgApAFwAIgA7AFwAbgAgACAAIAAgACAAIAAgACAAIAAgAFwAIgBGAHIAYQBjAEcAQQBTAE0AcwBvAGkAbABcACIALAAgAFwAIgBmAHIAYQBjAHQAaQBvAG4AIABvAGYAIABuAGkAdAByAG8AZwBlAG4AIAB2AG8AbABhAHQAaQBsAGkAcwBlAGQAIABmAHIAbwBtACAAdQByAGkAbgBlACAAYQBuAGQAIABmAGEAZQBjAGUAcwAgAGQAZQBwAG8AcwBpAHQAZQBkACAAbwBuACAAcABhAHMAdAB1AHIAZQBcACIALAAgAFwAIgAoAGsAZwAgAE4ASAAzAC0ATgAgACsAIABOAE8AeAAtAE4AKQAvAGsAZwAgAE4AKQBcACIALAAgAFwAIgBDAG8AbgBzAHQAYQBuAHQAXAAiAFwAbgAgACAAIAAgACAAIAAgACAAfQAsACAAcgAsACAAYwApAFwAbgAgACAAIAAgACAAIAApAFwAbgAgACAAIAAgACkAXABuACAAIAApADsAXABuACIAfQAsAHsAIgBwAGEAdABoACIAOgAiAC8AcAByAG8AagBlAGMAdABzAC8ATQBNAFMAXwBEAGEAaQByAHkAXwBTAG8AaQBsAF8ATABlAGEAYwBoAGkAbgBnAEEAbgBkAFIAdQBuAG8AZgBm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DIAIABNAGUAdABoAG8AZAAgADEAIAAtACAAUwBvAGkAbAAgAEwAZQBhAGMAaABpAG4AZwAgAEEAbgBkACAAUgB1AG4AbwBmAGY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MgBfAF8AMQBfAEwAZQBhAGMAaABpAG4AZwBBAG4AZABSAHUAbgBvAGYAZgBFAG0AaQBzAHMAaQBvAG4AcwBGAHIAbwBtAFUAcgBpAG4AZQBBAG4AZABEAHUAbgBnAE8AbgBQAGEAcwB0AHUAcgBlAFwAbgBMAGUAYQBjAGgAaQBuAGcAIABhAG4AZAAgAHIAdQBuAG8AZgBmACAAZQBtAGkAcwBzAGkAbwBuAHMAIABmAHIAbwBtACAAdQByAGkAbgBlACAAYQBuAGQAIABkAHUAbgBn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dQByAGkAbgBlACAAYQBuAGQAIABmAGEAZQBjAGUAcwAgAGQAZQBwAG8AcwBpAHQAZQBkACAAbwBuACAAcABhAHMAdAB1AHIAZQAgACgAawBnACAATgApAFwAbgBFAEYAXwBsAGUAYQBjAGgAIAA9ACAAbgBpAHQAcgBvAHUAcwAgAG8AeABpAGQAZ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xADIAXwBfADEAXwBMAGUAYQBjAGgAaQBuAGcAQQBuAGQAUgB1AG4AbwBmAGYARQBtAGkAcwBzAGkAbwBuAHMARgByAG8AbQBVAHIAaQBuAGUAQQBuAGQARAB1AG4AZw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zAF8AMQBfADEAMg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wBfADEAXwAxADIAXwBfADEAXwBMAGUAYQBjAGgAaQBuAGcAQQBuAGQAUgB1AG4AbwBmAGYARQBtAGkAcwBzAGkAbwBuAHMARgByAG8AbQBVAHIAaQBuAGUAQQBuAGQARAB1AG4AZwBPAG4AUABhAHMAdAB1AHIAZQBfAFYAYQByAGkAYQBiAGwAZQBcAG4AIAAgAD0ATABBAE0AQgBEAEEAKABcACIARQBfAE4AMgBPAGwAZQBhAGMAaABcACIAKQA7AFwAbgBcAG4AVgBFAEUAUgBHAF8ANABfADMAXwAxAF8AMQAyAF8AXwAxAF8ATABlAGEAYwBoAGkAbgBnAEEAbgBkAFIAdQBuAG8AZgBmAEUAbQBpAHMAcwBpAG8AbgBzAEYAcgBvAG0AVQByAGkAbgBlAEEAbgBkAEQAdQBuAGcATwBuAFAAYQBzAHQAdQByAGUAXwBVAG4AaQB0AFwAbgAgACAAPQBMAEEATQBCAEQAQQAoAFwAIgB0ACAATgAyAE8AXAAiACkAOwBcAG4AXABuAFYARQBFAFIARwBfADQAXwAzAF8AMQBfADEAMgBfAF8AMQBfAEwAZQBhAGMAaABpAG4AZwBBAG4AZABSAHUAbgBvAGYAZgBFAG0AaQBzAHMAaQBvAG4AcwBGAHIAbwBtAFUAcgBpAG4AZQBBAG4AZABEAHUAbgBnAE8AbgBQAGEAcwB0AHUAcgBlAF8AUwBvAHUAcgBjAGUAXABuACAAIAA9AEwAQQBNAEIARABBACgAXAAiAFYARQBFAFIARwAgADIAMAAyADYAOgAgADQALgAzAC4AMQAuADEAMgAsACAARQBxAHUAYQB0AGkAbwBuACAAKAAxACkAXAAiACkAOwBcAG4AXABuAFYARQBFAFIARwBfADQAXwAzAF8AMQBfADEAMgBfAF8AMQBfAEwAZQBhAGMAaABpAG4AZwBBAG4AZABSAHUAbgBvAGYAZgBFAG0AaQBzAHMAaQBvAG4AcwBGAHIAbwBtAFUAcgBpAG4AZQBBAG4AZABEAHUAbgBnAE8AbgBQAGEAcwB0AHUAcgBlAF8ATgBJAFIAUgBlAGYAZQByAGUAbgBjAGUAXABuACAAIAA9AEwAQQBNAEIARABBACgAXAAiAFwAIgApADsAXABuAFwAbgBWAEUARQBSAEcAXwA0AF8AMwBfADEAXwAxADI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zAF8AMQBfADEAMgBfAF8AMQBfAEwAZQBhAGMAaABpAG4AZwBBAG4AZABSAHUAbgBvAGYAZgBFAG0AaQBzAHMAaQBvAG4AcwBGAHIAbwBtAFUAcgBpAG4AZQBBAG4AZABEAHUAbgBnAE8AbgBQAGEAcwB0AHUAcgBlAF8AQQByAGcAdQBtAGUAbgB0AHMAXABuACAAIAA9AEwAQQBNAEIARABBACgAXABuACAAIAAgACAATQBBAEsARQBBAFIAUgBBAFkAKAAzACwAIAA0ACwAXABuACAAIAAgACAAIAAgAEwAQQBNAEIARABBACgAcgAsAGMALABcAG4AIAAgACAAIAAgACAAIAAgAEkATgBEAEUAWAAoAHsAXABuACAAIAAgACAAIAAgACAAIAAgACAAXAAiAE0AXwBsAGUAYQBjAGgAXwBtADEANABcACIALAAgAFwAIgBtAGEAcwBzACAAbwBmACAAbgBpAHQAcgBvAGcAZQBuACAAbABvAHMAdAAgAHQAbwAgAGwAZQBhAGMAaABpAG4AZwAgAGEAbgBkACAAcgB1AG4AbwBmAGYAIABmAHIAbwBtACAAdQByAGkAbgBlACAAYQBuAGQAIABmAGEAZQBjAGUAcwAgAGQAZQBwAG8AcwBpAHQAZQBkACAAbwBuACAAcABhAHMAdAB1AHIAZQBcACIALAAgAFwAIgBrAGcAIABOAFwAIgAsACAAXAAiAEMAYQBsAGMAdQBsAGEAdABlAGQAIABmAHIAbwBtACAANAAuADMALgAxAC4AMQAyACAAKAAyACkAXAAiADsAXABuACAAIAAgACAAIAAgACAAIAAgACAAXAAiAEUARgBfAGwAZQBhAGMAaABcACIALAAgAFwAIgBuAGkAdAByAG8AdQBzACAAbwB4AGkAZABlACA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QAyAF8AXwAyAF8ATQBhAHMAcwBPAGYATgBpAHQAcgBvAGcAZQBuAEwAbwBzAHQAVABvAEwAZQBhAGMAaABpAG4AZwBBAG4AZABSAHUAbgBvAGYAZgBPAG4AUABhAHMAdAB1AHIAZQBcAG4ATQBhAHMAcwAgAG8AZgAgAG4AaQB0AHIAbwBnAGUAbgAgAGwAbwBzAHQAIAB0AG8AIABsAGUAYQBjAGgAaQBuAGcAIABhAG4AZAAgAHIAdQBuAG8AZgBmACAAZgByAG8AbQAgAHUAcgBpAG4AZQAgAGEAbgBkACAAZgBhAGUAYwBlAHMAIABvAG4AIABwAGEAcwB0AHUAcgBlAFwAbgBNAF8AbABlAGEAYwBoAF8AbQAxADQAXABuAGsAZwAgAE4AXABuAE0AXwB7AGwAZQBhAGMAaAAsAG0APQAxADQAfQA9AE0ATgBfAHsAagBtAD0AMQA0AH0AXABcAHQAaQBtAGUAcwAgAEYAcgBhAGMAVwBlAHQAXABcAHQAaQBtAGUAcwAgAEYAcgBhAGMATABFAEEAQwBIAFwAbgBNAE4AXwBqAG0AMQA0ACAAPQAgAG0AYQBzAHMAIABvAGYAIABuAGkAdAByAG8AZwBlAG4AIABlAHgAYwByAGUAdABlAGQAIABvAG4AIABwAGEAcwB0AHUAcgBlACwAIAByAGEAbgBnAGUAIABhAG4AZAAgAHAAYQBkAGQAbwBjAGsAIABmAG8AcgAgAGUAYQBjAGgAIABkAGEAaQByAHkAIABjAGwAYQBzAHMAIAAoAGsAZwAgAE4AKQBcAG4ARgByAGEAYwBXAGUAdAAgAD0AIABmAHIAYQBjAHQAaQBvAG4AIABvAGYAIABOACAAYQB2AGEAaQBsAGEAYgBsAGUAIABmAG8AcgAgAGwAZQBhAGMAaABpAG4AZwAgAGEAbgBkACAAcgB1AG4AbwBmAGYAXABuAEYAcgBhAGMATABFAEEAQwBI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MQAyAF8AXwAyAF8ATQBhAHMAcwBPAGYATgBpAHQAcgBvAGcAZQBuAEwAbwBzAHQAVABvAEwAZQBhAGMAaABpAG4AZwBBAG4AZABSAHUAbgBvAGYAZgBPAG4AUABhAHMAdAB1AHIAZQBcAG4AIAAgAD0ATABBAE0AQgBEAEEAKABcAG4AIAAgACAAIABNAE4AXwBqAG0AMQA0ACwAIABGAHIAYQBjAFcAZQB0ACwAIABGAHIAYQBjAEwARQBBAEMASAAsAFwAbgAgACAAIAAgAE0ATgBfAGoAbQAxADQAIAAqACAARgByAGEAYwBXAGUAdAAgACoAIABGAHIAYQBjAEwARQBBAEMASABcAG4AIAAgACkAOwBcAG4AXABuAFYARQBFAFIARwBfADQAXwAzAF8AMQBfADEAMgBfAF8AMgBfAE0AYQBzAHMATwBmAE4AaQB0AHIAbwBnAGUAbgBMAG8AcwB0AFQAbwBMAGUAYQBjAGgAaQBuAGcAQQBuAGQAUgB1AG4AbwBmAGYATwBuAFAAYQBzAHQAdQByAGUAXwBUAGkAdABsAGUAXABuACAAIAA9AEwAQQBNAEIARABBACgAXAAiAE0AYQBzAHMAIABvAGYAIABuAGkAdAByAG8AZwBlAG4AIABsAG8AcwB0ACAAdABvACAAbABlAGEAYwBoAGkAbgBnACAAYQBuAGQAIAByAHUAbgBvAGYAZgAgAGYAcgBvAG0AIAB1AHIAaQBuAGUAIABhAG4AZAAgAGYAYQBlAGMAZQBzACAAbwBuACAAcABhAHMAdAB1AHIAZQBcACIAKQA7AFwAbgBcAG4AVgBFAEUAUgBHAF8ANABfADMAXwAxAF8AMQAyAF8AXwAyAF8ATQBhAHMAcwBPAGYATgBpAHQAcgBvAGcAZQBuAEwAbwBzAHQAVABvAEwAZQBhAGMAaABpAG4AZwBBAG4AZABSAHUAbgBvAGYAZgBPAG4AUABhAHMAdAB1AHIAZQBfAFYAYQByAGkAYQBiAGwAZQBcAG4AIAAgAD0ATABBAE0AQgBEAEEAKABcACIATQBfAGwAZQBhAGMAaABfAG0AMQA0AFwAIgApADsAXABuAFwAbgBWAEUARQBSAEcAXwA0AF8AMwBfADEAXwAxADIAXwBfADIAXwBNAGEAcwBzAE8AZgBOAGkAdAByAG8AZwBlAG4ATABvAHMAdABUAG8ATABlAGEAYwBoAGkAbgBnAEEAbgBkAFIAdQBuAG8AZgBmAE8AbgBQAGEAcwB0AHUAcgBlAF8AVQBuAGkAdABcAG4AIAAgAD0ATABBAE0AQgBEAEEAKABcACIAawBnACAATgBcACIAKQA7AFwAbgBcAG4AVgBFAEUAUgBHAF8ANABfADMAXwAxAF8AMQAyAF8AXwAyAF8ATQBhAHMAcwBPAGYATgBpAHQAcgBvAGcAZQBuAEwAbwBzAHQAVABvAEwAZQBhAGMAaABpAG4AZwBBAG4AZABSAHUAbgBvAGYAZgBPAG4AUABhAHMAdAB1AHIAZQBfAFMAbwB1AHIAYwBlAFwAbgAgACAAPQBMAEEATQBCAEQAQQAoAFwAIgBWAEUARQBSAEcAIAAyADAAMgA2ADoAIAA0AC4AMwAuADEALgAxADIALAAgAEUAcQB1AGEAdABpAG8AbgAgACgAMgApAFwAIgApADsAXABuAFwAbgBWAEUARQBSAEcAXwA0AF8AMwBfADEAXwAxADIAXwBfADIAXwBNAGEAcwBzAE8AZgBOAGkAdAByAG8AZwBlAG4ATABvAHMAdABUAG8ATABlAGEAYwBoAGkAbgBnAEEAbgBkAFIAdQBuAG8AZgBmAE8AbgBQAGEAcwB0AHUAcgBlAF8ATgBJAFIAUgBlAGYAZQByAGUAbgBjAGUAXABuACAAIAA9AEwAQQBNAEIARABBACgAXAAiAFwAIgApADsAXABuAFwAbgBWAEUARQBSAEcAXwA0AF8AMwBfADEAXwAxADIAXwBfADIAXwBNAGEAcwBzAE8AZgBOAGkAdAByAG8AZwBlAG4ATABvAHMAdABUAG8ATABlAGEAYwBoAGkAbgBnAEEAbgBkAFIAdQBuAG8AZgBmAE8AbgBQAGEAcwB0AHUAcgBlAF8ATABhAHQAZQB4AEUAcQB1AGEAdABpAG8AbgBcAG4AIAAgAD0ATABBAE0AQgBEAEEAKABcACIATQBfAHsAbABlAGEAYwBoACwAbQA9ADEANAB9AD0AXABcAHMAdQBtAFwAXABuAG8AbABpAG0AaQB0AHMAXwB7AGoAfQAoAE0ATgBfAHsAagBtAD0AMQA0AH0AXABcAHQAaQBtAGUAcwAgAEYAcgBhAGMAVwBlAHQAXABcAHQAaQBtAGUAcwAgAEYAcgBhAGMATABFAEEAQwBIACkAXAAiACkAOwBcAG4AXABuAFYARQBFAFIARwBfADQAXwAzAF8AMQBfADEAMgBfAF8AMgBfAE0AYQBzAHMATwBmAE4AaQB0AHIAbwBnAGUAbgBMAG8AcwB0AFQAbwBMAGUAYQBjAGgAaQBuAGcAQQBuAGQAUgB1AG4AbwBmAGYATwBuAFAAYQBzAHQAdQByAGUAXwBBAHIAZwB1AG0AZQBuAHQAcwBcAG4AIAAgAD0ATABBAE0AQgBEAEEAKABcAG4AIAAgACAAIABNAEEASwBFAEEAUgBSAEEAWQAoADY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VwBlAHQAXAAiACwAIABcACIAZgByAGEAYwB0AGkAbwBuACAAbwBmACAATgAgAGEAdgBhAGkAbABhAGIAbABlACAAZgBvAHIAIABsAGUAYQBjAGgAaQBuAGcAIABhAG4AZAAgAHIAdQBuAG8AZgBmAFwAIgAsACAAXAAiAFwAIgAsACAAXAAiAEMAbwBuAHMAdABhAG4AdABcACIAOwBcAG4AIAAgACAAIAAgACAAIAAgACAAIABcACIARgByAGEAYwBMAEUAQQBDAEgAXAAiACwAIABcACIAZgByAGEAYwB0AGkAbwBuACAAbwBmACAATgAgAGwAbwBzAHQAIAB0AGgAcgBvAHUAZwBoACAAbABlAGEAYwBoAGkAbgBnACAAYQBuAGQAIAByAHUAbgBvAGYAZgBcACIALAAgAFwAI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FwAdQAwADAAMgA3AFIAZQBmAGUAcgBlAG4AYwBlAFwAdQAwADAAMgA3ACwAIABhAHMAIAB0AGgAZQAgAHYAYQBsAHUAZQAgAGkAcwAgAGMAbwBuAHMAaQBzAHQAZQBuAHQAbAB5ACAAXAB1ADAAMAAyADcARABhAGkAcgB5ACAAQQB1AHMAdAByAGEAbABpAGEAIABbADEAXQBcAHUAMAAwADIANwAgAGEAbgBkACAAaQBzACAAbgBvAHQAIAB1AHMAZQBkACAAaQBuACAAYwBhAGwAYwB1AGwAYQB0AGkAbwBuAC4AXAAiACkAOwBcAG4AXABuAFMAbwB1AHIAYwBlAEQAYQB0AGEAXwBEAGEAaQByAHkAXwBMAGkAdgBlAHcAZQBpAGcAaAB0AEMAbwB3AHMAQQBuAGQASABlAGkAZgBlAHIAcwBfAEQAYQB0AGEAXABuACAAIAA9AEwAQQBNAEIARABBACgAXABuACAAIAAgACAATQBBAEsARQBBAFIAUgBBAFkAKAAxADEALAAgADQALABcAG4AIAAgACAAIAAgACAATABBAE0AQgBEAEEAKAByACwAYwAsAFwAbgAgACAAIAAgACAAIAAgACAASQBOAEQARQBYACgAewBcAG4AIAAgACAAIAAgACAAIAAgACAAIABcACIAQgByAGUAZQBkAFwAIgAsACAAXAAiAE0AaQBsAGsAaQBuAGcAIABDAG8AdwBzAFwAIgAsACAAXAAiAEgAZQBpAGYAZQByAHMAIABcAHUAMAAwADMAZQAxAFwAIgAsACAAXAAiAEgAZQBpAGYAZQByAHMAIABcAHUAMAAwADMAYw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BcAHUAMAAwADMAZQAxAFwAIgAsACAAXAAiAEIAdQBsAGwAcwAgAFwAdQAwADAAMwBj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UAOQAwACwAIAA1ADkAMAAsACAANQA5ADAALAAgADcANwAwACwAIAA3ADc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AAcgBlAFcAZQBhAG4AZQBkAEMAYQBsAHYAZQBzAFwAbgBUAGEAYgBsAGUAIABBAC4AMQAuADMALgA1ADoAIABEAGEAaQByAHkAIABjAGEAdAB0AGwAZQAgAC0AIABEAGEAdABhACAAZgBvAHIAIABwAHIAZQAgAC0AIAB3AGUAYQBuAGUAZAAgAGMAYQBsAHYAZQBzAFwAbgAtAC0ALQAtAC0ALQAtAC0ALQAtAC0ALQAtAC0ALQAtAC0ALQAtAC0ALQAtAC0ALQAtAC0ALQAtAC0ALQAtAC0ALQAtAC0ALQAtAC0AXABuACoALwBcAG4AXABuAFMAbwB1AHIAYwBlAEQAYQB0AGEAXwBEAGEAaQByAHkAXwBQAHIAZQBXAGUAYQBuAGUAZABDAGEAbAB2AGUAcwBfAFQAaQB0AGwAZQBcAG4AIAAgAD0ATABBAE0AQgBEAEEAKABcACIAVABhAGIAbABlACAAQQAuADEALgAzAC4ANQA6ACAARABhAGkAcgB5ACAAYwBhAHQAdABsAGUAIAAtACAARABhAHQAYQAgAGYAbwByACAAcAByAGUAIAAtACAAdwBlAGEAbgBlAGQAIABjAGEAbAB2AGUAcwBcACIAKQA7AFwAbgBcAG4AUwBvAHUAcgBjAGUARABhAHQAYQBfAEQAYQBpAHIAeQBfAFAAcgBlAFcAZQBhAG4AZQBkAEMAYQBsAHYAZQBzAF8AVgBhAHIAaQBhAGIAbABlAFwAbgAgACAAPQBMAEEATQBCAEQAQQAoAFwAIgBWAFMAagA9ADMALAA1ADsAIABOAFAAVwBqAD0AMwAsADUAXAAiACkAOwBcAG4AXABuAFMAbwB1AHIAYwBlAEQAYQB0AGEAXwBEAGEAaQByAHkAXwBQAHIAZQBXAGUAYQBuAGUAZABDAGEAbAB2AGUAcwBfAFUAbgBpAHQAXABuACAAIAA9AEwAQQBNAEIARABBACgAXAAiAGsAZwAvAGQAYQB5AFwAIgApADsAXABuAFwAbgBTAG8AdQByAGMAZQBEAGEAdABhAF8ARABhAGkAcgB5AF8AUAByAGUAVwBlAGEAbgBlAGQAQwBhAGwAdgBlAHMAXwBTAG8AdQByAGMAZQBcAG4AIAAgAD0ATABBAE0AQgBEAEEAKABcACIAVgBFAEUAUgBHACAAMgAwADIANgA6ACAAVABhAGIAbABlACAAQQAuADEALgAzAC4ANQBcACIAKQA7AFwAbgBcAG4AUwBvAHUAcgBjAGUARABhAHQAYQBfAEQAYQBpAHIAeQBfAFAAcgBlAFcAZQBhAG4AZQBkAEMAYQBsAHYAZQBzAF8AVgBhAHIAaQBhAHQAaQBvAG4AXABuACAAIAA9AEwAQQBNAEIARABBACgAXAAiAFYAQQBSAEkAQQBUAEkATwBOACAATwBGACAAUwBPAFUAUgBDAEUAOgAgAEEAZABkAGUAZAAgAFwAdQAwADAAMgA3AEEAbgBpAG0AYQBsACAAYwBsAGEAcwBzACAAagBcAHUAMAAwADIAN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BcAHUAMAAwADMAYwAxAFwAIgAsACAAMAAuADAAMQA3ADYALAAgADAALgAyADYAOAA1ACwAIAAwAC4AMAAxADMANwA7AFwAbgAgACAAIAAgACAAIAAgACAAIAAgAFwAIgBCAHUAbABsAHMAXAB1ADAAMAAzAGM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NAEMARgBfAEQAYQB0AGEAXABuACAAIAA9AEwAQQBNAEIARABBACgAXABuACAAIAAgACAATQBBAEsARQBBAFIAUgBBAFkAKAA3ACwAIAAxADAALABcAG4AIAAgACAAIAAgACAATABBAE0AQgBEAEEAKAByACwAYwAsAFwAbgAgACAAIAAgACAAIAAgACAASQBOAEQARQBYACgAewBcAG4AIAAgACAAIAAgACAAIAAgACAAIABcACIATQBNAFMAIABtAFwAIgAsACAAXAAiAEEAQwBUAFwAIgAsACAAXAAiAE4AUwBXAFwAIgAsACAAXAAiAE4AVABcACIALAAgAFwAIgBRAEwARABcACIALAAgAFwAIgBTAEEAXAAiACwAIABcACIAVABBAFMAXAAiACwAIABcACIAVgBJAEMAXAAiACwAIABcACIAVwBBAFwAIgAsACAAXAAiAE4ASQBSACAAcgBlAGYAZQByAGUAbgBjAGUAXAAiADsAXABuACAAIAAgACAAIAAgACAAIAAgACAAXAAiAFAAYQBzAHQAdQByAGUAXAAiACwAIAAwAC4AMAAxACwAIAAwAC4AMAAxACwAIAAwAC4AMAAyACwAIAAwAC4AMAAxACwAIAAwAC4AMAAxACwAIAAwAC4AMAAxACwAIAAwAC4AMAAxACwAIAAwAC4AMAAxACwAIABcACIAUABhAHMAdAB1AHIAZQAgAHIAYQBuAGcAZQAgAGEAbgBkACAAcABhAGQAZABvAGMAawBcACIAOwBcAG4AIAAgACAAIAAgACAAIAAgACAAIABcACIAQQBuAGEAZQByAG8AYgBpAGMAIABsAGEAZwBvAG8AbgBcACIALAAgADAALgA3ADIALAAgADAALgA3ADYALAAgADAALgA4ACwAIAAwAC4ANwA4ACwAIAAwAC4ANwA0ACwAIAAwAC4ANgA5ACwAIAAwAC4ANwAzACwAIAAwAC4ANwA2ACwAIABcACIAQQBuAGEAZQByAG8AYgBpAGMAIABsAGEAZwBvAG8AbgBcACIAOwBcAG4AIAAgACAAIAAgACAAIAAgACAAIABcACIARABhAGkAbAB5ACAAcwBwAHIAZQBhAGQAIAAtACAAUwB1AG0AcAAgAGEAbgBkACAAZABpAHMAcABlAHIAcwBhAGwAIABzAHkAcwB0AGUAbQBzAFwAIgAsACAAMAAuADAAMAA1ACwAIAAwAC4AMAAwADUALAAgADAALgAwADEALAAgADAALgAwADAANQAsACAAMAAuADAAMAA1ACwAIAAwAC4AMAAwADEALAAgADAALgAwADAANQAsACAAMAAuADAAMAA1ACwAIABcACIAUwB1AG0AcAAgAGEAbgBkACAAZABpAHMAcABlAHIAcwBhAGwAIABzAHkAcwB0AGUAbQBcACIAOwBcAG4AIAAgACAAIAAgACAAIAAgACAAIABcACIARABhAGkAbAB5ACAAcwBwAHIAZQBhAGQAIAAtACAARAByAGEAaQBuAHMAIAB0AG8AIABwAGEAZABkAG8AYwBrAHMAIAAoAGEAKQBcACIALAAgADAALgAxADUALAAgADAALgAxADgALAAgADAALgA1ADAALAAgADAALgAyADQALAAgADAALgAxADcALAAgADAALgAxADMALAAgADAALgAxADcALAAgADAALgAxADgALAAgAFwAIgBEAHIAYQBpAG4AcwAgAHQAbwAgAHAAYQBkAGQAbwBjAGsAXAAiADsAXABuACAAIAAgACAAIAAgACAAIAAgACAAXAAiAFMAbwBsAGkAZAAgAFMAdABvAHIAYQBnAGUAXAAiACwAIAAwAC4AMAAyACwAIAAwAC4AMAAyACwAIAAwAC4AMAAyACwAIAAwAC4AMAAyACwAIAAwAC4AMAAyACwAIAAwAC4AMAAyACwAIAAwAC4AMAAyACwAIAAwAC4AMAAyACwAIABcACIAUwBvAGwAaQBkACAAcwB0AG8AcgBhAGcAZQBcACIAOw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4AaQB0AHIAbwB1AHMATwB4AGkAZABlAEUARgBzAEEAbgBkAEYAcgBhAGMARwBBAFMATQBcAG4AVABhAGIAbABlACAAQQAuADEALgAzAC4ANwA6ACAARABhAGkAcgB5ACAAYwBhAHQAdABsAGUAIAAtACAATgBpAHQAcgBvAHUAcwAgAG8AeABpAGQAZQAgAEUARgBzACAAYQBuAGQAIABmAHIAYQBjAHQAaQBvAG4AIABvAGYAIABOACAAdgBvAGwAYQB0AGkAbABpAHMAZQBkACAAYgB5ACAATQBNAFMAXABuAC0ALQAtAC0ALQAtAC0ALQAtAC0ALQAtAC0ALQAtAC0ALQAtAC0ALQAtAC0ALQAtAC0ALQAtAC0ALQAtAC0ALQAtAC0ALQAtAC0ALQBcAG4AKgAvAFwAbgBcAG4AUwBvAHUAcgBjAGUARABhAHQAYQBfAEQAYQBpAHIAeQBfAE4AaQB0AHIAbwB1AHMATwB4AGkAZABlAEUARgBzAEEAbgBkAEYAcgBhAGMARwBBAFMATQBfAFQAaQB0AGwAZQBcAG4AIAAgAD0ATABBAE0AQgBEAEEAKABcACIAVABhAGIAbABlACAAQQAuADEALgAzAC4ANwA6ACAARABhAGkAcgB5ACAAYwBhAHQAdABsAGUAIAAtACAATgBpAHQAcgBvAHUAcwAgAG8AeABpAGQAZQAgAEUARgBzACAAYQBuAGQAIABmAHIAYQBjAHQAaQBvAG4AIABvAGYAIABOACAAdgBvAGwAYQB0AGkAbABpAHMAZQBkACAAYgB5ACAATQBNAFMAXAAiACkAOwBcAG4AXABuAFMAbwB1AHIAYwBlAEQAYQB0AGEAXwBEAGEAaQByAHkAXwBOAGkAdAByAG8AdQBzAE8AeABpAGQAZQBFAEYAcwBBAG4AZABGAHIAYQBjAEcAQQBTAE0AXwBWAGEAcgBpAGEAYgBsAGUAXABuACAAIAA9AEwAQQBNAEIARABBACgAXAAiAEUARgBtADsAIABGAHIAYQBjAEcAQQBTAE0AbQBcACIAKQA7AFwAbgBcAG4AUwBvAHUAcgBjAGUARABhAHQAYQBfAEQAYQBpAHIAeQBfAE4AaQB0AHIAbwB1AHMATwB4AGkAZABlAEUARgBzAEEAbgBkAEYAcgBhAGMARwBBAFMATQBfAFUAbgBpAHQAXABuACAAIAA9AEwAQQBNAEIARABBACgAXAAiAGsAZwAgAE4AMgBPAC0ATgAvAGsAZwAgAE4AIABlAHgAYwByAGUAdABlAGQAXAAiACkAOwBcAG4AXABuAFMAbwB1AHIAYwBlAEQAYQB0AGEAXwBEAGEAaQByAHkAXwBOAGkAdAByAG8AdQBzAE8AeABpAGQAZQBFAEYAcwBBAG4AZABGAHIAYQBjAEcAQQBTAE0AXwBTAG8AdQByAGMAZQBcAG4AIAAgAD0ATABBAE0AQgBEAEEAKABcACIAVgBFAEUAUgBHACAAMgAwADIANgA6ACAAVABhAGIAbABlACAAQQAuADEALgAzAC4ANwBcACIAKQA7AFwAbgBcAG4AUwBvAHUAcgBjAGUARABhAHQAYQBfAEQAYQBpAHIAeQBfAE4AaQB0AHIAbwB1AHMATwB4AGkAZABlAEUARgBzAEEAbgBkAEYAcgBhAGMARwBBAFMATQ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FwAdQAwADAAMwBjACAAMQAgAHkAZQBhAHIAXAAiACwAIAAwAC4AMAAxADcANgA7AFwAbgAgACAAIAAgACAAIAAgACAAIAAgAFwAIgBCAHUAbABsAHMAIABcAHUAMAAwADMAYw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BcAHUAMAAwADIANwBBAG4AbgB1AGEAbAAgAGYAcgBhAGMAdABpAG8AbgAgAG8AZgAgAHQAaQBtAGUAIABzAHAAZQBuAHQAIABwAGUAcgAgAGEAcgBlAGEAXAB1ADAAMAAyADcAIAByAG8AdwAgAGEAcwAgAHQAaABpAHMAIABpAG4AZgBvAHIAbQBhAHQAaQBvAG4AIABpAHMAIABpAG4AIAB0AGgAZQAgAHQAYQBiAGwAZQAgAHQAaQB0AGwAZQAuAFwAIgApADsAXABuAFwAbgBTAG8AdQByAGMAZQBEAGEAdABhAF8ARABhAGkAcgB5AF8ARgByAGEAYwB0AGkAbwBuAFYAbwBsAGEAdABpAGwAZQBTAG8AbABpAGQAcwBWAG8AaQBkAGUAZABNAE0AUwBfAEQAYQB0AGEAXABuACAAIAA9AEwAQQBNAEIARABBACgAXABuACAAIAAgACAATQBBAEsARQBBAFIAUgBBAFkAKAA1ACwAIAA0ACwAXABuACAAIAAgACAAIAAgAEwAQQBNAEIARABBACgAcgAsAGMALABcAG4AIAAgACAAIAAgACAAIAAgAEkATgBEAEUAWAAoAHsAXABuACAAIAAgACAAIAAgACAAIAAgACAAXAAiAEEAcgBlAGEAXAAiACwAIABcACIAUABhAHMAdAB1AHIAZQBcACIALAAgAFwAIgBNAGkAbABrAGkAbgBnACAAUwBoAGUAZABcACIALAAgAFwAIgBGAGUAZQBkAHAAYQBkAFwAIgA7AFwAbgAgACAAIAAgACAAIAAgACAAIAAgAFwAIgBTAHkAcwB0AGUAbQAgADEAOgAgAEcAcgBhAHoAZQBkACAATwBuAGwAeQBcACIALAAgADAALgA4ADkALAAgADAALgAxADEALAAgADAAOwBcAG4AIAAgACAAIAAgACAAIAAgACAAIABcACIAUwB5AHMAdABlAG0AIAAyADoAIABPAG4AIABmAGUAZQBkAHAAYQBkACAAZgBvAHIAIABcAHUAMAAwADMAYwAxADAAIABoAHIALwBkAGEAeQAgAGYAbwByACAAXAB1ADAAMAAzAGM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FwAdQAwADAAMwBlACAAMQAgAHkAZQBhAHIAXAAiACwAIAAzADYANQAsACAAMAA7AFwAbgAgACAAIAAgACAAIAAgACAAIAAgAFwAIgBIAGUAaQBmAGUAcgBzACAAXAB1ADAAMAAzAGMAIAAxACAAeQBlAGEAcgBcACIALAAgADIAOAAxACwAIAA4ADQAOwBcAG4AIAAgACAAIAAgACAAIAAgACAAIABcACIAQgB1AGwAbABzACAAXAB1ADAAMAAzAGUAIAAxACAAeQBlAGEAcgBcACIALAAgADMANgA1ACwAIAAwADsAXABuACAAIAAgACAAIAAgACAAIAAgACAAXAAiAEIAdQBsAGwAcwAgAFwAdQAwADAAMwBj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FwAdQAwADAAMgA3AEIAYQBzAGkAcwBcAHUAMAAwADIANwAgAGMAbwBsAHUAbQBuACAAdABvACAAYQBsAGwAbwB3ACAAYwByAG8AcwBzAC0AcgBlAGYAZQByAGUAbgBjAGkAbgBnACAAdwBpAHQAaAAgAHQAYQBiAGwAZQAg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OwBcAG4AIAAgAFwAIgBBAGQAZABlAGQAIABlAHgAdAByAGEAIABmAGUAcgB0AGkAbABpAHMAZQByACAAdAB5AHAAZQBzACAAYQBuAGQAIABnAGUAbgBlAHIAaQBjACAAYwBoAGUAbQBpAGMAYQBsACAAYwBvAG0AcABvAHUAbgBkAHMAIAB0AG8AIABhAGwAbABvAHcAIABmAG8AcgAgAGMAdQBzAHQAbwBtACAATgBQAEsAUwAgAGIAbABlAG4AZABzAFwAIgA7AFwAbgAgACAAXAAiAEEAZABkAGUAZAAgAGUAeAB0AHIAYQAgAFwAdQAwADAAMgA3AFMAYwBvAHAAZQAgADMAIABkAGUAZgBpAG4AaQB0AGkAbwBuAFwAdQAwADAAMgA3ACAAYwBvAGwAdQBtAG4AIAB0AG8AIABhAGwAbABvAHcAIABtAGEAcABwAGkAbgBnACAAdwBpAHQAaAAgAHMAYwBvAHAAZQAgADMAIABkAGEAdABhAFwAIgA7AFwAbgAgACAAXAAiAEEAZABkAGUAZAAgAFwAdQAwADAAMgA3AFMAbwB1AHIAYwBlAFwAdQAwADAAMgA3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FwAdQAwADAAMgA3AFIAZQBmAGUAcgBlAG4AYwBlAHMAXAB1ADAAMAAyADcAIABjAG8AbAB1AG0AbgBcACIAOwBcAG4AIAAgAFwAIgBFAHgAYwBsAHUAZABlAGQAIABcAHUAMAAwADIANwBBAG0AbQBvAG4AaQB1AG0AIABzAHUAbABmAGEAdABlAFwAdQAwADAAMgA3ACAAYQBzACAAaQB0ACAAaQBzACAAYQAgAGQAdQBwAGwAaQBjAGEAdABlACAAbwBmACAAXAB1ADAAMAAyADcAUwB1AGwAcABoAGEAdABlACAAbwBmACAAYQBtAG0AbwBuAGkAYQAgACgAUwBPAEEAKQBcAHUAMAAwADIANwBcACIAOwBcAG4AIAAgAFwAIgBFAHgAYwBsAHUAZABlAGQAIABcAHUAMAAwADIANwBDAGEAbABjAGkAdQBtACAAbgBpAHQAcgBhAHQAZQBcAHUAMAAwADIANwAgAGEAcwAgAG4AbwAgAHMAYwBvAHAAZQAgADMAIAB2AGEAbAB1AGUAIABhAHYAYQBpAGwAYQBiAGwAZQAuAFwAIgA7AFwAbgAgACAAXAAiAFMAZQB0ACAAXAB1ADAAMAAyADcATgBpAHQAcgBvAGcAZQBuACAALQAgAEcAZQBuAGUAcgBpAGMAXAB1ADAAMAAyADcAIABiAGEAcwBpAHMAIABhAHMAIABcAHUAMAAwADIANwBVAHIAZQBhAC0AYgBhAHMAZQBkACAAZgBlAHIAdABpAGwAaQBzAGUAcgBzACwAIABhAHMAIAB1AHIAZQBhACAAaQBzACAAdABoAGUAIABtAG8AcwB0ACAAYwBvAG0AbQBvAG4AbAB5ACAAdQBzAGUAZAAgAGYAbwByAG0AIABvAGYAIABuAGkAdAByAG8AZwBlAG4AIABpAG4AIABBAHUAcwB0AHIAYQBsAGkAYQBuACAAZgBlAHIAdABpAGwAaQBzAGUAcgBzAFwAIgA7AFwAbgAgACAAXAAiAFMAZQB0ACAAXAB1ADAAMAAyADcAVQByAGUAYQAtAGEAbQBtAG8AbgBpAHUAbQAgAG4AaQB0AHIAYQB0AGUAXAB1ADAAMAAyADcAIABiAGEAcwBpAHMAIABhAHMAIABcAHUAMAAwADIANwBVAHIAZQBhAC0AYgBhAHMAZQBkACAAZgBlAHIAdABpAGwAaQBzAGUAcgBcAHUAMAAwADIAN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C8AKgBcAG4ARgBlAHIAdABpAGwAaQBzAGUAcgAgAHAAcgBvAGQAdQBjAHQAIABkAGEAdABhACAALQAgAEUAeABjAGUAbAAgAE0AQQBLAEUAQQBSAFIAQQBZACAAZQB4AHAAbwByAHQAXABuAC0ALQAtAC0ALQAtAC0ALQAtAC0ALQAtAC0ALQAtAC0ALQAtAC0ALQAtAC0ALQAtAC0ALQAtAC0ALQAtAC0ALQAtAC0ALQAtAC0ALQAtAC0ALQAtAC0ALQAtAC0ALQAtAC0ALQAtAC0ALQAtAC0ALQAtAC0ALQAtAFwAbgBQAHIAbwBkAHUAYwB0AHMAOgAgADEAMwA0ACAAKABJAG4AYwBsAHUAZABlACAAbwBuAGwAeQA7ACAAYwBvAG0AYgBpAG4AZQBkACAAZgByAG8AbQAgAG0AYQBpAG4AIAArACAAYgBhAHQAYwBoACAAMQAgACsAIABiAGEAdABjAGgAIAAyACAAdwBvAHIAawBiAG8AbwBrAHMAKQBcAG4AQQByAHIAYQB5AHMAOgAgADUAIAB8ACAAUgBvAHcAcwAgAHAAZQByACAAYQByAHIAYQB5ADoAIAAzADAAIAAoAGYAaQBuAGEAbAAgAGEAcgByAGEAeQA6ACAAMQA0ACkAIAB8ACAAQwBvAGwAdQBtAG4AcwA6ACAAMwAxAFwAbgBcAG4ARQB4AGMAbAB1AGQAZQBkACAAYwBvAGwAdQBtAG4AcwA6ACAASQBuAGMAbAB1AGQAZQAgAG8AcgAgAGUAeABjAGwAdQBkAGUALAAgAEEAbgBhAGwAeQBzAGkAcwAgAGIAYQBzAGUALAAgAEEAbgBhAGwAeQBzAGkAcwAgAHMAbwB1AHIAYwBlACwAIABBAG4AYQBsAHkAcwBpAHMAIABmAGwAYQBnACwAIABOAG8AdABlAHMALAAgAEwAaQBuAGsALAAgAEQAYQB0AGEAIABzAG8AdQByAGMAZQAsACAARQBOAEQAIABSAE8AVwAuAFwAbgBJAG4AZwByAGUAZABpAGUAbgB0ACAAcABlAHIAYwBlAG4AdAAgAHYAYQBsAHUAZQBzACAAYQByAGUAIABlAHYAYQBsAHUAYQB0AGUAZAAgAGQAZQBjAGkAbQBhAGwAIABmAHIAYQBjAHQAaQBvAG4AcwAgACgAPQA0ADYALwAxADAAMAAgAC0AXAB1ADAAMAAzAGUAIAAwAC4ANAA2ACkAOwAgAGUAbQBwAHQAeQAgAGMAZQBsAGwAcwAgAGEAcgBlACAAXAAiAFwAIgAuAFwAbgBcAG4AQwBvAGwAdQBtAG4AIABvAHIAZABlAHIAIAAoADMAMQApADoAXABuACAAIAAxAC4AIABDAG8AbQBwAGEAbgB5AFwAbgAgACAAMgAuACAAUAByAG8AZAB1AGMAdAAgAG4AYQBtAGUAXABuACAAIAAzAC4AIABVAG4AaQB0AFwAbgAgACAANAAuACAARABlAG4AcwBpAHQAeQBcAG4AIAAgADUALgAgAEMAbwBuAHQAYQBpAG4AcwAgAGkAbgBoAGkAYgBpAHQAbwByAFwAbgAgACAANgAuACAAVQByAGUAYQAgAHMAbwB1AHIAYwBlAFwAbgAgACAANwAuACAAQQBtAG0AbwBuAGkAYQAgAHMAbwB1AHIAYwBlAFwAbgAgACAAOAAuACAATgAgAGQAZQBjAGwAYQByAGUAZABcAG4AIAAgADkALgAgAFAAIABkAGUAYwBsAGEAcgBlAGQAXABuACAAIAAxADAALgAgAEsAIABkAGUAYwBsAGEAcgBlAGQAXABuACAAIAAxADEALgAgAFMAIABkAGUAYwBsAGEAcgBlAGQAXABuACAAIAAxADIALgAgAEkAbgBnAHIAZQBkAGkAZQBuAHQAIAAxAFwAbgAgACAAMQAzAC4AIABJAG4AZwByAGUAZABpAGUAbgB0ACAAMQAgAHAAZQByAGMAZQBuAHQAXABuACAAIAAxADQALgAgAEkAbgBnAHIAZQBkAGkAZQBuAHQAIAAyAFwAbgAgACAAMQA1AC4AIABJAG4AZwByAGUAZABpAGUAbgB0ACAAMgAgAHAAZQByAGMAZQBuAHQAXABuACAAIAAxADYALgAgAEkAbgBnAHIAZQBkAGkAZQBuAHQAIAAzAFwAbgAgACAAMQA3AC4AIABJAG4AZwByAGUAZABpAGUAbgB0ACAAMwAgAHAAZQByAGMAZQBuAHQAXABuACAAIAAxADgALgAgAEkAbgBnAHIAZQBkAGkAZQBuAHQAIAA0AFwAbgAgACAAMQA5AC4AIABJAG4AZwByAGUAZABpAGUAbgB0ACAANAAgAHAAZQByAGMAZQBuAHQAXABuACAAIAAyADAALgAgAEkAbgBnAHIAZQBkAGkAZQBuAHQAIAA1AFwAbgAgACAAMgAxAC4AIABJAG4AZwByAGUAZABpAGUAbgB0ACAANQAgAHAAZQByAGMAZQBuAHQAXABuACAAIAAyADIALgAgAEkAbgBnAHIAZQBkAGkAZQBuAHQAIAA2AFwAbgAgACAAMgAzAC4AIABJAG4AZwByAGUAZABpAGUAbgB0ACAANgAgAHAAZQByAGMAZQBuAHQAXABuACAAIAAyADQALgAgAEkAbgBnAHIAZQBkAGkAZQBuAHQAIAA3AFwAbgAgACAAMgA1AC4AIABJAG4AZwByAGUAZABpAGUAbgB0ACAANwAgAHAAZQByAGMAZQBuAHQAXABuACAAIAAyADYALgAgAEkAbgBnAHIAZQBkAGkAZQBuAHQAIAA4AFwAbgAgACAAMgA3AC4AIABJAG4AZwByAGUAZABpAGUAbgB0ACAAOAAgAHAAZQByAGMAZQBuAHQAXABuACAAIAAyADgALgAgAEkAbgBnAHIAZQBkAGkAZQBuAHQAIAA5AFwAbgAgACAAMgA5AC4AIABJAG4AZwByAGUAZABpAGUAbgB0ACAAOQAgAHAAZQByAGMAZQBuAHQAXABuACAAIAAzADAALgAgAEkAbgBnAHIAZQBkAGkAZQBuAHQAIAAxADAAXABuACAAIAAzADEALgAgAEkAbgBnAHIAZQBkAGkAZQBuAHQAIAAxADAAIABwAGUAcgBjAGUAbgB0AFwAbgAgACAAXABuAC0ALQAtAC0ALQAtAC0ALQAtAC0ALQAtAC0ALQAtAC0ALQAtAC0ALQAtAC0ALQAtAC0ALQAtAC0ALQAtAC0ALQAtAC0ALQAtAC0ALQAtAC0ALQAtAC0ALQAtAC0ALQAtAC0ALQAtAC0ALQAtAC0ALQAtAC0ALQAtAFwAbgAqAC8AXABuAFwAbgBGAGUAcgB0AGkAbABpAHMAZQByAF8AUAByAG8AZAB1AGMAdABzAF8ARABhAHQAYQAxAFwAbgA9AEwAQQBNAEIARABBACgAXABuACAATQBBAEsARQBBAFIAUgBBAFkAKAAzADAALAAgADMAMQAsAFwAbgAgAEwAQQBNAEIARABBACgAcgAsAGMALABcAG4AIAAgAEkATgBEAEUAWAAoAHsAXABuAFwAIgBDAGEAbQBwAGIAZQBsAGwAcwAgAGYAZQByAHQAaQBsAGkAcwBlAHIAcwAgAEEAdQBzAHQAcgBhAGwAaQBhAFwAIgAsAFwAIgBBAHEAdQBhACAARgBpAG4AaQBzAGgAXAAiACwAXAAiAEwAXAAiACwAMQAuADIANgAsAFwAIgBcACIALABcACIAXAAiACwAXAAiAFwAIgAsADIALgA2ACwANAAsADIAMgAuADU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RwByAG8AdwBcACIALABcACIATABcACIALAAxAC4AMgA2ACwAXAAiAFwAIgAsAFwAIgBcACIALABcACIAXAAiACwAOQAuADYALAA1ACwAMQAwAC4ANQ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IABBAE4AXAAiACwAXAAiAEwAXAAiACwAMQAuADIANAAsAFwAIgBcACIALABcACIAXAAiACwAXAAiAFwAIgAsADIAMgAuADMALABcACIAXAAi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FwAIgAsAFwAIgBMAFwAIgAsADEALgA1ACwAXAAiAFwAIgAsAFwAIgBcACIALABcACIAXAAiACwAMQAzAC4AMgAsAFwAIgBcACIALABcACIAXAAiACwAXAAiAFwAIgAsAFwAIgBDAGEAbABjAGkAdQBt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CAAKABWAEkAKQBcACIALABcACIATABcACIALAAxAC4ANQAsAFwAIgBcACIALABcACIAXAAiACwAXAAiAFwAIgAsADEAMwAuADIALABcACIAXAAiACwAXAAiAFwAIgAsAFwAIgBcACIALABcACIAQwBhAGwAYwBpAHUAbQ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FUAbAB0AGkAbQBhAHQAZQBcACIALABcACIATABcACIALAAxAC4ANQAsAFwAIgBcACIALABcACIAXAAiACwAXAAiAFwAIgAsADEAMwAuADIALABcACIAXAAiACwAXAAiAFwAIgAsAFwAIgBcACIALABcACIAQwBhAGwAYwBpAHUAbQBcACIALAAwAC4AMQA4ADM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MAdABhAHIAdABcACIALABcACIATABcACIALAAxAC4AMgA1ACwAXAAiAFwAIgAsAFwAIgBcACIALABcACIAXAAiACwAMQAwAC4AMwAsADEAMAAsADMALgA0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QwBvAG0AcABsAGUAdABlAFwAIgAsAFwAIgBMAFwAIgAsADEALgA0ADMALABcACIAXAAiACwAXAAiAFwAIgAsAFwAIgBcACIALAAyAC4ANQAsADMALgA4ACwAMgAyAC4ANQAsAFwAIgBcACIALABcACIAUABvAHQAYQBzAHMAaQB1AG0AIAAtACAARwBlAG4AZQByAGkAYwBcACIALAAwAC4AMgAyADUALABcACIAUABoAG8AcwBwAGgAbwByAHUAcwAgAC0AIABHAGUAbgBlAHIAaQBjAFwAIgAsADAALgAwADMAOAAsAFwAIgBOAGkAdAByAG8AZwBlAG4AIAAtACAARwBlAG4AZQByAGkAYwBcACIALAAwAC4AMAAyADU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FAG0AZQByAGcAZQBcACIALABcACIATABcACIALAAxAC4AMgA5ACwAXAAiAFwAIgAsAFwAIgBcACIALABcACIAXAAiACwAMQAwAC4ANQAsADkALgA0ACwANAAsADM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GAGwAbwB1AHIAaQBzAGgAXAAiACwAXAAiAEwAXAAiACwAMQAuADMAMgAsAFwAIgBcACIALABcACIAXAAiACwAXAAiAFwAIgAsADkALgA1ACwANAAuADcALAAxADAALgA4ACwAOAAuADE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OwBcAG4AXAAiAEMAYQBtAHAAYgBlAGwAbABzACAAZgBlAHIAdABpAGwAaQBzAGUAcgBzACAAQQB1AHMAdAByAGEAbABpAGEAXAAiACwAXAAiAEIAbwBvAHMAdAAtAEkAdABcACIALABcACIAawBnAFwAIgAsADEALABcACIAXAAiACwAXAAiAFwAIgAsAFwAIgBcACIALAAyADQALAA1AC4AMgAsADgALAA1AC4AMwAsAFwAIgBVAHIAZQBhAFwAIgAsADAALgA1ADIAMQA3ADMAOQ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OwBcAG4AXAAiAEMAYQBtAHAAYgBlAGwAbABzACAAZgBlAHIAdABpAGwAaQBzAGUAcgBzACAAQQB1AHMAdAByAGEAbABpAGEAXAAiACwAXAAiAEIAcgBvAG4AegBlAFwAIgAsAFwAIgBrAGcAXAAiACwAMQAsAFwAIgBcACIALABcACIAXAAiACwAXAAiAFwAIgAsADEANwAsADAALgAwADQALAAxADEALgA2ACwAMAAuADUALABcACIATQB1AHIAaQBhAHQAZQAgAG8AZgAgAH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OwBcAG4AXAAiAEMAYQBtAHAAYgBlAGwAbABzACAAZgBlAHIAdABpAGwAaQBzAGUAcgBzACAAQQB1AHMAdAByAGEAbABpAGEAXAAiACwAXAAiAEMAYQBsAGIAaQB0ACAAQwBcACIALABcACIATABcACIALAAxAC4ANAA1ACwAXAAiAFwAIgAsAFwAIgBcACIALABcACIAXAAiACwAXAAiAFwAIgAsAFwAIgBcACIALABcACIAXAAiACwAXAAiAFwAIgAsAFwAIgBDAGEAbABjAGkAdQBtAFwAIgAsADAALgAxADAAN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wBvAG0AcABhAHMAcwBcACIALABcACIAawBnAFwAIgAsADEALABcACIAXAAiACwAXAAiAFwAIgAsAFwAIgBcACIALAAxADUALAA2AC4ANQAsADEAMgAuADUALAA2ACwAXAAiAE4AaQB0AHIAbwBnAGUAbgAgAC0AIABBAG0AbQBvAG4AaQBhAGMAYQBsAFwAIgAsADAALgAwADcANQAsAFwAIgBOAGkAdAByAG8AZwBlAG4AIAAtACAATgBpAHQAcgBhAHQAZQBcACIALAAwAC4AMAA3ADUALABcACIAUABvAHQAYQBzAHMAaQB1AG0AIAAtACAARwBlAG4AZQByAGkAYwBcACIALAAwAC4AMQAyADUALABcACIAUABoAG8AcwBwAGgAbwByAHUAcwAgAC0AIABHAGUAbgBlAHIAaQBjAFwAIgAsADAALgAwADYANQAsAFwAIgBTAHUAbABmAHUAcgAgAC0AIABHAGUAbgBlAHIAaQBjAFwAIgAsADAALgAwADYALABcACIAXAAiACwAXAAiAFwAIgAsAFwAIgBcACIALABcACIAXAAiACwAXAAiAFwAIgAsAFwAIgBcACIALABcACIAXAAiACwAXAAiAFwAIgAsAFwAIgBcACIALABcACIAXAAiADsAXABuAFwAIgBDAGEAbQBwAGIAZQBsAGwAcwAgAGYAZQByAHQAaQBsAGkAcwBlAHIAcwAgAEEAdQBzAHQAcgBhAGwAaQBhAFwAIgAsAFwAIgBDAG8AUgBvAE4AIAAxADIALQAwAC0AMQAwAFwAIgAsAFwAIgBMAFwAIgAsADEALgAyADEANQAsAFwAIgBcACIALABcACIAXAAiACwAXAAiAFwAIgAsADEAMgAsAFwAIgBcACIALAAxADAALABcACIAXAAiACwAXAAiAFUAcgBlAGEAXAAiACwAMAAuADEAOQA1ADYANQAy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DsAXABuAFwAIgBDAGEAbQBwAGIAZQBsAGwAcwAgAGYAZQByAHQAaQBsAGkAcwBlAHIAcwAgAEEAdQBzAHQAcgBhAGwAaQBhAFwAIgAsAFwAIgBNAGEAeABpAG0AdQBtACAAUQB1AGkAYwBrAC0ATgBcACIALABcACIAawBnAFwAIgAsADEALABcACIAXAAiACwAXAAiAFwAIgAsAFwAIgBcACIALAAyADEALgA2ADYALABcACIAXAAiACwAXAAiAFwAIgAsADEAMwAuADIALABcACIAUwB1AGwAcABoAGEAdABlACAAbwBmACAAYQBtAG0AbwBuAGkAYQAgACgAUwBPAEEAKQBcACIALAAwAC4ANQA1ACwAXAAiAEEAbQBtAG8AbgBpAHUAbQAgAG4AaQB0AHIAYQB0AGUAIAAoAEEATgApAFwAIgAsADAALgAzACwAXAAiAFwAIgAsAFwAIgBcACIALABcACIAXAAiACwAXAAiAFwAIgAsAFwAIgBcACIALABcACIAXAAiACwAXAAiAFwAIgAsAFwAIgBcACIALABcACIAXAAiACwAXAAiAFwAIgAsAFwAIgBcACIALABcACIAXAAiACwAXAAiAFwAIgAsAFwAIgBcACIALABcACIAXAAiACwAXAAiAFwAIgA7AFwAbgBcACIAUwBMACAAVABlAGMAXAAiACwAXAAiAEMAcgBvAHAAIABCAG8AbwBzAHQAZQByACAAUABMAFUAUwBcACIALABcACIATABcACIALAAxAC4AMwAxADkALABcACIAXAAiACwAXAAiAFwAIgAsAFwAIgBcACIALAA1ACwAMQA1ACwAMgAuADEALABcACIAXAAiACwAXAAiAFAAaABvAHMAcABoAG8AcgB1AHMAIAAtACAARwBlAG4AZQByAGkAYwBcACIALAAwAC4AMQA1ACwAXAAiAEMAYQBsAGMAaQB1AG0AXAAiACwAMAAuADAANAAsAFwAIgBOAGkAdAByAG8AZwBlAG4AIAAtACAAQQBtAG0AbwBuAGkAYQBjAGEAbABcACIALAAwAC4AMAAyADkALABcACIATgBpAHQAcgBvAGcAZQBuACAALQAgAE4AaQB0AHIAYQB0AGUAXAAiACwAMAAuADAAMgAxACwAXAAiAFAAbwB0AGEAcwBzAGkAdQBtACAALQAgAEcAZQBuAGUAcgBpAGMAXAAiACwAMAAuADAAMgAxACwAXAAiAEMAbwBwAHAAZQByAFwAIgAsADAALgAwADAANQAsAFwAIgBaAGkAbgBjAFwAIgAsADAALgAwADAANAAsAFwAIgBNAGEAbgBnAGEAbgBlAHMAZQBcACIALAAwAC4AMAAwADQALABcACIATQBhAGcAbgBlAHMAaQB1AG0AXAAiACwAMAAuADAAMAAyACwAXAAiAFwAIgAsAFwAIgBcACIAOwBcAG4AXAAiAFIAaQBzAHMAbwAtAEMAaABlAG0AaQBjAGEAbABcACIALABcACIAQQBtAG0AbwBuAGkAdQBtACAAQgBpAGMAYQByAGIAbwBuAGEAdABlAFwAIgAsAFwAIgBrAGcAXAAiACwAMQAsAFwAIgBcACIALABcACIAXAAiACwAXAAiAEMAaABpAG4AYQBcACIALAAxADcALgA3ACwAXAAiAFwAIgAsAFwAIgBcACIALABcACI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BAG0AbQBvAG4AaQB1AG0AIABTAHUAbABmAGEAdABlAFwAIgAsAFwAIgBrAGcAXAAiACwAMQAsAFwAIgBcACIALABcACIAXAAiACwAXAAiAEMAaABpAG4AYQBcACIALAAyADEALABcACIAXAAiACwAXAAiAFwAIgAsADIANAAsAFwAIgBTAHUAbABmAHUAcgAgAC0AIABHAGUAbgBlAHIAaQBjAFwAIgAsADAALgAyADQALABcACIATgBpAHQAcgBvAGcAZQBuACAALQAgAEEAbQBtAG8AbgBpAGEAYwBhAGwAXAAiACwAMAAuADIAMQAsAFwAIgBcACIALABcACIAXAAiACwAXAAiAFwAIgAsAFwAIgBcACIALABcACIAXAAiACwAXAAiAFwAIgAsAFwAIgBcACIALABcACIAXAAiACwAXAAiAFwAIgAsAFwAIgBcACIALABcACIAXAAiACwAXAAiAFwAIgAsAFwAIgBcACIALABcACIAXAAiACwAXAAiAFwAIgAsAFwAIgBcACIAOwBcAG4AXAAiAFIAYQB2AGUAbgBzAGQAbwB3AG4AXAAiACwAXAAiAEEAbQBtAG8AbgBpAHUAbQAgAFMAdQBsAHAAaABhAHQAZQAgAC0AIABHAHIAYQBuAHUAbABhAHI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RABpAC0AQQBtAG0AbwBuAGkAdQBtACAAUABoAG8AcwBwAGgAYQB0AGUAIAAoAEQAQQBQACkAXAAiACwAXAAiAGsAZwBcACIALAAxACwAXAAiAFwAIgAsAFwAIgBcACIALABcACIAXAAiACwAMQA4ACwAMgAwACwAXAAiAFwAIgAsAFwAIgBcACIALABcACIARABpAGEAbQBtAG8AbgBpAHUAbQAgAHAAaABvAHMAcABoAGEAdABlACAAKABEAEE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IAYQBzAGEAbAB0ACAAQgBvAG8AUwBTAHQAYQBcACIALABcACIAawBnAFwAIgAsADEALABcACIAXAAiACwAXAAiAFwAIgAsAFwAIgBcACIALAA4ACwAMQA0ACwAXAAiAFwAIgAsADIANwAuADYALABcACIAUwB1AGwAZgB1AHIAIAAtACAARwBlAG4AZQByAGkAYwBcACIALAAwAC4AMgA3ADYALABcACIAUABoAG8AcwBwAGgAbwByAHUAcwAgAC0AIABHAGUAbgBlAHIAaQBjAFwAIgAsADAALgAxADQALABcACIATgBpAHQAcgBvAGcAZQBuACAALQAgAEcAZQBuAGUAcgBpAGMAXAAiACwAMAAuADAAOAAsAFwAIgBGAGwAdQBvAHIAaQBkAGUAXAAiACwAMAAuADAAMgA0ACwAXAAiAFwAIgAsAFwAIgBcACIALABcACIAXAAiACwAXAAiAFwAIgAsAFwAIgBcACIALABcACIAXAAiACwAXAAiAFwAIgAsAFwAIgBcACIALABcACIAXAAiACwAXAAiAFwAIgAsAFwAIgBcACIALABcACIAXAAiADsAXABuAFwAIgBTAHUAbQBtAGkAdAAgAEYAZQByAHQAaQBsAGkAegBlAHIAcwBcACIALABcACIARABBAFAAUwBaAEMAXAAiACwAXAAiAGsAZwBcACIALAAxACwAXAAiAFwAIgAsAFwAIgBcACIALABcACIAXAAiACwAMQA2AC4AOQAsADEAOAAuADIALABcACIAXAAiACwAOAAsAFwAIgBQAGgAbwBzAHAAaABvAHIAdQBzACAALQAgAEcAZQBuAGUAcgBpAGMAXAAiACwAMAAuADEAOAAyACwAXAAiAE4AaQB0AHIAbwBnAGUAbgAgAC0AIABHAGUAbgBlAHIAaQBjAFwAIgAsADAALgAxADYAOQAsAFwAIgBTAHUAbABmAHUAcgAgAC0AIABHAGUAbgBlAHIAaQBjAFwAIgAsADAALgAwADgALABcACIAWgBpAG4AYwBcACIALAAwAC4AMAAwADIALABcACIAQwBvAHAAcABlAHIAXAAiACwAMAAuADAAMAAxACwAXAAiAFwAIgAsAFwAIgBcACIALABcACIAXAAiACwAXAAiAFwAIgAsAFwAIgBcACIALABcACIAXAAiACwAXAAiAFwAIgAsAFwAIgBcACIALABcACIAXAAiACwAXAAiAFwAIgA7AFwAbgBcACIASQBuAGMAaQB0AGUAYwAgAFAAaQB2AG8AdAAgAEYAZQByAHQAaQBsAGkAcwBlAHIAcwBcACIALABcACIARQBhAHMAeQAgAE4AXAAiACwAXAAiAEwAXAAiACwAMQAuADMAMgAsAFwAIgBcACIALABcACIAXAAiACwAXAAiAFwAIgAsADQAMgAuADUALABcACIAXAAiACwAXAAiAFwAIgAsAFwAIgBcACIALABcACIAVQByAGUAYQBcACIALAAwAC4ANAA2ADcAMwA5ADE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OwBcAG4AXAAiAFIAaQBzAHMAbwAtAEMAaABlAG0AaQBjAGEAbABcACIALABcACIAQwBhAGwAYwBpAHUAbQAgAEEAbQBtAG8AbgBpAHUAbQAgAG4AaQB0AHIAYQB0AGUAXAAiACwAXAAiAGsAZwBcACIALAAxACwAXAAiAFwAIgAsAFwAIgBcACIALABcACIAQwBoAGkAbgBhAFwAIgAsADQAMAAuADUALABcACIAXAAiACwAXAAiAFwAIgAsAFwAIgBcACIALABcACIATgBpAHQAcgBvAGcAZQBuACAALQAgAEEAbQBtAG8AbgBpAGEAYwBhAGwAXAAiACwAMAAuADIANwAsAFwAIgBOAGkAdAByAG8AZwBlAG4AIAAtACAATgBpAHQAcgBhAHQAZQBcACIALAAwAC4AMQAzADUALABcACIAQwBhAGwAYwBpAHUAbQBcACIALAAwAC4AMQAyACwAXAAiAFwAIgAsAFwAIgBcACIALABcACIAXAAiACwAXAAiAFwAIgAsAFwAIgBcACIALABcACIAXAAiACwAXAAiAFwAIgAsAFwAIgBcACIALABcACIAXAAiACwAXAAiAFwAIgAsAFwAIgBcACIALABcACIAXAAiACwAXAAiAFwAIgAsAFwAIgBcACIAOwBcAG4AXAAiAFMATAAgAFQAZQBjAFwAIgAsAFwAIgBDAGUAbABsAEMAQQBMACAAUABsAHUAcwBcACIALABcACIATABcACIALAAxAC4AMQAzADgALABcACIAXAAiACwAXAAiAFwAIgAsAFwAIgBcACIALABcACIAXAAiACwAXAAiAFwAIgAsAFwAIgBcACIALABcACIAXAAiACwAXAAiAEMAYQBsAGMAaQB1AG0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SwA1ADUAXAAiACwAXAAiAGsAZwBcACIALAAxACwAXAAiAFwAIgAsAFwAIgBcACIALABcACIAXAAiACwAMQAzAC4ANQAsADEANQAsADYALgAyADUALAAxAC4AMgAsAFwAIgBQAGgAbwBzAHAAaABvAHIAdQBzACAALQAgAEcAZQBuAGUAcgBpAGMAXAAiACwAMAAuADEANQAsAFwAIgBOAGkAdAByAG8AZwBlAG4AIAAtACAAQQBtAG0AbwBuAGkAYQBjAGEAbABcACIALAAwAC4AMQAzADUALABcACIATQB1AHIAaQBhAHQAZQAgAG8AZgAgAHAAbwB0AGEAcwBoACAAKABNAE8AUAApAFwAIgAsADAALgAxADIANQAsAFwAIgBGAGwAdQBvAHIAaQBkAGUAXAAiACwAMAAuADAAMgAzACwAXAAiAFMAdQBsAGYAdQByACAALQAgAEcAZQBuAGUAcgBpAGMAXAAiACwAMAAuADAAMQAyACwAXAAiAFwAIgAsAFwAIgBcACIALABcACIAXAAiACwAXAAiAFwAIgAsAFwAIgBcACIALABcACIAXAAiACwAXAAiAFwAIgAsAFwAIgBcACIALABcACIAXAAiACwAXAAiAFwAIgA7AFwAbgBcACIAUwB3AGkAdABjAGgAIABBAGcAXAAiACwAXAAiAEMAcgBvAHAAIABLAFwAIgAsAFwAIgBMAFwAIgAsADEALgAyADUALABcACIAXAAiACwAXAAiAFwAIgAsAFwAIgBcACIALAAzACwAXAAiAFwAIgAsADIAMQAsAFwAIgBcACIALABcACIAUABvAHQAYQBzAHMAaQB1AG0AIAAtACAARwBlAG4AZQByAGkAYwBcACIALAAwAC4AMgAx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TAHcAaQB0AGMAaAAgAEEAZwBcACIALABcACIAQwByAG8AcAAgAFMAdABhAHIAdABlAHIAXAAiACwAXAAiAEwAXAAiACwAMQAuADIALABcACIAXAAiACwAXAAiAFwAIgAsAFwAIgBcACIALAA1ACwAMwAsADgALABcACIAXAAiACwAXAAiAFAAbwB0AGEAcwBzAGkAdQBtACAALQAgAEcAZQBuAGUAcgBpAGMAXAAiACwAMAAuADAAOAAsAFwAIgBOAGkAdAByAG8AZwBlAG4AIAAtACAARwBlAG4AZQByAGkAYwBcACIALAAwAC4AMAA1ACwAXAAiAFAAaABvAHMAcABoAG8AcgB1AHMAIAAtACAARwBlAG4AZQByAGkAYwBcACIALAAwAC4AMAAz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cAcgBhAG4ALQBB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IAXABuAD0ATABBAE0AQgBEAEEAKABcAG4AIABNAEEASwBFAEEAUgBSAEEAWQAoADMAMAAsACAAMwAxACwAXABuACAATABBAE0AQgBEAEEAKAByACwAYwAsAFwAbgAgACAASQBOAEQARQBYACgAewBcAG4AXAAiAEMAYQBtAHAAYgBlAGwAbABzACAAZgBlAHIAdABpAGwAaQBzAGUAcgBzACAAQQB1AHMAdAByAGEAbABpAGEAXAAiACwAXAAiAEUAbgBjAGEAbABcACIALABcACIATABcACIALAAxAC4ANQAsAFwAIgBcACIALABcACIAXAAiACwAXAAiAFwAIgAsADkALABcACIAXAAiACwAXAAiAFwAIgAsADEAMwAuADkANAAsAFwAIgBTAHUAbABwAGgAYQB0AGUAIABvAGYAIABhAG0AbQBvAG4AaQBhACAAKABTAE8AQQApAFwAIgAsADAALgA1ADgAMAA2ADQANQAsAFwAIgBNAGEAZwBuAGUAcwBpAHUAbQBcACIALAAwAC4AMAAxAD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HUAbABvAGMAawAgAFMAUwBcACIALABcACIAawBnAFwAIgAsADEALABcACIAXAAiACwAXAAiAFwAIgAsAFwAIgBcACIALAAxADAALAAxADcALgA1ACwAXAAiAFwAIgAsADEAMgAsAFwAIgBQAGgAbwBzAHAAaABvAHIAdQBzACAALQAgAEcAZQBuAGUAcgBpAGMAXAAiACwAMAAuADEANwA1ACwAXAAiAFMAdQBsAGYAdQByACAALQAgAEcAZQBuAGUAcgBpAGMAXAAiACwAMAAuADEAMgAsAFwAIgBOAGkAdAByAG8AZwBlAG4AIAAtACAAQQBtAG0AbwBuAGkAYQBjAGEAbABcACIALAAwAC4AMQAsAFwAIgBGAGwAdQBvAHIAaQBkAGUAXAAiACwAMAAuADAAMw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aAFwAIgAsAFwAIgBrAGcAXAAiACwAMQAsAFwAIgBcACIALABcACIAXAAiACwAXAAiAFwAIgAsADEAMQAsADIAMQAuADgALABcACIAXAAiACwANAAsAFwAIgBQAGgAbwBzAHAAaABvAHIAdQBzACAALQAgAEcAZQBuAGUAcgBpAGMAXAAiACwAMAAuADIAMQA4ACwAXAAiAE4AaQB0AHIAbwBnAGUAbgAgAC0AIABHAGUAbgBlAHIAaQBjAFwAIgAsADAALgAxADEALABcACIAUwB1AGwAZgB1AHIAIAAtACAARwBlAG4AZQByAGkAYwBcACIALAAwAC4AMAA0ACwAXAAiAEYAbAB1AG8AcgBpAGQAZQBcACIALAAwAC4AMAAzACwAXAAiAFoAaQBuAGMAXAAiACwAMAAuADAAMQAsAFwAIgBcACIALABcACIAXAAiACwAXAAiAFwAIgAsAFwAIgBcACIALABcACIAXAAiACwAXAAiAFwAIgAsAFwAIgBcACIALABcACIAXAAiACwAXAAiAFwAIgAsAFwAIgBcACIAOwBcAG4AXAAiAEkAbgBjAGkAdABlAGMAIABQAGkAdgBvAHQAIABGAGUAcgB0AGkAbABpAHMAZQByAHMAXAAiACwAXAAiAEYAYQByAG0AIABBAGcAIABMAGUAaQBjAGgAaABhAHIAZAB0AFwAIgAsAFwAIgBrAGcAXAAiACwAMQAsAFwAIgBcACIALABcACIAXAAiACwAXAAiAFwAIgAsADMAMgAuADUALAA1AC4ANAAsADYALgAyADUALABcACIAXAAiACwAXAAiAFUAcgBlAGEAXAAiACwAMAAuADYALABcACIATgBpAHQAcgBvAGcAZQBuACAALQAgAEEAbQBtAG8AbgBpAGEAYwBhAGwAXAAiACwAMAAuADAANAA5ACwAXAAiAFAAaABvAHMAcABoAG8AcgB1AHMAIAAtACAARwBlAG4AZQByAGkAYwBcACIALAAwAC4AMAA1ADQALABcACIATQB1AHIAaQBhAHQAZQAgAG8AZgAgAHAAbwB0AGEAcwBoACAAKABNAE8AUAApAFwAIgAsADAALgAxADIANQAsAFwAIgBcACIALABcACIAXAAiACwAXAAiAFwAIgAsAFwAIgBcACIALABcACIAXAAiACwAXAAiAFwAIgAsAFwAIgBcACIALABcACIAXAAiACwAXAAiAFwAIgAsAFwAIgBcACIALABcACIAXAAiACwAXAAiAFwAIgA7AFwAbgBcACIAUgBhAHYAZQBuAHMAZABvAHcAbgBcACIALABcACIARgBsAGUAeABpAC0ATgAgAE4AQgBQAFQAXAAiACwAXAAiAGsAZwBcACIALAAxACwAXAAiAFkAZQBzAFwAIgAsAFwAIgBcACIALABcACIAXAAiACwANAA1AC4ANQA0ACwAXAAiAFwAIgAsAFwAIgBcACIALABcACIAXAAiACwAXAAiAFUAcgBlAGEAXAAiACwAMAAuADkAO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RwBvAGwAZAAgAFAAcgBlAG0AaQB1AG0AXAAiACwAXAAiAGsAZwBcACIALAAxACwAXAAiAFwAIgAsAFwAIgBcACIALABcACIAXAAiACwAMQA0AC4AOAA3ACwAMgAuADIALAAxADYALgA2ACwAOAAsAFwAIgBBAG0AbQBvAG4AaQB1AG0AIABuAGkAdAByAGEAdABlACAAKABBAE4AKQBcACIALAAwAC4ANAA0ADEAMQA3ADYALABcACIAUABvAHQAYQBzAHMAaQB1AG0AIAAtACAARwBlAG4AZQByAGkAYwBcACIALAAwAC4AMQA2ADYALABcACIAUwB1AGwAZgB1AHIAIAAtACAARwBlAG4AZQByAGkAYwBcACIALAAwAC4AMAA4ACwAXAAiAFAAaABvAHMAcABoAG8AcgB1AHMAIAAtACAARwBlAG4AZQByAGkAYwBcACIALAAwAC4AMAAyADIALABcACIATQBhAGcAbgBlAHMAaQB1AG0AXAAiACwAMAAuADAAMQAyACwAXAAiAEIAbwByAG8AbgBcACIALAAwAC4AMAAwADAAMgAsAFwAIgBaAGkAbgBjAFwAIgAsADAALgAwADAAMAAxACwAXAAiAFwAIgAsAFwAIgBcACIALABcACIAXAAiACwAXAAiAFwAIgAsAFwAIgBcACIALABcACIAXAAiADsAXABuAFwAIgBTAEwAIABUAGUAYwBcACIALABcACIASABpAGcAaAAgAE4AUwBcACIALABcACIATABcACIALAAxAC4AMgA5ADkALABcACIAXAAiACwAXAAiAFwAIgAsAFwAIgBcACIALAAzADgALABcACIAXAAiACwAXAAiAFwAIgAsADIALABcACIAVQByAGUAYQBcACIALAAwAC4ANAA2ADAAOAA3ACwAXAAiAE4AaQB0AHIAbwBnAGUAbgAgAC0AIABBAG0AbQBvAG4AaQBhAGMAYQBsAFwAIgAsADAALgAwADkAMgAsAFwAIgBOAGkAdAByAG8AZwBlAG4AIAAtACAATgBpAHQAcgBhAHQAZQBcACIALAAwAC4AMAA3ADYALABcACIAUwB1AGwAZgB1AHIAIAAtACAARwBlAG4AZQByAGkAYwBcACIALAAwAC4AMAAyACwAXAAiAFwAIgAsAFwAIgBcACIALABcACIAXAAiACwAXAAiAFwAIgAsAFwAIgBcACIALABcACIAXAAiACwAXAAiAFwAIgAsAFwAIgBcACIALABcACIAXAAiACwAXAAiAFwAIgAsAFwAIgBcACIALABcACIAXAAiADsAXABuAFwAIgBJAG0AcABhAGMAdAAgAEYAZQByAHQAaQBsAGkAcwBlAHIAcwBcACIALABcACIASQBtAHAAYQBjAHQAIABTAFMAU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FMAdwBpAHQAYwBoACAAQQBnAFwAIgAsAFwAIgBJAG4AIABDAHIAbwBwAFwAIgAsAFwAIgBMAFwAIgAsADEALgAyACwAXAAiAFwAIgAsAFwAIgBcACIALABcACIAXAAiACwAMQAwACwAMQAsADEAMQAsAFwAIgBcACIALABcACIAUABvAHQAYQBzAHMAaQB1AG0AIAAtACAARwBlAG4AZQByAGkAYwBcACIALAAwAC4AMQAxACwAXAAiAE4AaQB0AHIAbwBnAGUAbgAgAC0AIABHAGUAbgBlAHIAaQBjAFwAIgAsADAALgAxACwAXAAiAFAAaABvAHMAcABoAG8AcgB1AHMAIAAtACAARwBlAG4AZQByAGkAYwBcACIALAAwAC4AMAAxACwAXAAiAFwAIgAsAFwAIgBcACIALABcACIAXAAiACwAXAAiAFwAIgAsAFwAIgBcACIALABcACIAXAAiACwAXAAiAFwAIgAsAFwAIgBcACIALABcACIAXAAiACwAXAAiAFwAIgAsAFwAIgBcACIALABcACIAXAAiACwAXAAiAFwAIgAsAFwAIgBcACIAOwBcAG4AXAAiAFMAdwBpAHQAYwBoACAAQQBnAFwAIgAsAFwAIgBLADIAMABcACIALABcACIATABcACIALAAxAC4AMwAsAFwAIgBcACIALABcACIAXAAiACwAXAAiAFwAIgAsADMALABcACIAXAAiACwAMgAyACwAXAAiAFwAIgAsAFwAIgBQAG8AdABhAHMAcwBpAHUAbQAgAC0AIABHAGUAbgBlAHIAaQBjAFwAIgAsADAALgAyADIALABcACIATgBpAHQAcgBvAGcAZQBuACAALQAgAEcAZQBuAGUAcgBpAGMAXAAiACwAMAAuADAAMwAsAFwAIgBcACIALABcACIAXAAiACwAXAAiAFwAIgAsAFwAIgBcACIALABcACIAXAAiACwAXAAiAFwAIgAsAFwAIgBcACIALABcACIAXAAiACwAXAAiAFwAIgAsAFwAIgBcACIALABcACIAXAAiACwAXAAiAFwAIgAsAFwAIgBcACIALABcACIAXAAiACwAXAAiAFwAIgAsAFwAIgBcACIAOwBcAG4AXAAiAEwAbwB2AGUAbABhAG4AZAAgAEEAZwByAGkAcAByAG8AZAB1AGMAdABzAFwAIgAsAFwAIgBNAGEAeABpAG0AdQBtACAATgAtAFAAYQBjAHQAXAAiACwAXAAiAEwAXAAiACwAMQAuADEAOAA1ACwAXAAiAFwAIgAsAFwAIgBcACIALABcACIAXAAiACwAMgAzAC4AOAAsAFwAIgBcACIALABcACIAXAAiACwAXAAiAFwAIgAsAFwAIgBVAHIAZQBhAFwAIgAsADAALgA1ADEANwAzADkAMQAsAFwAIgBcACIALABcACIAXAAiACwAXAAiAFwAIgAsAFwAIgBcACIALABcACIAXAAiACwAXAAiAFwAIgAsAFwAIgBcACIALABcACIAXAAiACwAXAAiAFwAIgAsAFwAIgBcACIALABcACIAXAAiACwAXAAiAFwAIgAsAFwAIgBcACIALABcACIAXAAiACwAXAAiAFwAIgAsAFwAIgBcACIALABcACIAXAAiACwAXAAiAFwAIgA7AFwAbgBcACIAUwBMACAAVABlAGMAXAAiACwAXAAiAE4AaQB0AHIAbwAgAEMAbwBtAGIAaQAgAFQARQBcACIALABcACIATABcACIALAAxAC4AMgA1ADUALABcACIAXAAiACwAXAAiAFwAIgAsAFwAIgBcACIALABcACIAXAAiACwAXAAiAFwAIgAsADAALgAxACwANAAuADQALABcACIAUwB1AGwAZgB1AHIAIAAtACAARwBlAG4AZQByAGkAYwBcACIALAAwAC4AMAA0ADQALABcACIAWgBpAG4AYwBcACIALAAwAC4AMAAyADIALABcACIASQByAG8AbgBcACIALAAwAC4AMAAyADIALABcACIATQBhAG4AZwBhAG4AZQBzAGUAXAAiACwAMAAuADAAMQA2ACwAXAAiAEIAbwByAG8AbgBcACIALAAwAC4AMAAwADgALABcACIATQBhAGcAbgBlAHMAaQB1AG0AXAAiACwAMAAuADAAMAA3ACwAXAAiAEYAdQBsAHYAaQBjACAAYQBjAGkAZAAgACgAbwByAGcAYQBuAGkAYwApAFwAIgAsADAALgAwADAANQAsAFwAIgBDAG8AcABwAGUAcgBcACIALAAwAC4AMAAwADMALABcACIAUABvAHQAYQBzAHMAaQB1AG0AIAAtACAARwBlAG4AZQByAGkAYwBcACIALAAwAC4AMAAwADEALABcACIATQBvAGwAeQBiAGQAZQBuAHUAbQBcACIALAAwAC4AMAAwADAAMwA7AFwAbgBcACIAUwB3AGkAdABjAGgAIABBAGcAXAAiACwAXAAiAFAAYQBzAHQAdQByAGUATQBBAFgAWABcACIALABcACIATABcACIALAAxAC4AMgAzACwAXAAiAFwAIgAsAFwAIgBcACIALABcACIAXAAiACwAOQAuADcAMQAsAFwAIgBcACIALAAzAC4AMgA1ACwAMgAuADEAMQAsAFwAIgBOAGkAdAByAG8AZwBlAG4AIAAtACAARwBlAG4AZQByAGkAYwBcACIALAAwAC4AMAA5ADcAMQAsAFwAIgBQAG8AdABhAHMAcwBpAHUAbQAgAC0AIABHAGUAbgBlAHIAaQBjAFwAIgAsADAALgAwADMAMgA1ACwAXAAiAFMAdQBsAGYAdQByACAALQAgAEcAZQBuAGUAcgBpAGMAXAAiACwAMAAuADAAMgAxADEALABcACIAWgBpAG4AYwBcACIALAAwAC4AMAAxADUALABcACIASQByAG8AbgBcACIALAAwAC4AMAAxADEAMQAsAFwAIgBNAGEAbgBnAGEAbgBlAHMAZQBcACIALAAwAC4AMAAxADEANQAsAFwAIgBNAGEAZwBuAGUAcwBpAHUAbQBcACIALAAwAC4AMAAwADQANQAsAFwAIgBCAG8AcgBvAG4AXAAiACwAMAAuADAAMAAyACwAXAAiAFwAIgAsAFwAIgBcACIALABcACIAXAAiACwAXAAiAFwAIgA7AFwAbgBcACIAQwBhAG0AcABiAGUAbABsAHMAIABmAGUAcgB0AGkAbABpAHMAZQByAHMAIABBAHUAcwB0AHIAYQBsAGkAYQBcACIALABcACIAUABsAGEAdABpAG4AdQBtACAATgBlAHIAZwBlAHQAaQBjAFwAIgAsAFwAIgBrAGcAXAAiACwAMQAsAFwAIgBcACIALABcACIAXAAiACwAXAAiAFwAIgAsADEAMAAsADEAMAAuADkALAAxADAALAA0AC4AMwA0ACwAXAAiAE0AbwBuAG8AYQBtAG0AbwBuAGkAdQBtACAAcABoAG8AcwBwAGgAYQB0AGUAIAAoAE0AQQBQACkAXAAiACwAMAAuADQAMQA3ADgALABcACIAQQBtAG0AbwBuAGkAdQBtACAAbgBpAHQAcgBhAHQAZQAgACgAQQBOACkAXAAiACwAMAAuADEANwAyADgALABcACIAUABvAHQAYQBzAHMAaQB1AG0AIABzAHUAbABwAGgAYQB0AGUAXAAiACwAMAAuADIANAAwADkANgA0ACwAXAAiAEQAbwB1AGIAbABlACAAcwB1AHAAZQByAHAAaABvAHMAcABoAGEAdABlAFwAIgAsADAALgAxACwAXAAiAE0AYQBnAG4AZQBzAGkAdQBtAFwAIgAsADAALgAwADEAMgAsAFwAIgBaAGkAbgBjAFwAIgAsADAALgAwADAAMwA2ACwAXAAiAEIAbwByAG8AbgBcACIALAAwAC4AMAAwADEALABcACIARwBsAGEAegBlACAARQB4AHQAZQBuAGQAIABHADMAIABGAGwAZQB4AGkAXAAiACwAMAAuADAANQAxADkALABcACIAXAAiACwAXAAiAFwAIgAsAFwAIgBcACIALABcACIAXAAiADsAXABuAFwAIgBJAG0AcABhAGMAdAAgAEYAZQByAHQAaQBsAGkAcwBlAHIAcwBcACIALABcACIAUwB1AGwAcABoAGEAdABlACAAbwBmACAAYQBtAG0AbwBuAGkAYQAgACgAUwBPAEEAK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NAG8AbgBvAC0AQQBtAG0AbwBuAGkAdQBtACAAUABoAG8AcwBwAGgAYQB0AGUAIAAoAE0AQQBQACkAXAAiACwAXAAiAGsAZwBcACIALAAxACwAXAAiAFwAIgAsAFwAIgBcACIALABcACIAXAAiACwAMQAwACwAMgAxAC4AOQAsAFwAIgBcACIALAAxAC4ANQ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VAHIAZQBhAFwAIgAsAFwAIgBrAGcAXAAiACwAMQAsAFwAIgBcACIALABcACIAXAAiACwAXAAiAFwAIgAsADQANgAsAFwAIgBcACIALABcACIAXAAiACwAXAAiAFwAIgAsAFwAIgBVAHIAZQBhAFwAIgAsADEALABcACIAXAAiACwAXAAiAFwAIgAsAFwAIgBcACIALABcACIAXAAiACwAXAAiAFwAIgAsAFwAIgBcACIALABcACIAXAAiACwAXAAiAFwAIgAsAFwAIgBcACIALABcACIAXAAiACwAXAAiAFwAIgAsAFwAIgBcACIALABcACIAXAAiACwAXAAiAFwAIgAsAFwAIgBcACIALABcACIAXAAiACwAXAAiAFwAIgAsAFwAIgBcACIAOwBcAG4AXAAiAEsAbwBjAGgAIABGAGUAcgB0AGkAbABpAHMAZQByACAAQQB1AHMAdAByAGEAbABpAGEAXAAiACwAXAAiAE0AdQByAGkAYQB0AGUAIABvAGYAIABwAG8AdABhAHMAaAAgACgATQBPAFAAKQ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VQByAGUAYQAgAEEAbQBtAG8AbgBpAHUAbQAgAG4AaQB0AHIAYQB0AGUAIAAoAFUAQQBOACAAMwAyAC0AMAAtADAAKQBcACIALABcACIATABcACIALAAxAC4AMwAyACwAXAAiAFwAIgAsAFwAIgBDAGgAaQBuAGEAXAAiACwAXAAiAEMAaABpAG4AYQ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QAG8AbAB5AHAAZQBwAHQAaQBkAGUAIABVAHIAZQBhAFwAIgAsAFwAIgBrAGcAXAAiACwAMQAsAFwAIgBcACIALABcACIAQwBoAGkAbgBhAFwAIgAsAFwAIgBcACIALAA0ADYALABcACIAXAAiACwAXAAiAFwAIgAsAFwAIgBcACIALABcACIAVQByAGUAYQBcACIALAAxACwAXAAiAFAAbwBsAHkAcABlAHAAdABpAGQAZQAgACgAYQBtAGkAbgBvACAAYQBjAGkAZABzACkAXAAiACwAMA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QwBBAEwAQwBJAE4ASQBUAFwAIgAsAFwAIgBrAGcAXAAiACwAMQAsAFwAIgBcACIALABcACIAXAAiACwAXAAiAFwAIgAsADEANQAuADUALABcACIAXAAiACwAXAAiAFwAIgAsAFwAIgBcACIALABcACIAQwBhAGwAYwBpAHUAbQAgAG4AaQB0AHIAYQB0AGUAXAAiACwAMQAsAFwAIgBcACIALABcACIAXAAi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EwAaQB2AGEAIABOAEkAVABSAEEAQgBPAFIAXAAiACwAXAAiAGsAZwBcACIALAAxACwAXAAiAFwAIgAsAFwAIgBcACIALABcACIAXAAiACwAMQA1AC4ANAAsAFwAIgBcACIALABcACIAXAAiACwAXAAiAFwAIgAsAFwAIgBDAGEAbABjAGkAdQBtACAAbgBpAHQAcgBhAHQAZQBcACIALAAwAC4AOQA5ADMANQA0ADgALABcACIAQgBvAHIAbwBuAFwAIgAsADAALgAwADAAMw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NAGkAbABhACAAQwBPAE0AUABMAEUAWABcACIALABcACIAawBnAFwAIgAsADEALABcACIAXAAiACwAXAAiAFwAIgAsAFwAIgBcACIALAAxADIALAA1ACwAMQA1ACwAOAAsAFwAIgBOAGkAdAByAG8AZwBlAG4AIAAtACAATgBpAHQAcgBhAHQAZQBcACIALAAwAC4AMAA1ACwAXAAiAE4AaQB0AHIAbwBnAGUAbgAgAC0AIABBAG0AbQBvAG4AaQBhAGMAYQBsAFwAIgAsADAALgAwADcALABcACIAUABoAG8AcwBwAGgAbwByAHUAcwAgAC0AIABHAGUAbgBlAHIAaQBjAFwAIgAsADAALgAwADUALABcACIAUABvAHQAYQBzAHMAaQB1AG0AIAAtACAARwBlAG4AZQByAGkAYwBcACIALAAwAC4AMQA1ACwAXAAiAFMAdQBsAGYAdQByACAALQAgAEcAZQBuAGUAcgBpAGMAXAAiACwAMAAuADAAOAAsAFwAIgBNAGEAZwBuAGUAcwBpAHUAbQBcACIALAAwAC4AMAAxADYALABcACIAWgBpAG4AYwBcACIALAAwAC4AMAAwADAAMgAsAFwAIgBCAG8AcgBvAG4AXAAiACwAMAAuADAAMAAwADEANQAsAFwAIgBcACIALABcACIAXAAiACwAXAAiAFwAIgAsAFwAIgBcACIAOwBcAG4AXAAiAFkAYQByAGEAIABBAHUAcwB0AHIAYQBsAGkAYQBcACIALABcACIAWQBhAHIAYQBSAGUAZwBhACAAOQAtADAALQAzADAAIAAoADEANAApAFwAIgAsAFwAIgBrAGcAXAAiACwAMQAsAFwAIgBcACIALABcACIAXAAiACwAXAAiAFwAIgAsADkALABcACIAXAAiACwAMwAwACwAMQA0ACwAXAAiAFAAbwB0AGEAcwBzAGkAdQBtACAALQAgAEcAZQBuAGUAcgBpAGMAXAAiACwAMAAuADMALABcACIAUwB1AGwAZgB1AHIAIAAtACAARwBlAG4AZQByAGkAYwBcACIALAAwAC4AMQA0ACwAXAAiAE4AaQB0AHIAbwBnAGUAbgAgAC0AIABOAGkAdAByAGEAdABlAFwAIgAsADAALgAwADQANQAsAFwAIgBOAGkAdAByAG8AZwBlAG4AIAAtACAAQQBtAG0AbwBuAGkAYQBjAGEAbABcACIALAAwAC4AMAA0ADUALABcACIAXAAiACwAXAAiAFwAIgAsAFwAIgBcACIALABcACIAXAAiACwAXAAiAFwAIgAsAFwAIgBcACIALABcACIAXAAiACwAXAAiAFwAIgAsAFwAIgBcACIALABcACIAXAAiACwAXAAiAFwAIgAsAFwAIgBcACIAOwBcAG4AXAAiAFkAYQByAGEAIABBAHUAcwB0AHIAYQBsAGkAYQBcACIALABcACIAWQBhAHIAYQBSAGUAZwBhACAAMQAzAC0AMgAtADIAMQBcACIALABcACIAawBnAFwAIgAsADEALABcACIAXAAiACwAXAAiAFwAIgAsAFwAIgBcACIALAAxADMALAAxAC4ANwA1ACwAMgAxACwAMQAwAC4AOAAsAFwAIgBQAG8AdABhAHMAcwBpAHUAbQAgAC0AIABHAGUAbgBlAHIAaQBjAFwAIgAsADAALgAyADEALABcACIAUwB1AGwAZgB1AHIAIAAtACAARwBlAG4AZQByAGkAYwBcACIALAAwAC4AMQAwADgALABcACIATgBpAHQAcgBvAGcAZQBuACAALQAgAEEAbQBtAG8AbgBpAGEAYwBhAGwAXAAiACwAMAAuADAANwA3ACwAXAAiAE4AaQB0AHIAbwBnAGUAbgAgAC0AIABOAGkAdAByAGEAdABlAFwAIgAsADAALgAwADUAMwAsAFwAIgBQAGgAbwBzAHAAaABvAHIAdQBzACAALQAgAEcAZQBuAGUAcgBpAGMAXAAiACwAMAAuADAAMQA3ADUALABcACIATQBhAGcAbgBlAHMAaQB1AG0AXAAiACwAMAAuADAAMAA0ACwAXAAiAFoAaQBuAGMAXAAiACwAMAAuADAAMAAwADgALABcACIAQgBvAHIAbwBuAFwAIgAsADAALgAwADAAMAA4ACwAXAAiAFwAIgAsAFwAIgBcACIALABcACIAXAAiACwAXAAiAFwAIgA7AFwAbgBcACIAWQBhAHIAYQAgAEEAdQBzAHQAcgBhAGwAaQBhAFwAIgAsAFwAIgBZAGEAcgBhAFIAZQBnAGEAIAAxADUALQA3AC0AMQAzACAAKAA3AFMAKQBcACIALABcACIAawBnAFwAIgAsADEALABcACIAXAAiACwAXAAiAFwAIgAsAFwAIgBcACIALAAxADUALAA2AC4ANQAsADEAMgAuADUALAA3AC4AMgAsAFwAIgBOAGkAdAByAG8AZwBlAG4AIAAtACAATgBpAHQAcgBhAHQAZQBcACIALAAwAC4AMAA5ADUALABcACIAUABvAHQAYQBzAHMAaQB1AG0AIAAtACAARwBlAG4AZQByAGkAYwBcACIALAAwAC4AMQAyADUALABcACIAUwB1AGwAZgB1AHIAIAAtACAARwBlAG4AZQByAGkAYwBcACIALAAwAC4AMAA3ADIALABcACIAUABoAG8AcwBwAGgAbwByAHUAcwAgAC0AIABHAGUAbgBlAHIAaQBjAFwAIgAsADAALgAwADYANQAsAFwAIgBOAGkAdAByAG8AZwBlAG4AIAAtACAAQQBtAG0AbwBuAGkAYQBjAGEAbABcACIALAAwAC4AMAA1ADUALABcACIATQBhAGcAbgBlAHMAaQB1AG0AXAAiACwAMAAuADAAMAA2ADYALABcACIAQgBvAHIAbwBuAFwAIgAsADAALgAwADAAMQAsAFwAIgBaAGkAbgBjAFwAIgAsADAALgAwADAAMAA2ACwAXAAiAFwAIgAsAFwAIgBcACIALABcACIAXAAiACwAXAAiAFwAIgA7AFwAbgBcACIAWQBhAHIAYQAgAEEAdQBzAHQAcgBhAGwAaQBhAFwAIgAsAFwAIgBZAGEAcgBhAFQAZQByAGEAIABDAEEATABDAEkATgBJAFQAIABCAFwAIgAsAFwAIgBrAGcAXAAiACwAMQAsAFwAIgBcACIALABcACIAXAAiACwAXAAiAFwAIgAsADEANQAuADUALABcACIAXAAiACwAXAAiAFwAIgAsAFwAIgBcACIALABcACIAQwBhAGwAYwBpAHUAbQAgAG4AaQB0AHIAYQB0AGUAXAAiACwAMQAsAFwAIgBCAG8AcgBvAG4AXAAiACwAMAAuADAAMAAx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FQAZQByAGEAIABLAFIASQBTAFQAQQAg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TABPAE4AIABSAEUARABcACIALABcACIAawBnAFwAIgAsADEALABcACIAXAAiACwAXAAiAFwAIgAsAFwAIgBcACIALAAxADIALAA1AC4AMgAsADIAOQAuADkALAAxACwAXAAiAFAAbwB0AGEAcwBzAGkAdQBtACAALQAgAEcAZQBuAGUAcgBpAGMAXAAiACwAMAAuADIAOQA5ACwAXAAiAE4AaQB0AHIAbwBnAGUAbgAgAC0AIABOAGkAdAByAGEAdABlAFwAIgAsADAALgAxADAAMQAsAFwAIgBQAGgAbwBzAHAAaABvAHIAdQBzACAALQAgAEcAZQBuAGUAcgBpAGMAXAAiACwAMAAuADAANQAyACwAXAAiAE4AaQB0AHIAbwBnAGUAbgAgAC0AIABBAG0AbQBvAG4AaQBhAGMAYQBsAFwAIgAsADAALgAwADEAOQAsAFwAIgBTAHUAbABmAHUAcgAgAC0AIABHAGUAbgBlAHIAaQBjAFwAIgAsADAALgAwADEALABcACIATQBhAGcAbgBlAHMAaQB1AG0AXAAiACwAMAAuADAAMAA2ACwAXAAiAEkAcgBvAG4AXAAiACwAMAAuADAAMAAwADcALABcACIATQBhAG4AZwBhAG4AZQBzAGUAXAAiACwAMAAuADAAMAAwADQALABcACIAWgBpAG4AYwBcACIALAAwAC4AMAAwADAAMgA1ACwAXAAiAEIAbwByAG8AbgBcACIALAAwAC4AMAAwADAAMgA1ADsAXABuAFwAIgBZAGEAcgBhACAAQQB1AHMAdAByAGEAbABpAGEAXAAiACwAXAAiAFkAYQByAGEAVABlAHIAYQAgAEsAUgBJAFMAVABBAEwATwBOACAAUwBQAEUAQwBJAEEATABcACIALABcACIAawBnAFwAIgAsADEALABcACIAXAAiACwAXAAiAFwAIgAsAFwAIgBcACIALAAxADgALAA3AC4AOQAsADEANAAuADkALAAyACwAXAAiAFAAbwB0AGEAcwBzAGkAdQBtACAALQAgAEcAZQBuAGUAcgBpAGMAXAAiACwAMAAuADEANAA5ACwAXAAiAFUAcgBlAGEAXAAiACwAMAAuADIAMQAzADAANAAzACwAXAAiAFAAaABvAHMAcABoAG8AcgB1AHMAIAAtACAARwBlAG4AZQByAGkAYwBcACIALAAwAC4AMAA3ADkALABcACIATgBpAHQAcgBvAGcAZQBuACAALQAgAE4AaQB0AHIAYQB0AGUAXAAiACwAMAAuADAANAA5ACwAXAAiAE4AaQB0AHIAbwBnAGUAbgAgAC0AIABBAG0AbQBvAG4AaQBhAGMAYQBsAFwAIgAsADAALgAwADMAMwAsAFwAIgBTAHUAbABmAHUAcgAgAC0AIABHAGUAbgBlAHIAaQBjAFwAIgAsADAALgAwADIALABcACIATQBhAGcAbgBlAHMAaQB1AG0AXAAiACwAMAAuADAAMQA4ACwAXAAiAEkAcgBvAG4AXAAiACwAMAAuADAAMAAwADcALABcACIATQBhAG4AZwBhAG4AZQBzAGUAXAAiACwAMAAuADAAMAAwADQALABcACIAWgBpAG4AYwBcACIALAAwAC4AMAAwADAAMgA1AFwAbgAgACAAfQAsACAAcgAsACAAYwApAFwAbgAgACkAKQApAFwAbgBcAG4AXABuAEYAZQByAHQAaQBsAGkAcwBlAHIAXwBQAHIAbwBkAHUAYwB0AHMAXwBEAGEAdABhADMAXABuAD0ATABBAE0AQgBEAEEAKABcAG4AIABNAEEASwBFAEEAUgBSAEEAWQAoADMAMAAsACAAMwAxACwAXABuACAATABBAE0AQgBEAEEAKAByACwAYwAsAFwAbgAgACAASQBOAEQARQBYACgAewBcAG4AXAAiAFkAYQByAGEAIABBAHUAcwB0AHIAYQBsAGkAYQBcACIALABcACIAWQBhAHIAYQBNAGkAbABhACAAMgAxAC0ANwAtADMAKAA0ACkAXAAiACwAXAAiAGsAZwBcACIALAAxACwAXAAiAFwAIgAsAFwAIgBcACIALABcACIAXAAiACwAMgAxACwANwAuADQALAAyAC4ANQAsADQALABcACIATgBpAHQAcgBvAGcAZQBuACAALQAgAE4AaQB0AHIAYQB0AGUAXAAiACwAMAAuADEAMAA1ACwAXAAiAE4AaQB0AHIAbwBnAGUAbgAgAC0AIABBAG0AbQBvAG4AaQBhAGMAYQBsAFwAIgAsADAALgAxADAANQAsAFwAIgBQAGgAbwBzAHAAaABvAHIAdQBzACAALQAgAEcAZQBuAGUAcgBpAGMAXAAiACwAMAAuADAANwA0ACwAXAAiAFMAdQBsAGYAdQByACAALQAgAEcAZQBuAGUAcgBpAGMAXAAiACwAMAAuADAANAAsAFwAIgBQAG8AdABhAHMAcwBpAHUAbQAgAC0AIABHAGUAbgBlAHIAaQBjAFwAIgAsADAALgAwADIANQAsAFwAIgBNAGEAZwBuAGUAcwBpAHUAbQBcACIALAAwAC4AMAAwADQALABcACIAWgBpAG4AYwBcACIALAAwAC4AMAAwADEANQAsAFwAIgBcACIALABcACIAXAAiACwAXAAiAFwAIgAsAFwAIgBcACIALABcACIAXAAiACwAXAAiAFwAIgA7AFwAbgBcACIAWQBhAHIAYQAgAEEAdQBzAHQAcgBhAGwAaQBhAFwAIgAsAFwAIgBZAGEAcgBhAFQAZQByAGEAIABLAFIASQBTAFQAQQBMAE8ATgAgAFMAQwBBAFIATABFAFQAXAAiACwAXAAiAGsAZwBcACIALAAxACwAXAAiAFwAIgAsAFwAIgBcACIALABcACIAXAAiACwANwAuADUALABcACIAXAAiACwAMgA5AC4AOQAsADQALABcACIAUABvAHQAYQBzAHMAaQB1AG0AIAAtACAARwBlAG4AZQByAGkAYwBcACIALAAwAC4AMgA5ADkALABcACIATgBpAHQAcgBvAGcAZQBuACAALQAgAE4AaQB0AHIAYQB0AGUAXAAiACwAMAAuADAANQAyACwAXAAiAFMAdQBsAGYAdQByACAALQAgAEcAZQBuAGUAcgBpAGMAXAAiACwAMAAuADAANAAsAFwAIgBNAGEAZwBuAGUAcwBpAHUAbQBcACIALAAwAC4AMAAyADcALABcACIATgBpAHQAcgBvAGcAZQBuACAALQAgAEEAbQBtAG8AbgBpAGEAYwBhAGwAXAAiACwAMAAuADAAMgAzACwAXAAiAFwAIgAsAFwAIgBcACIALABcACIAXAAiACwAXAAiAFwAIgAsAFwAIgBcACIALABcACIAXAAiACwAXAAiAFwAIgAsAFwAIgBcACIALABcACIAXAAiACwAXAAiAFwAIgA7AFwAbgBcACIAQwBhAG0AcABiAGUAbABsAHMAIABmAGUAcgB0AGkAbABpAHMAZQByAHMAIABBAHUAcwB0AHIAYQBsAGkAYQBcACIALABcACIAUwBvAGwAdQAt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MAbwBsAHUALQBTAGEAb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IAdQBzAHQAaQBjAGEAIABQAGwAdQBzAFwAIgAsAFwAIgBrAGcAXAAiACwAMQAsAFwAIgBcACIALABcACIAXAAiACwAXAAiAFwAIgAsADEAMgAsADUALAAxADQALAA5AC4ANwAsAFwAIgBQAG8AdABhAHMAcwBpAHUAbQAgAC0AIABHAGUAbgBlAHIAaQBjAFwAIgAsADAALgAxADQALABcACIAUwB1AGwAZgB1AHIAIAAtACAARwBlAG4AZQByAGkAYwBcACIALAAwAC4AMAA5ADcALABcACIATgBpAHQAcgBvAGcAZQBuACAALQAgAE4AaQB0AHIAYQB0AGUAXAAiACwAMAAuADAANgAsAFwAIgBOAGkAdAByAG8AZwBlAG4AIAAtACAAQQBtAG0AbwBuAGkAYQBjAGEAbABcACIALAAwAC4AMAA2ACwAXAAiAFAAaABvAHMAcABoAG8AcgB1AHMAIAAtACAARwBlAG4AZQByAGkAYwBcACIALAAwAC4AMAA1ACwAXAAiAEMAYQBsAGMAaQB1AG0AXAAiACwAMAAuADAAMwAxACwAXAAiAE0AYQBnAG4AZQBzAGkAdQBtAFwAIgAsADAALgAwADEAMgAsAFwAIgBaAGkAbgBjAFwAIgAsADAALgAwADAAMQAsAFwAIgBCAG8AcgBvAG4AXAAiACwAMAAuADAAMAAwADIALABcACIAXAAiACwAXAAiAFwAIgA7AFwAbgBcACIAQwBhAG0AcABiAGUAbABsAHMAIABmAGUAcgB0AGkAbABpAHMAZQByAHMAIABBAHUAcwB0AHIAYQBsAGkAYQBcACIALABcACIAUABsAGEAdABpAG4AdQBtACAAUABsAHUAcwBcACIALABcACIAawBnAFwAIgAsADEALABcACIAXAAiACwAXAAiAFwAIgAsAFwAIgBcACIALAAxADAALAAxADEALAAxADAALAA2ACwAXAAiAFAAaABvAHMAcABoAG8AcgB1AHMAIAAtACAARwBlAG4AZQByAGkAYwBcACIALAAwAC4AMQAxACwAXAAiAFAAbwB0AGEAcwBzAGkAdQBtACAALQAgAEcAZQBuAGUAcgBpAGMAXAAiACwAMAAuADEALABcACIAUwB1AGwAZgB1AHIAIAAtACAARwBlAG4AZQByAGkAYwBcACIALAAwAC4AMAA2ACwAXAAiAE4AaQB0AHIAbwBnAGUAbgAgAC0AIABOAGkAdAByAGEAdABlAFwAIgAsADAALgAwADUALABcACIATgBpAHQAcgBvAGcAZQBuACAALQAgAEEAbQBtAG8AbgBpAGEAYwBhAGwAXAAiACwAMAAuADAANQAsAFwAIgBDAGEAbABjAGkAdQBtAFwAIgAsADAALgAwADQAMwAsAFwAIgBNAGEAZwBuAGUAcwBpAHUAbQBcACIALAAwAC4AMAAxADIALABcACIAWgBpAG4AYwBcACIALAAwAC4AMAAwADMANgAsAFwAIgBCAG8AcgBvAG4AXAAiACwAMAAuADAAMAAxACwAXAAiAFwAIgAsAFwAIgBcACIAOwBcAG4AXAAiAEMAYQBtAHAAYgBlAGwAbABzACAAZgBlAHIAdABpAGwAaQBzAGUAcgBzACAAQQB1AHMAdAByAGEAbABpAGEAXAAiACwAXAAiAFQAcgBvAHAAaQBrAGEAXAAiACwAXAAiAGsAZwBcACIALAAxACwAXAAiAFwAIgAsAFwAIgBcACIALABcACIAXAAiACwAMQAxACwAMgAuADYALAAyADAALgA4ACwANAAsAFwAIgBOAGkAdAByAG8AZwBlAG4AIAAtACAATgBpAHQAcgBhAHQAZQBcACIALAAwAC4AMAA1ADUALABcACIATgBpAHQAcgBvAGcAZQBuACAALQAgAEEAbQBtAG8AbgBpAGEAYwBhAGwAXAAiACwAMAAuADAANQA1ACwAXAAiAFAAaABvAHMAcABoAG8AcgB1AHMAIAAtACAARwBlAG4AZQByAGkAYwBcACIALAAwAC4AMAAyADYALABcACIAUABvAHQAYQBzAHMAaQB1AG0AIAAtACAARwBlAG4AZQByAGkAYwBcACIALAAwAC4AMgAwADgALABcACIAUwB1AGwAZgB1AHIAIAAtACAARwBlAG4AZQByAGkAYwBcACIALAAwAC4AMAA0ACwAXAAiAE0AYQBnAG4AZQBzAGkAdQBtAFwAIgAsADAALgAwADIANAAsAFwAIgBcACIALABcACIAXAAiACwAXAAiAFwAIgAsAFwAIgBcACIALABcACIAXAAiACwAXAAiAFwAIgAsAFwAIgBcACIALABcACIAXAAiADsAXABuAFwAIgBDAGEAbQBwAGIAZQBsAGwAcwAgAGYAZQByAHQAaQBsAGkAcwBlAHIAcwAgAEEAdQBzAHQAcgBhAGwAaQBhAFwAIgAsAFwAIgBSAHUAcwB0AGkAYwBhACAATgBlAHIAZwBlAHQAaQBjAFwAIgAsAFwAIgBrAGcAXAAiACwAMQAsAFwAIgBcACIALABcACIAXAAiACwAXAAiAFwAIgAsADEAMgAsADUALgAyACwAMQA0AC4AMQAsADkALgA2ACwAXAAiAFAAbwB0AGEAcwBzAGkAdQBtACAALQAgAEcAZQBuAGUAcgBpAGMAXAAiACwAMAAuADEANAAxACwAXAAiAFMAdQBsAGYAdQByACAALQAgAEcAZQBuAGUAcgBpAGMAXAAiACwAMAAuADAAOQA2ACwAXAAiAE4AaQB0AHIAbwBnAGUAbgAgAC0AIABOAGkAdAByAGEAdABlAFwAIgAsADAALgAwADYALABcACIATgBpAHQAcgBvAGcAZQBuACAALQAgAEEAbQBtAG8AbgBpAGEAYwBhAGwAXAAiACwAMAAuADAANgAsAFwAIgBQAGgAbwBzAHAAaABvAHIAdQBzACAALQAgAEcAZQBuAGUAcgBpAGMAXAAiACwAMAAuADAANQAyACwAXAAiAE0AYQBnAG4AZQBzAGkAdQBtAFwAIgAsADAALgAwADEAMgAsAFwAIgBaAGkAbgBjAFwAIgAsADAALgAwADAAMAA4ACwAXAAiAEkAcgBvAG4AXAAiACwAMAAuADAAMAAwADcALABcACIATQBhAG4AZwBhAG4AZQBzAGUAXAAiACwAMAAuADAAMAAwADYALABcACIAQgBvAHIAbwBuAFwAIgAsADAALgAwADAAMAAyADsAXABuAFwAIgBDAGEAbQBwAGIAZQBsAGwAcwAgAGYAZQByAHQAaQBsAGkAcwBlAHIAcwAgAEEAdQBzAHQAcgBhAGwAaQBhAFwAIgAsAFwAIgBRAHUAaQBjAGsALQBOACAATgBlAHIAZwBlAHQAaQBjAFwAIgAsAFwAIgBrAGcAXAAiACwAMQAsAFwAIgBcACIALABcACIAXAAiACwAXAAiAFwAIgAsADIANQAsAFwAIgBcACIALABcACIAXAAiACwAMQAyAC4AOAAsAFwAIgBTAHUAbABwAGgAYQB0AGUAIABvAGYAIABhAG0AbQBvAG4AaQBhACAAKABTAE8AQQApAFwAIgAsADAALgA1ADMAMwAzADMAMwAsAFwAIgBBAG0AbQBvAG4AaQB1AG0AIABuAGkAdAByAGEAdABlACAAKABBAE4AKQBcACIALAAwAC4ANAAwADkANAA5ADYALABcACIAWgBpAG4AYwBcACIALAAwAC4AMAAwADEALABcACIATQBhAG4AZwBhAG4AZQBzAGUAXAAiACwAMAAuADAAMAAxACwAXAAiAEIAbwByAG8AbgBcACIALAAwAC4AMAAwADAAMQAsAFwAIgBNAG8AbAB5AGIAZABlAG4AdQBtAFwAIgAsADAALgAwADAAMAAwADEALABcACIAXAAiACwAXAAiAFwAIgAsAFwAIgBcACIALABcACIAXAAiACwAXAAiAFwAIgAsAFwAIgBcACIALABcACIAXAAiACwAXAAiAFwAIgA7AFwAbgBcACIARgBlAHIAdABQAHIAbwAgAE0AYQBuAHUAZgBhAGMAdAB1AHIAaQBuAGcAIABQAHQAeQAuACAATAB0AGQALgBcACIALABcACIAKABTAFMAUAApACAAUwBpAG4AZwBsAGUAIABTAHUAcABlAHIAIABGAGUAcgB0AGkAbABpAHMAZQBy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FoAaQBuAGMAUwB0AGEAcgBcACIALABcACIAawBnAFwAIgAsADEALABcACIAXAAiACwAXAAiAFwAIgAsAFwAIgBcACIALAAxADAALAAyADEALgA5ACwAMAAsADIALABcACIATQBvAG4AbwBhAG0AbQBvAG4AaQB1AG0AIABwAGgAbwBzAHAAaABhAHQAZQAgACgATQBBAFAAKQBcACIALAAxACwAXAAiAFoAaQBuAGMAXAAiACwAMAAuADAAMQAsAFwAIgBcACIALABcACIAXAAiACwAXAAiAFwAIgAsAFwAIgBcACIALABcACIAXAAiACwAXAAiAFwAIgAsAFwAIgBcACIALABcACIAXAAiACwAXAAiAFwAIgAsAFwAIgBcACIALABcACIAXAAiACwAXAAiAFwAIgAsAFwAIgBcACIALABcACIAXAAiACwAXAAiAFwAIgAsAFwAIgBcACIAOwBcAG4AXAAiAEIAYQBpAGwAZQB5AHMAIAAoAFMAaQBtAHAAbABvAHQAKQAgAFsAbABpAHMAdABlAGQAIABhAHMAIABJAG0AcABhAGMAdABdAFwAIgAsAFwAIgBBAHAAZQB4ACAARwBhAEkAWABlACAATABvAHcAIABQACAAMgAxAC0AMQAtADYAXAAiACwAXAAiAGsAZwBcACIALAAxACwAXAAiAFwAIgAsAFwAIgBcACIALABcACIAXAAiACwAMgAxACwAMAAuADgANgAsADUALgA4ACwANAAuADIALABcACIATgBpAHQAcgBvAGcAZQBuACAALQAgAEcAZQBuAGUAcgBpAGMAXAAiACwAMAAuADIAMQAsAFwAIgBQAG8AdABhAHMAcwBpAHUAbQAgAC0AIABHAGUAbgBlAHIAaQBjAFwAIgAsADAALgAwADUAOAAsAFwAIgBTAHUAbABmAHUAcgAgAC0AIABHAGUAbgBlAHIAaQBjAFwAIgAsADAALgAwADQAMgAsAFwAIgBQAGgAbwBzAHAAaABvAHIAdQBzACAALQAgAEcAZQBuAGUAcgBpAGMAXAAiACwAMAAuADAAMAA4ADYALABcACIAXAAiACwAXAAiAFwAIgAsAFwAIgBcACIALABcACIAXAAiACwAXAAiAFwAIgAsAFwAIgBcACIALABcACIAXAAiACwAXAAiAFwAIgAsAFwAIgBcACIALABcACIAXAAiACwAXAAiAFwAIgAsAFwAIgBcACIAOwBcAG4AXAAiAEkAbgBjAGkAdABlAGMAIABQAGkAdgBvAHQAIABGAGUAcgB0AGkAbABpAHMAZQByAHMAXAAiACwAXAAiAFMAdQBQAGUAcgBmAGUAYwB0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FsAbABpAHMAdABlAGQAIABhAHMAIABTAHUAbQBtAGkAdABdAFwAIgAsAFwAIgBCAGkAZwAgAE4AXAAiACwAXAAiAGsAZwBcACIALAAxACwAXAAiAFwAIgAsAFwAIgBcACIALABcACIAXAAiACwAOAAyAC4AMwA1ACwAXAAiAFwAIgAsAFwAIgBcACIALABcACIAXAAiACwAXAAiAEEAbQBtAG8AbgBp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QBuAHQAZQBjACAAVQByAGUAYQBcACIALABcACIAawBnAFwAIgAsADEALABcACIAWQBlAHM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CAAKABvAHIAIABSAGEAdgBlAG4AcwBkAG8AdwBuACAALQAgAHMAZQBlACAAbgBvAHQAZQApAFwAIgAsAFwAIgBGAGwAZQB4AGkALQBOACAATgBJACAAbwBuAGwAeQBcACIALABcACIAawBnAFwAIgAsADEALABcACIAWQBlAHMAXAAiACwAXAAiAFwAIgAsAFwAIgBcACIALAA0ADUALgA1ADQALABcACIAXAAiACwAXAAiAFwAIgAsAFwAIgBcACIALABcACIAVQByAGUAYQBcACIALAAwAC4AOQA5ACwAXAAiAFUAcgBlAGEAcwBlAC8AbgBpAHQAcgBpAGYAaQBjAGEAdABpAG8AbgAgAGkAbgBoAGkAYgBpAHQAbwByAFwAIgAsADAALgAwADEALABcACIAXAAiACwAXAAiAFwAIgAsAFwAIgBcACIALABcACIAXAAiACwAXAAiAFwAIgAsAFwAIgBcACIALABcACIAXAAiACwAXAAiAFwAIgAsAFwAIgBcACIALABcACIAXAAiACwAXAAiAFwAIgAsAFwAIgBcACIALABcACIAXAAiACwAXAAiAFwAIgAsAFwAIgBcACIALABcACIAXAAiADsAXABuAFwAIgBOAHUAdAByAGkALQBUAGUAYwBoACAAUwBvAGwAdQB0AGkAbwBuAHMAIAAoAE4AVABTACkAXAAiACwAXAAiAE0AdQByAGkAYQB0AGUAIABPAGYAIABQAG8AdABhAHMAaAAgAE0ATwBQAFwAIgAsAFwAIgBrAGcAXAAiACwAMQAsAFwAIgBcACIALABcACIAXAAiACwAXAAiAFwAIgAsAFwAIgBcACIALABcACIAXAAiACwANQAwACwAXAAiAFwAIgAsAFwAIgBNAHUAcgBpAGEAdABlACAAbwBmACAAcABvAHQAYQBzAGgAIAAoAE0ATwBQACkAXAAiACwAMQAsAFwAIgBcACIALABcACIAXAAiACwAXAAiAFwAIgAsAFwAIgBcACIALABcACIAXAAiACwAXAAiAFwAIgAsAFwAIgBcACIALABcACIAXAAiACwAXAAiAFwAIgAsAFwAIgBcACIALABcACIAXAAiACwAXAAiAFwAIgAsAFwAIgBcACIALABcACIAXAAiACwAXAAiAFwAIgAsAFwAIgBcACIALABcACIAXAAiACwAXAAiAFwAIgA7AFwAbgBcACIATgB1AHQAdQByAGYAXAAiACwAXAAiAE0AQQBQACAATgBVAFQAVQBSAEYAXAAiACwAXAAiAGsAZwBcACIALAAxACwAXAAiAFwAIgAsAFwAIgBcACIALABcACIAXAAiACwAMQAwACwAMgAxAC4AOQAsAFwAIgBcACIALABcACIAXAAiACwAXAAiAE0AbwBuAG8AYQBtAG0AbwBuAGkAdQBtACAAcABoAG8AcwBwAGgAYQB0AGUAIAAoAE0AQQBQACkAXAAiACwAM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UQB1AGkAYwBrAC0ATgBcACIALABcACIAawBnAFwAIgAsADEALABcACIAXAAiACwAXAAiAFwAIgAsAFwAIgBcACIALAAyADYALABcACIAXAAiACwAXAAiAFwAIgAsADEAMwAsAFwAIgBTAHUAbABwAGgAYQB0AGUAIABvAGYAIABhAG0AbQBvAG4AaQBhACAAKABTAE8AQQApAFwAIgAsADAALgA1ADQAMQA2ADYANwAsAFwAIgBBAG0AbQBvAG4AaQB1AG0AIABuAGkAdAByAGEAdABlACAAKABBAE4AKQBcACIALAAwAC4ANAAzADMAOQA3ADYALABcACIAXAAiACwAXAAiAFwAIgAsAFwAIgBcACIALABcACIAXAAiACwAXAAiAFwAIgAsAFwAIgBcACIALABcACIAXAAiACwAXAAiAFwAIgAsAFwAIgBcACIALABcACIAXAAiACwAXAAiAFwAIgAsAFwAIgBcACIALABcACIAXAAiACwAXAAiAFwAIgAsAFwAIgBcACIALABcACIAXAAiADsAXABuAFwAIgBTAEwAVABFAEMAIABGAGUAcgB0AGkAbABpAHoAZQByAHMAXAAiACwAXAAiAFUAQQBTAFwAIgAsAFwAIgBMAFwAIgAsADEALgAyADMANQAsAFwAIgBcACIALABcACIAXAAiACwAXAAiAFwAIgAsADIANgAuADYALABcACIAXAAiACwAXAAiAFwAIgAsADYALgA3ACwAXAAiAFUAcgBlAGEAXAAiACwAMAAuADQANQAwADgAMQA1ACwAXAAiAFMAdQBsAHAAaABhAHQAZQAgAG8AZgAgAGEAbQBtAG8AbgBpAGEAIAAoAFMATwBBACkAXAAiACwAMAAuADIANwA5ADEANgA3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UAHIAaQBhAHoAbwBuAGUAIABVAHIAZQBhAFwAIgAsAFwAIgBMAFwAIgAsADEALgAyADgALABcACIAXAAiACwAXAAiAFwAIgAsAFwAIgBcACIALAAwACwAXAAiAFwAIgAsAFwAIgBcACIALABcACIAXAAiACwAXAAiAFUAcgBlAGEAXAAiACwAMAAuADYANQAyADEANwA0ACwAXAAiAFwAIgAsAFwAIgBcACIALABcACIAXAAiACwAXAAiAFwAIgAsAFwAIgBcACIALABcACIAXAAiACwAXAAiAFwAIgAsAFwAIgBcACIALABcACIAXAAiACwAXAAiAFwAIgAsAFwAIgBcACIALABcACIAXAAiACwAXAAiAFwAIgAsAFwAIgBcACIALABcACIAXAAiACwAXAAiAFwAIgAsAFwAIgBcACIALABcACIAXAAiADsAXABuAFwAIgBNAGEAcgBuAGMAbwAgAFsAbABpAHMAdABlAGQAIABhAHMAIABTAEwAVABFAEMAXQBcACIALABcACIAQQBtAG0AbwAgADMANgBOAFwAIgAsAFwAIgBrAGcAXAAiACwAMQAsAFwAIgBcACIALABcACIAXAAiACwAXAAiAFwAIgAsADMANgAsAFwAIgBcACIALABcACIAXAAiACwAOQAuADYALABcACIATgBpAHQAcgBvAGcAZQBuACAALQAgAEcAZQBuAGUAcgBpAGMAXAAiACwAMAAuADMANgAsAFwAIgBTAHUAbABmAHUAcgAgAC0AIABHAGUAbgBlAHIAaQBjAFwAIgAsADAALgAwADkAN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gBpAHMAcwBvACAATABpAHEAdQBpAGQAIABOAFAASwAgACgAMgAwADAALQAyADAAMAAtADIAMAAwACkAXAAiACwAXAAiAEwAXAAiACwAMQAuADMALABcACIAXAAiACwAXAAiAFwAIgAsAFwAIgBcACIALAAyADAALAA4AC4ANwAzACwAMQA2AC4ANgAsAFwAIgBcACIALABcACIATgBpAHQAcgBvAGcAZQBuACAALQAgAEcAZQBuAGUAcgBpAGMAXAAiACwAMAAuADIALABcACIAUABoAG8AcwBwAGgAbwByAHUAcwAgAC0AIABHAGUAbgBlAHIAaQBjAFwAIgAsADAALgAwADgANwAyADgALABcACIAUABvAHQAYQBzAHMAaQB1AG0AIAAtACAARwBlAG4AZQByAGkAYwBcACIALAAwAC4AMQA2ADYAMAAyACwAXAAiAFwAIgAsAFwAIgBcACIALABcACIAXAAiACwAXAAiAFwAIgAsAFwAIgBcACIALABcACIAXAAiACwAXAAiAFwAIgAsAFwAIgBcACIALABcACIAXAAiACwAXAAiAFwAIgAsAFwAIgBcACIALABcACIAXAAiACwAXAAiAFwAIgAsAFwAIgBcACIAOwBcAG4AXAAiAFQAdQByAGYAIABHAHIAbwB1AHAAIABBAHUAcwB0AHIAYQBsAGkAYQAgACgAUwBpAG0AcABsAG8AdAApAFwAIgAsAFwAIgBTAHUAcABlAHIAIABDAGEAbAAgADEANQAtADAALQAxADIAXAAiACwAXAAiAGsAZwBcACIALAAxACwAXAAiAFwAIgAsAFwAIgBcACIALABcACIAXAAiACwAMQA1ACwAXAAiAFwAIgAsADkALgA5ADYALABcACIAXAAiACwAXAAiAE4AaQB0AHIAbwBnAGUAbgAgAC0AIABOAGkAdAByAGEAdABlAFwAIgAsADAALgAwADgANAA3ADMANwAsAFwAIgBQAG8AdABhAHMAcwBpAHUAbQAgAC0AIABHAGUAbgBlAHIAaQBjAFwAIgAsADAALgAwADkAOQA2ADEAMgAsAFwAIgBDAGEAbABjAGkAdQBtACAAbgBpAHQAcgBhAHQAZQBcACIALAAwAC4ANAAyADEAMAA1ADMALABcACIATQBhAGcAbgBlAHMAaQB1AG0AXAAiACwAMAAuADAAMAA1ACwAXAAiAEIAbwByAG8AbgBcACIALAAwAC4AMAAwADAAMgAsAFwAIgBcACIALABcACIAXAAiACwAXAAiAFwAIgAsAFwAIgBcACIALABcACIAXAAiACwAXAAiAFwAIgAsAFwAIgBcACIALABcACIAXAAiACwAXAAiAFwAIgAsAFwAIgBcACIAOwBcAG4AXAAiAEkAbgBjAGkAdABlAGMAIABQAGkAdgBvAHQAIABGAGUAcgB0AGkAbABpAHMAZQByAHMAXAAiACwAXAAiAEMASwAgADgAOABcACIALABcACIAawBnAFwAIgAsADEALABcACIAXAAiACwAXAAiAFwAIgAsAFwAIgBcACIALAAxADUALgAxACwANAAuADQALAAxADEALgA1ACwAMQAzAC4ANgAsAFwAIgBOAGkAdAByAG8AZwBlAG4AIAAtACAARwBlAG4AZQByAGkAYwBcACIALAAwAC4AMQA1ADEALABcACIAUABoAG8AcwBwAGgAbwByAHUAcwAgAC0AIABHAGUAbgBlAHIAaQBjAFwAIgAsADAALgAwADQANAAsAFwAIgBQAG8AdABhAHMAcwBpAHUAbQAgAC0AIABHAGUAbgBlAHIAaQBjAFwAIgAsADAALgAxADEANQAsAFwAIgBTAHUAbABmAHUAcgAgAC0AIABHAGUAbgBlAHIAaQBjAFwAIgAsADAALgAxADMANgAsAFwAIgBcACIALABcACIAXAAiACwAXAAiAFwAIgAsAFwAIgBcACIALABcACIAXAAiACwAXAAiAFwAIgAsAFwAIgBcACIALABcACIAXAAiACwAXAAiAFwAIgAsAFwAIgBcACIALABcACIAXAAiACwAXAAiAFwAIgA7AFwAbgBcACIASQBuAGMAaQB0AGUAYwAgAFAAaQB2AG8AdAAgAEYAZQByAHQAaQBsAGkAcwBlAHIAcwBcACIALABcACIAQwByAG8AcABMAGkAZgB0ACAAMQA1AFwAIgAsAFwAIgBrAGcAXAAiACwAMQAsAFwAIgBcACIALABcACIAXAAiACwAXAAiAFwAIgAsADEANAAuADYALAAxADIALgAxACwAXAAiAFwAIgAsADEAMQAuADYALABcACIATgBpAHQAcgBvAGcAZQBuACAALQAgAEcAZQBuAGUAcgBpAGMAXAAiACwAMAAuADEANAA2ACwAXAAiAFAAaABvAHMAcABoAG8AcgB1AHMAIAAtACAARwBlAG4AZQByAGkAYwBcACIALAAwAC4AMQAyADEALABcACIAUwB1AGwAZgB1AHIAIAAtACAARwBlAG4AZQByAGkAYwBcACIALAAwAC4AMQAxADY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TgBQAEsAUwAgADEAOQAtADEAMwAtADAALQA5AFwAIgAsAFwAIgBrAGcAXAAiACwAMQAsAFwAIgBcACIALABcACIAXAAiACwAXAAiAFwAIgAsADEAOQAsADEAMwAsADAALAA5ACwAXAAiAE4AaQB0AHIAbwBnAGUAbgAgAC0AIABHAGUAbgBlAHIAaQBjAFwAIgAsADAALgAxADkALABcACIAUABoAG8AcwBwAGgAbwByAHUAcwAgAC0AIABHAGUAbgBlAHIAaQBjAFwAIgAsADAALgAxADMALABcACIAUwB1AGwAZgB1AHIAIAAtACAARwBlAG4AZQByAGkAYwBcACIALAAwAC4AMAA5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FAAYQBzAHQAdQByAGUAQgBvAG8AcwB0AGEAXAAiACwAXAAiAGsAZwBcACIALAAxACwAXAAiAFwAIgAsAFwAIgBcACIALABcACIAXAAiACwAMgAzAC4AOAAsADMALgA3ACwAMQAzACwANAAuADEALABcACIATgBpAHQAcgBvAGcAZQBuACAALQAgAEcAZQBuAGUAcgBpAGMAXAAiACwAMAAuADIAMwA4ACwAXAAiAFAAaABvAHMAcABoAG8AcgB1AHMAIAAtACAARwBlAG4AZQByAGkAYwBcACIALAAwAC4AMAAzADcALABcACIAUABvAHQAYQBzAHMAaQB1AG0AIAAtACAARwBlAG4AZQByAGkAYwBcACIALAAwAC4AMQAzACwAXAAiAFMAdQBsAGYAdQByACAALQAgAEcAZQBuAGUAcgBpAGMAXAAiACwAMAAuADAANAAxACwAXAAiAFwAIgAsAFwAIgBcACIALABcACIAXAAiACwAXAAiAFwAIgAsAFwAIgBcACIALABcACIAXAAiACwAXAAiAFwAIgAsAFwAIgBcACIALABcACIAXAAiACwAXAAiAFwAIgAsAFwAIgBcACIALABcACIAXAAiADsAXABuAFwAIgBJAG4AYwBpAHQAZQBjACAAUABpAHYAbwB0ACAARgBlAHIAdABpAGwAaQBzAGUAcgBzAFwAIgAsAFwAIgBHAHIAZQBlAG4AdABvAHAAIABLAFwAIgAsAFwAIgBrAGcAXAAiACwAMQAsAFwAIgBcACIALABcACIAXAAiACwAXAAiAFwAIgAsADMAMgAuADgALABcACIAXAAiACwAMQAxACwAMgAuADkALABcACIAVQByAGUAYQBcACIALAAwAC4ANgA2ADAAOAA3ACwAXAAiAE4AaQB0AHIAbwBnAGUAbgAgAC0AIABBAG0AbQBvAG4AaQBhAGMAYQBsAFwAIgAsADAALgAwADIANAAsAFwAIgBQAG8AdABhAHMAcwBpAHUAbQAgAC0AIABHAGUAbgBlAHIAaQBjAFwAIgAsADAALgAxADEALABcACIAUwB1AGwAZgB1AHIAIAAtACAARwBlAG4AZQByAGkAYwBcACIALAAwAC4AMAAyADkALABcACIAXAAiACwAXAAiAFwAIgAsAFwAIgBcACIALABcACIAXAAiACwAXAAiAFwAIgAsAFwAIgBcACIALABcACIAXAAiACwAXAAiAFwAIgAsAFwAIgBcACIALABcACIAXAAiACwAXAAiAFwAIgAsAFwAIgBcACIAOwBcAG4AXAAiAEkAbgBjAGkAdABlAGMAIABQAGkAdgBvAHQAIABGAGUAcgB0AGkAbABpAHMAZQByAHMAXAAiACwAXAAiAEgAYQB5AEIAbwBvAHMAdABhAFwAIgAsAFwAIgBrAGcAXAAiACwAMQAsAFwAIgBcACIALABcACIAXAAiACwAXAAiAFwAIgAsADEAMQAuADcALAA0AC4ANwAsADIAMwAuADkALAA0AC4ANgAsAFwAIgBOAGkAdAByAG8AZwBlAG4AIAAtACAARwBlAG4AZQByAGkAYwBcACIALAAwAC4AMQAxADcALABcACIAUABoAG8AcwBwAGgAbwByAHUAcwAgAC0AIABHAGUAbgBlAHIAaQBjAFwAIgAsADAALgAwADQANwAsAFwAIgBQAG8AdABhAHMAcwBpAHUAbQAgAC0AIABHAGUAbgBlAHIAaQBjAFwAIgAsADAALgAyADMAOQAsAFwAIgBTAHUAbABmAHUAcgAgAC0AIABHAGUAbgBlAHIAaQBjAFwAIgAsADAALgAwADQ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0AFwAbgA9AEwAQQBNAEIARABBACgAXABuACAATQBBAEsARQBBAFIAUgBBAFkAKAAzADAALAAgADMAMQAsAFwAbgAgAEwAQQBNAEIARABBACgAcgAsAGMALABcAG4AIAAgAEkATgBEAEUAWAAoAHsAXABuAFwAIgBJAG0AcABhAGMAdAAgAEYAZQByAHQAaQBsAGkAcwBlAHIAcwBcACIALABcACIASQBtAHAAYQBjAHQAIABTAHUAcABlAHIAIABQAG8AdABhAHMAaAAgADEAXAB1ADAAMAAyADYAMQBcACIALABcACIAawBnAFwAIgAsADEALABcACIAXAAiACwAXAAiAFwAIgAsAFwAIgBcACIALABcACIAXAAiACwANAAuADQALAAyADUALAA1AC4ANQAsAFwAIgBTAGkAbgBnAGwAZQAgAHMAdQBwAGUAcgBwAGgAbwBzAHAAaABhAHQAZQAgACgAUwBTAFAAKQBcACIALAAwAC4ANQAsAFwAIgBNAHUAcgBpAGEAdABlACAAbwBmACAAcABvAHQAYQBzAGgAIAAoAE0ATwBQACkAXAAiACwAMAAu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IAXAB1ADAAMAAyADYAMQBcACIALABcACIAawBnAFwAIgAsADEALABcACIAXAAiACwAXAAiAFwAIgAsAFwAIgBcACIALABcACIAXAAiACwANQAuADgANAAsADEANgAuADgALAA3AC4AMgA5ACwAXAAiAFMAaQBuAGcAbABlACAAcwB1AHAAZQByAHAAaABvAHMAcABoAGEAdABlACAAKABTAFMAUAApAFwAIgAsADAALgA2ADYAMwAxADUAOAAsAFwAIgBNAHUAcgBpAGEAdABlACAAbwBmACAAcABvAHQAYQBzAGgAIAAoAE0ATwBQACkAXAAiACwAMAAuADMAMwA2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zAFwAdQAwADAAMgA2ADEAXAAiACwAXAAiAGsAZwBcACIALAAxACwAXAAiAFwAIgAsAFwAIgBcACIALABcACIAXAAiACwAXAAiAFwAIgAsADYALgA1ADgALAAxADIALgA1ACwAOAAuADIAMgAsAFwAIgBTAGkAbgBnAGwAZQAgAHMAdQBwAGUAcgBwAGgAbwBzAHAAaABhAHQAZQAgACgAUwBTAFAAKQBcACIALAAwAC4ANwA0ADcAMwA2ADgALABcACIATQB1AHIAaQBhAHQAZQAgAG8AZgAgAHAAbwB0AGEAcwBoACAAKABNAE8AUAApAFwAIgAsADAALgAy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QAXAB1ADAAMAAyADYAMQBcACIALABcACIAawBnAFwAIgAsADEALABcACIAXAAiACwAXAAiAFwAIgAsAFwAIgBcACIALABcACIAXAAiACwANwAuADAANAAsADEAMAAsADgALgA4ACwAXAAiAFMAaQBuAGcAbABlACAAcwB1AHAAZQByAHAAaABvAHMAcABoAGEAdABlACAAKABTAFMAUAApAFwAIgAsADAALgA4ACwAXAAiAE0AdQByAGkAYQB0AGUAIABvAGYAIABwAG8AdABhAHMAaAAgACgATQBPAFAAKQBcACIALAAwAC4AM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NQBcAHUAMAAwADIANgAxAFwAIgAsAFwAIgBrAGcAXAAiACwAMQAsAFwAIgBcACIALABcACIAXAAiACwAXAAiAFwAIgAsAFwAIgBcACIALAA3AC4AMwAyACwAOAAuADQALAA5AC4AMQA1ACwAXAAiAFMAaQBuAGcAbABlACAAcwB1AHAAZQByAHAAaABvAHMAcABoAGEAdABlACAAKABTAFMAUAApAFwAIgAsADAALgA4ADMAMQA1ADcAOQAsAFwAIgBNAHUAcgBpAGEAdABlACAAbwBmACAAcABvAHQAYQBzAGgAIAAoAE0ATwBQACkAXAAiACwAMAAuADEANgA4ACwAXAAiAFwAIgAsAFwAIgBcACIALABcACIAXAAiACwAXAAiAFwAIg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FwAIgAsAFwAIgBrAGcAXAAiACwAMQAsAFwAIgBcACIALABcACIAXAAiACwAXAAiAFwAIgAsADIAMwAuADkALABcACIAXAAiACwAXAAiAFwAIgAsADEAMAAuADgALABcACIATgBpAHQAcgBvAGcAZQBuACAALQAgAE4AaQB0AHIAYQB0AGUAXAAiACwAMAAuADAANwA0ACwAXAAiAE4AaQB0AHIAbwBnAGUAbgAgAC0AIABBAG0AbQBvAG4AaQBhAGMAYQBsAFwAIgAsADAALgAxADYANQAsAFwAIgBTAHUAbABmAHUAcgAgAC0AIABHAGUAbgBlAHIAaQBjAFwAIgAsADAALgAxADAAOAAsAFwAIgBDAGEAbABjAGkAdQBtAFwAIgAsADAALgAwADQANA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FwAIgAsAFwAIgBrAGcAXAAiACwAMQAsAFwAIgBcACIALABcACIAXAAiACwAXAAiAFwAIgAsADEANwAuADkALABcACIAXAAiACwAMQA1ACwAMwAuADYALABcACIATgBpAHQAcgBvAGcAZQBuACAALQAgAE4AaQB0AHIAYQB0AGUAXAAiACwAMAAuADAANQA1ACwAXAAiAE4AaQB0AHIAbwBnAGUAbgAgAC0AIABBAG0AbQBvAG4AaQBhAGMAYQBsAFwAIgAsADAALgAxADIANAAsAFwAIgBQAG8AdABhAHMAcwBpAHUAbQAgAC0AIABHAGUAbgBlAHIAaQBjAFwAIgAsADAALgAxADUALABcACIAUwB1AGwAZgB1AHIAIAAtACAARwBlAG4AZQByAGkAYwBcACIALAAwAC4AMAAzADYALABcACIAQwBhAGwAYwBpAHUAbQBcACIALAAwAC4AMAA0ADQALABcACIAXAAiACwAXAAiAFwAIg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A1ADAALwA1ADAAIAAoAFMAKQBcACIALABcACIAawBnAFwAIgAsADEALABcACIAXAAiACwAXAAiAFwAIgAsAFwAIgBcACIALAAxADYALgA5ACwAXAAiAFwAIgAsADEANAAuADQALAA4AC4ANwAsAFwAIgBOAGkAdAByAG8AZwBlAG4AIAAtACAATgBpAHQAcgBhAHQAZQBcACIALAAwAC4AMAA1ADIALABcACIATgBpAHQAcgBvAGcAZQBuACAALQAgAEEAbQBtAG8AbgBpAGEAYwBhAGwAXAAiACwAMAAuADEAMQA3ACwAXAAiAFAAbwB0AGEAcwBzAGkAdQBtACAALQAgAEcAZQBuAGUAcgBpAGMAXAAiACwAMAAuADEANAA0ACwAXAAiAFMAdQBsAGYAdQByACAALQAgAEcAZQBuAGUAcgBpAGMAXAAiACwAMAAuADAAOAA3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zADAAXAAiACwAXAAiAGsAZwBcACIALAAxACwAXAAiAFwAIgAsAFwAIgBcACIALABcACIAXAAiACwAMQA4AC4AOAAsADEALAAxADIALgA1ACwAMwAuADcALABcACIATgBpAHQAcgBvAGcAZQBuACAALQAgAE4AaQB0AHIAYQB0AGUAXAAiACwAMAAuADAANQA4ACwAXAAiAE4AaQB0AHIAbwBnAGUAbgAgAC0AIABBAG0AbQBvAG4AaQBhAGMAYQBsAFwAIgAsADAALgAxADMALABcACIAUABoAG8AcwBwAGgAbwByAHUAcwAgAC0AIABHAGUAbgBlAHIAaQBjAFwAIgAsADAALgAwADEALABcACIAUABvAHQAYQBzAHMAaQB1AG0AIAAtACAARwBlAG4AZQByAGkAYwBcACIALAAwAC4AMQAyADUALABcACIAUwB1AGwAZgB1AHIAIAAtACAARwBlAG4AZQByAGkAYwBcACIALAAwAC4AMAAzADc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1ADAAXAAiACwAXAAiAGsAZwBcACIALAAxACwAXAAiAFwAIgAsAFwAIgBcACIALABcACIAXAAiACwAMQA4AC4ANgAsADMALAAxADIALgA1ACwAMQAuADQALABcACIATgBpAHQAcgBvAGcAZQBuACAALQAgAE4AaQB0AHIAYQB0AGUAXAAiACwAMAAuADAANQA4ACwAXAAiAE4AaQB0AHIAbwBnAGUAbgAgAC0AIABBAG0AbQBvAG4AaQBhAGMAYQBsAFwAIgAsADAALgAxADIAOAAsAFwAIgBQAGgAbwBzAHAAaABvAHIAdQBzACAALQAgAEcAZQBuAGUAcgBpAGMAXAAiACwAMAAuADAAMwAsAFwAIgBQAG8AdABhAHMAcwBpAHUAbQAgAC0AIABHAGUAbgBlAHIAaQBjAFwAIgAsADAALgAxADIANQAsAFwAIgBTAHUAbABmAHUAcgAgAC0AIABHAGUAbgBlAHIAaQBjAFwAIgAsADAALgAwADEANAAsAFwAIgBDAGEAbABjAGkAdQBtAFwAIgAsADAALgAwADQANA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BFAHgAdAByAGEAIABLAFwAIgAsAFwAIgBrAGcAXAAiACwAMQAsAFwAIgBcACIALABcACIAXAAiACwAXAAiAFwAIgAsADEANQAuADgALABcACIAXAAiACwAMQA5ACwAMwAuADIALABcACIATgBpAHQAcgBvAGcAZQBuACAALQAgAE4AaQB0AHIAYQB0AGUAXAAiACwAMAAuADAANAA5ACwAXAAiAE4AaQB0AHIAbwBnAGUAbgAgAC0AIABBAG0AbQBvAG4AaQBhAGMAYQBsAFwAIgAsADAALgAxADAAOQAsAFwAIgBQAG8AdABhAHMAcwBpAHUAbQAgAC0AIABHAGUAbgBlAHIAaQBjAFwAIgAsADAALgAxADkALABcACIAUwB1AGwAZgB1AHIAIAAtACAARwBlAG4AZQByAGkAYwBcACIALAAwAC4AMAAzADIALABcACIAQwBhAGwAYwBpAHUAbQBcACIALAAwAC4AMAAzADkALABcACIAXAAiACwAXAAiAFwAIgAsAFwAIgBcACIALABcACIAXAAiACwAXAAiAFwAIgAsAFwAIgBcACIALABcACIAXAAiACwAXAAiAFwAIgAsAFwAIgBcACIALABcACIAXAAiADsAXABuAFwAIgBJAG4AYwBpAHQAZQBjACAAUABpAHYAbwB0ACAARgBlAHIAdABpAGwAaQBzAGUAcgBzAFwAIgAsAFwAIgBEAGEAaQByAHkAIABQAHIAbwBcACIALABcACIAawBnAFwAIgAsADEALABcACIAXAAiACwAXAAiAFwAIgAsAFwAIgBcACIALAAyADUALgA5ACwAMwAuADkALAAxADUALgA5ACwAMAAuADMALABcACIATgBpAHQAcgBvAGcAZQBuACAALQAgAEcAZQBuAGUAcgBpAGMAXAAiACwAMAAuADIANQA5ACwAXAAiAFAAaABvAHMAcABoAG8AcgB1AHMAIAAtACAARwBlAG4AZQByAGkAYwBcACIALAAwAC4AMAAzADkALABcACIAUABvAHQAYQBzAHMAaQB1AG0AIAAtACAARwBlAG4AZQByAGkAYwBcACIALAAwAC4AMQA1ADkALABcACIAUwB1AGwAZgB1AHIAIAAtACAARwBlAG4AZQByAGkAYwBcACIALAAwAC4AMAAwADMALABcACIAXAAiACwAXAAiAFwAIgAsAFwAIgBcACIALABcACIAXAAiACwAXAAiAFwAIgAsAFwAIgBcACIALABcACIAXAAiACwAXAAiAFwAIgAsAFwAIgBcACIALABcACIAXAAiACwAXAAiAFwAIgAsAFwAIgBcACIAOwBcAG4AXAAiAFkAYQByAGEAIABBAHUAcwB0AHIAYQBsAGkAYQBcACIALABcACIAWQBhAHIAYQBNAGkAbABhACAAQQBDAFQAWQBWAEEAIABTAFwAIgAsAFwAIgBrAGcAXAAiACwAMQAsAFwAIgBcACIALABcACIAXAAiACwAXAAiAFwAIgAsADEANQAuADYALAA2AC4AMwA3ACwAMQAyAC4ANAA1ACwAMgAuADYALABcACIATgBpAHQAcgBvAGcAZQBuACAALQAgAE4AaQB0AHIAYQB0AGUAXAAiACwAMAAuADAANQA4ACwAXAAiAE4AaQB0AHIAbwBnAGUAbgAgAC0AIABBAG0AbQBvAG4AaQBhAGMAYQBsAFwAIgAsADAALgAwADkAOAAsAFwAIgBQAGgAbwBzAHAAaABvAHIAdQBzACAALQAgAEcAZQBuAGUAcgBpAGMAXAAiACwAMAAuADAANgAzADcAMQA0ACwAXAAiAFAAbwB0AGEAcwBzAGkAdQBtACAALQAgAEcAZQBuAGUAcgBpAGMAXAAiACwAMAAuADEAMgA0ADUAMQA1ACwAXAAiAFMAdQBsAGYAdQByACAALQAgAEcAZQBuAGUAcgBpAGMAXAAiACwAMAAuADAAMgA2ACwAXAAiAFwAIgAsAFwAIgBcACIALABcACIAXAAiACwAXAAiAFwAIgAsAFwAIgBcACIALABcACIAXAAiACwAXAAiAFwAIgAsAFwAIgBcACIALABcACIAXAAiACwAXAAiAFwAIgA7AFwAbgBcACIAQwBTAEIAUABcACIALABcACIAQQBnAGYAbABvAHcAIABFAHgAdAByAGEAXAAiACwAXAAiAGsAZwBcACIALAAxACwAXAAiAFwAIgAsAFwAIgBcACIALABcACIAXAAiACwAMQAxAC4AMQA1ACwAMQA3AC4ANQAyACwAXAAiAFwAIgAsADMALgA2ACwAXAAiAE0AbwBuAG8AYQBtAG0AbwBuAGkAdQBtACAAcABoAG8AcwBwAGgAYQB0AGUAIAAoAE0AQQBQACkAXAAiACwAMAAuADgALABcACIAUwB1AGwAcABoAGEAdABlACAAbwBmACAAYQBtAG0AbwBuAGkAYQAgACgAUwBPAEEAKQBcACIALAAwAC4AMQA1ACwAXAAiAEMAbwBwAHAAZQByAFwAIgAsAFwAIgBOAG8AIABkAGEAdABhAFwAIgAsAFwAIgBNAG8AbAB5AGIAZABlAG4AdQBtAFwAIgAsAFwAIgBOAG8AIABkAGEAdABhAFwAIgAsAFwAIgBaAGkAbgBjAFwAIgAsAFwAIgBOAG8AIABkAGEAdABhAFwAIgAsAFwAIgBcACIALABcACIAXAAiACwAXAAiAFwAIgAsAFwAIgBcACIALABcACIAXAAiACwAXAAiAFwAIgAsAFwAIgBcACIALABcACIAXAAiACwAXAAiAFwAIgAsAFwAIgBcACIAOwBcAG4AXAAiAEMAUwBCAFAAXAAiACwAXAAiAFMAdQBwAGUAcgAgAFwAdQAwADAAMgA2ACAAUABvAHQAYQBzAGgAIAAzADoAMQBcACIALABcACIAawBnAFwAIgAsADEALABcACIAXAAiACwAXAAiAFwAIgAsAFwAIgBcACIALABcACIAXAAiACwANQAuADUALAAxADUALAA2AC4AOAA4ACwAXAAiAFMAaQBuAGcAbABlACAAcwB1AHAAZQByAHAAaABvAHMAcABoAGEAdABlACAAKABTAFMAUAApAFwAIgAsADAALgA2ADIANQAsAFwAIgBNAHUAcgBpAGEAdABlACAAbwBmACAAcABvAHQAYQBzAGgAIAAoAE0ATwBQACkAXAAiACwAMAAuADMALABcACIAXAAiACwAXAAiAFwAIgAsAFwAIgBcACIALABcACIAXAAiACwAXAAiAFwAIgAsAFwAIgBcACIALABcACIAXAAiACwAXAAiAFwAIgAsAFwAIgBcACIALABcACIAXAAiACwAXAAiAFwAIgAsAFwAIgBcACIALABcACIAXAAiACwAXAAiAFwAIgAsAFwAIgBcACIALABcACIAXAAiADsAXABuAFwAIgBZAGEAcgBhAFwAIgAsAFwAIgBZAGEAcgBhAEIAZQBsAGEAIABDAEEATgAtADIANwBcACIALABcACIAawBnAFwAIgAsADEALABcACIAXAAiACwAXAAiAFwAIgAsAFwAIgBcACIALAAyADcALABcACIAXAAiACwAXAAiAFwAIgAsAFwAIgBcACIALABcACIAQwBhAGwAYwBpAHUAbQAgAGEAbQBtAG8AbgBpAHUAbQAgAG4AaQB0AHIAYQB0AGUAIAAoAEMAQQBO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QwBhAGwALQBHAHIAYQBuACAAQQBmAHQAZQByAGcAcgBhAHoAZQBcACIALABcACIAawBnAFwAIgAsADEALABcACIAXAAiACwAXAAiAFwAIgAsAFwAIgBcACIALAAyADAALgA2ACwAMwAsADcALgA1ACwAMwAuADgALABcACIATgBpAHQAcgBvAGcAZQBuACAALQAgAE4AaQB0AHIAYQB0AGUAXAAiACwAMAAuADAANgA0ACwAXAAiAE4AaQB0AHIAbwBnAGUAbgAgAC0AIABBAG0AbQBvAG4AaQBhAGMAYQBsAFwAIgAsADAALgAxADQAMgAsAFwAIgBQAGgAbwBzAHAAaABvAHIAdQBzACAALQAgAEcAZQBuAGUAcgBpAGMAXAAiACwAMAAuADAAMwAsAFwAIgBQAG8AdABhAHMAcwBpAHUAbQAgAC0AIABHAGUAbgBlAHIAaQBjAFwAIgAsADAALgAwADcANQAsAFwAIgBTAHUAbABmAHUAcgAgAC0AIABHAGUAbgBlAHIAaQBjAFwAIgAsADAALgAwADMAOAAsAFwAIgBDAGEAbABjAGkAdQBtAFwAIgAsADAALgAwADQANAAsAFwAIgBcACIALABcACIAXAAiACwAXAAiAFwAIgAsAFwAIgBcACIALABcACIAXAAiACwAXAAiAFwAIgAsAFwAIgBcACIALABcACIAXAAiADsAXABuAFwAIgBJAG4AYwBpAHQAZQBjACAAUABpAHYAbwB0ACAARgBlAHIAdABpAGwAaQBzAGUAcgBzAFwAIgAsAFwAIgBDAGEAbAAtAEcAcgBhAG4AIABQAHIAbwBkAHIAZQBzAHMAXAAiACwAXAAiAGsAZwBcACIALAAxACwAXAAiAFwAIgAsAFwAIgBcACIALABcACIAXAAiACwAMQA3AC4AOAAsADEALAAxADUALAAyAC4ANQAsAFwAIgBOAGkAdAByAG8AZwBlAG4AIAAtACAATgBpAHQAcgBhAHQAZQBcACIALAAwAC4AMAA1ADUALABcACIATgBpAHQAcgBvAGcAZQBuACAALQAgAEEAbQBtAG8AbgBpAGEAYwBhAGwAXAAiACwAMAAuADEAMgAzACwAXAAiAFAAaABvAHMAcABoAG8AcgB1AHMAIAAtACAARwBlAG4AZQByAGkAYwBcACIALAAwAC4AMAAxACwAXAAiAFAAbwB0AGEAcwBzAGkAdQBtACAALQAgAEcAZQBuAGUAcgBpAGMAXAAiACwAMAAuADEANQAsAFwAIgBTAHUAbABmAHUAcgAgAC0AIABHAGUAbgBlAHIAaQBjAFwAIgAsADAALgAwADIANQAsAFwAIgBDAGEAbABjAGkAdQBtAFwAIgAsADAALgAwADQANAAsAFwAIgBcACIALABcACIAXAAiACwAXAAiAFwAIgAsAFwAIgBcACIALABcACIAXAAiACwAXAAiAFwAIgAsAFwAIgBcACIALABcACIAXAAiADsAXABuAFwAIgBXAGUAbgBnAGYAdQAgAEEAdQBzAHQAcgBhAGwAaQBhAFwAIgAsAFwAIgBXAGUAbgBnAGYAdQAgAFAAcgBpAG0AZQBaAGkAbgBjACAAMQAwAFwAIgAsAFwAIgBrAGcAXAAiACwAMQAsAFwAIgBcACIALABcACIAXAAiACwAXAAiAFwAIgAsADEAMAAsADIAMgAsAFwAIgBcACIALAAxAC4ANQAsAFwAIgBOAGkAdAByAG8AZwBlAG4AIAAtACAARwBlAG4AZQByAGkAYwBcACIALAAwAC4AMQAsAFwAIgBQAGgAbwBzAHAAaABvAHIAdQBzACAALQAgAEcAZQBuAGUAcgBpAGMAXAAiACwAMAAuADIAMgAsAFwAIgBTAHUAbABmAHUAcgAgAC0AIABHAGUAbgBlAHIAaQBjAFwAIgAsADAALgAwADEANQAsAFwAIgBaAGkAbgBjAFwAIgAsADAALgAwADEALABcACIAXAAiACwAXAAiAFwAIgAsAFwAIgBcACIALABcACIAXAAiACwAXAAiAFwAIgAsAFwAIgBcACIALABcACIAXAAiACwAXAAiAFwAIgAsAFwAIgBcACIALABcACIAXAAiACwAXAAiAFwAIgAsAFwAIgBcACIAOwBcAG4AXAAiAFcAZQBuAGcAZgB1ACAAQQB1AHMAdAByAGEAbABpAGEAXAAiACwAXAAiAFcAZQBuAGcAZgB1ACAAUABhAHMAdAB1AHIAZQAgAEsAaQBuAGcAXAAiACwAXAAiAGsAZwBcACIALAAxACwAXAAiAFwAIgAsAFwAIgBcACIALABcACIAXAAiACwAXAAiAFwAIgAsADEANQAuADcALABcACIAXAAiACwANAAuADYALABcACIAUABoAG8AcwBwAGgAbwByAHUAcwAgAC0AIABHAGUAbgBlAHIAaQBjAFwAIgAsADAALgAxADUANwAsAFwAIgBTAHUAbABmAHUAcgAgAC0AIABHAGUAbgBlAHIAaQBjAFwAIgAsADAALgAwADQANgAsAFwAIgBDAGEAbABjAGkAdQBtAFwAIgAsADAALgAxADQALABcACIAXAAiACwAXAAiAFwAIgAsAFwAIgBcACIALABcACIAXAAiACwAXAAiAFwAIgAsAFwAIgBcACIALABcACIAXAAiACwAXAAiAFwAIgAsAFwAIgBcACIALABcACIAXAAiACwAXAAiAFwAIgAsAFwAIgBcACIALABcACIAXAAiACwAXAAiAFwAIgA7AFwAbgBcACIAVwBlAG4AZwBmAHUAIABBAHUAcwB0AHIAYQBsAGkAYQBcACIALABcACIAVwBlAG4AZwBmAHUAIABTAHUAUwB0AGEAaQBuAFwAIgAsAFwAIgBrAGcAXAAiACwAMQAsAFwAIgBcACIALABcACIAXAAiACwAXAAiAFwAIgAsAFwAIgBcACIALABcACIAXAAiACwAXAAiAFwAIgAsADkAMAAsAFwAIgBTAHUAbABmAHUAcgAgAC0AIABHAGUAbgBlAHIAaQBjAFwAIgAsADAALgA5ACwAXAAiAFwAIgAsAFwAIgBcACI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bABhAG0AXAAiACwAXAAiAGsAZwBcACIALAAxACwAXAAiAFwAIgAsAFwAIgBcACIALABcACIAXAAiACwAMQA5AC4ANQAsADAALgA3ACwAXAAiAFwAIgAsADIAMwAsAFwAIgBOAGkAdAByAG8AZwBlAG4AIAAtACAARwBlAG4AZQByAGkAYwBcACIALAAwAC4AMQA5ADUALABcACIAUABoAG8AcwBwAGgAbwByAHUAcwAgAC0AIABHAGUAbgBlAHIAaQBjAFwAIgAsADAALgAwADAANwAsAFwAIgBTAHUAbABmAHUAcgAgAC0AIABHAGUAbgBlAHIAaQBjAFwAIgAsADAALgAyADMALABcACIAXAAiACwAXAAiAFwAIgAsAFwAIgBcACIALABcACIAXAAiACwAXAAiAFwAIgAsAFwAIgBcACIALABcACIAXAAiACwAXAAiAFwAIgAsAFwAIgBcACIALABcACIAXAAiACwAXAAiAFwAIgAsAFwAIgBcACIALABcACIAXAAiACwAXAAiAFwAIgA7AFwAbgBcACIAVwBlAG4AZwBmAHUAIABBAHUAcwB0AHIAYQBsAGkAYQBcACIALABcACIAVwBlAG4AZwBmAHUAIABQAHIAaQBtAGUAIABNAFMAWgBcACIALABcACIAawBnAFwAIgAsADEALABcACIAXAAiACwAXAAiAFwAIgAsAFwAIgBcACIALAAxADAALAAxADgALABcACIAXAAiACwAOAAsAFwAIgBOAGkAdAByAG8AZwBlAG4AIAAtACAARwBlAG4AZQByAGkAYwBcACIALAAwAC4AMQAsAFwAIgBQAGgAbwBzAHAAaABvAHIAdQBzACAALQAgAEcAZQBuAGUAcgBpAGMAXAAiACwAMAAuADEAOAAsAFwAIgBTAHUAbABmAHUAcgAgAC0AIABHAGUAbgBlAHIAaQBjAFwAIgAsADAALgAwADgALABcACIAWgBpAG4AYwBcACIALAAwAC4AMAAwADUALABcACIAXAAiACwAXAAiAFwAIgAsAFwAIgBcACIALABcACIAXAAiACwAXAAiAFwAIgAsAFwAIgBcACIALABcACIAXAAiACwAXAAiAFwAIgAsAFwAIgBcACIALABcACIAXAAiACwAXAAiAFwAIgAsAFwAIgBcACIAOwBcAG4AXAAiAFcAZQBuAGcAZgB1ACAAQQB1AHMAdAByAGEAbABpAGEAXAAiACwAXAAiAFcAZQBuAGcAZgB1ACAAOQAtADIAMAAtADAALQAxADAAIABNAEEAUAAgAFMAdQBTAHQAYQBpAG4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xADUALQAxADcALQAwAC0AMQA1ACAARABBAFAAIABTAHUAUwB0AGEAaQBuAFwAIgAsAFwAIgBrAGcAXAAiACwAMQAsAFwAIgBcACIALABcACIAXAAiACwAXAAiAFwAIgAsADEANQAuADIALAAxADYALgA5ACwAMAAsADEANQAuADIALABcACIATgBpAHQAcgBvAGcAZQBuACAALQAgAEcAZQBuAGUAcgBpAGMAXAAiACwAMAAuADEANQAyACwAXAAiAFAAaABvAHMAcABoAG8AcgB1AHMAIAAtACAARwBlAG4AZQByAGkAYwBcACIALAAwAC4AMQA2ADkALABcACIAUwB1AGwAZgB1AHIAIAAtACAARwBlAG4AZQByAGkAYwBcACIALAAwAC4AMQA1ADIALABcACIAXAAiACwAXAAiAFwAIgAsAFwAIgBcACIALABcACIAXAAiACwAXAAiAFwAIgAsAFwAIgBcACIALABcACIAXAAiACwAXAAiAFwAIgAsAFwAIgBcACIALABcACIAXAAiACwAXAAiAFwAIgAsAFwAIgBcACIALABcACIAXAAiACwAXAAiAFwAIgA7AFwAbgBcACIAVwBlAG4AZwBmAHUAIABBAHUAcwB0AHIAYQBsAGkAYQBcACIALABcACIAVwBlAG4AZwBmAHUAIAAxADYALQAxADgALQAwAC0AMQAwACAARABBAFAAIABTAHUAUwB0AGEAaQBuAFwAIgAsAFwAIgBrAGcAXAAiACwAMQAsAFwAIgBcACIALABcACIAXAAiACwAXAAiAFwAIgAsADEANgAuADIALAAxADgALAAwACwAMQAwAC4ANAAsAFwAIgBOAGkAdAByAG8AZwBlAG4AIAAtACAARwBlAG4AZQByAGkAYwBcACIALAAwAC4AMQA2ADIALABcACIAUABoAG8AcwBwAGgAbwByAHUAcwAgAC0AIABHAGUAbgBlAHIAaQBjAFwAIgAsADAALgAx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1AC0AMQA1AC0AMAAtADYAIABGAGEAcwB0ACAAUwB0AGEAcgB0ACAATABlAGcAdQBtAGUAXAAiACwAXAAiAGsAZwBcACIALAAxACwAXAAiAFwAIgAsAFwAIgBcACIALABcACIAXAAiACwANQAsADEANQAuADQALAAwACwANgAuADMALABcACIATgBpAHQAcgBvAGcAZQBuACAALQAgAEcAZQBuAGUAcgBpAGMAXAAiACwAMAAuADAANQAsAFwAIgBQAGgAbwBzAHAAaABvAHIAdQBzACAALQAgAEcAZQBuAGUAcgBpAGMAXAAiACwAMAAuADEANQA0ACwAXAAiAFMAdQBsAGYAdQByACAALQAgAEcAZQBuAGUAcgBpAGMAXAAiACwAMAAuADAANgAzACwAXAAiAFwAIgAsAFwAIgBcACIALABcACIAXAAiACwAXAAiAFwAIgAsAFwAIgBcACIALABcACIAXAAiACwAXAAiAFwAIgAsAFwAIgBcACIALABcACIAXAAiACwAXAAiAFwAIgAsAFwAIgBcACIALABcACIAXAAiACwAXAAiAFwAIgAsAFwAIgBcACIAOwBcAG4AXAAiAFcAZQBuAGcAZgB1ACAAQQB1AHMAdAByAGEAbABpAGEAXAAiACwAXAAiAFcAZQBuAGcAZgB1ACAAOQAtADIAMAAtADAALQAxADAAIABQAHIAaQBtAGUAWgBpAG4AYwBcACIALABcACIAawBnAFwAIgAsADEALABcACIAXAAiACwAXAAiAFwAIgAsAFwAIgBcACIALAA5ACwAMQA5AC4AOAAsADAALAAxADAALgA0ACwAXAAiAE4AaQB0AHIAbwBnAGUAbgAgAC0AIABHAGUAbgBlAHIAaQBjAFwAIgAsADAALgAwADkALABcACIAUABoAG8AcwBwAGgAbwByAHUAcwAgAC0AIABHAGUAbgBlAHIAaQBjAFwAIgAsADAALgAxADkAOAAsAFwAIgBTAHUAbABmAHUAcgAgAC0AIABHAGUAbgBlAHIAaQBjAFwAIgAsADAALgAxADAANAAsAFwAIgBaAGkAbgBjAFwAIgAsADAALgAwADAAOQAsAFwAIgBcACIALABcACIAXAAiACwAXAAiAFwAIgAsAFwAIgBcACIALABcACIAXAAiACwAXAAiAFwAIgAsAFwAIgBcACIALABcACIAXAAiACwAXAAiAFwAIgAsAFwAIgBcACIALABcACIAXAAiACwAXAAiAFwAIgA7AFwAbgBcACIAVwBlAG4AZwBmAHUAIABBAHUAcwB0AHIAYQBsAGkAYQBcACIALABcACIAVwBlAG4AZwBmAHUAIAAxADIALQAxADgALQAwAC0ANgAgAFAAcgBpAG0AZQBaAGkAbgBjAFwAIgAsAFwAIgBrAGcAXAAiACwAMQAsAFwAIgBcACIALABcACIAXAAiACwAXAAiAFwAIgAsADEAMQAuADkALAAxADcALgA2ACwAMAAsADUALgA5ACwAXAAiAE4AaQB0AHIAbwBnAGUAbgAgAC0AIABHAGUAbgBlAHIAaQBjAFwAIgAsADAALgAxADEAOQAsAFwAIgBQAGgAbwBzAHAAaABvAHIAdQBzACAALQAgAEcAZQBuAGUAcgBpAGMAXAAiACwAMAAuADEANwA2ACwAXAAiAFMAdQBsAGYAdQByACAALQAgAEcAZQBuAGUAcgBpAGMAXAAiACwAMAAuADAANQA5ACwAXAAiAFoAaQBuAGMAXAAiACwAMAAuADAAMAA4ACwAXAAiAFwAIgAsAFwAIgBcACIALABcACIAXAAiACwAXAAiAFwAIgAsAFwAIgBcACIALABcACIAXAAiACwAXAAiAFwAIgAsAFwAIgBcACIALABcACIAXAAiACwAXAAiAFwAIgAsAFwAIgBcACIALABcACIAXAAiADsAXABuAFwAIgBXAGUAbgBnAGYAdQAgAEEAdQBzAHQAcgBhAGwAaQBhAFwAIgAsAFwAIgBXAGUAbgBnAGYAdQAgADEANAAtADEAMwAtADAALQAxADEAIABQAHIAaQBtAGUAWgBpAG4AYwBcACIALABcACIAawBnAFwAIgAsADEALABcACIAXAAiACwAXAAiAFwAIgAsAFwAIgBcACIALAAxADQALgAxACwAMQAyAC4AOAAsADAALAAxADAALgA3ACwAXAAiAE4AaQB0AHIAbwBnAGUAbgAgAC0AIABHAGUAbgBlAHIAaQBjAFwAIgAsADAALgAxADQAMQAsAFwAIgBQAGgAbwBzAHAAaABvAHIAdQBzACAALQAgAEcAZQBuAGUAcgBpAGMAXAAiACwAMAAuADEAMgA4ACwAXAAiAFMAdQBsAGYAdQByACAALQAgAEcAZQBuAGUAcgBpAGMAXAAiACwAMAAuADEAMAA3ACwAXAAiAFoAaQBuAGMAXAAiACwAMAAuADAAMAA2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UAXABuAD0ATABBAE0AQgBEAEEAKABcAG4AIABNAEEASwBFAEEAUgBSAEEAWQAoADEANAAsACAAMwAxACwAXABuACAATABBAE0AQgBEAEEAKAByACwAYwAsAFwAbgAgACAASQBOAEQARQBYACgAewBcAG4AXAAiAFcAZQBuAGcAZgB1ACAAQQB1AHMAdAByAGEAbABpAGEAXAAiACwAXAAiAFcAZQBuAGcAZgB1ACAAMQA5AC0AMQAzAC0AMAAtADcAIABQAHIAaQBtAGUAWgBpAG4AYwBcACIALABcACIAawBnAFwAIgAsADEALABcACIAXAAiACwAXAAiAFwAIgAsAFwAIgBcACIALAAxADgALgA2ACwAMQAyAC4ANwAsADAALAA2AC4AOAAsAFwAIgBOAGkAdAByAG8AZwBlAG4AIAAtACAARwBlAG4AZQByAGkAYwBcACIALAAwAC4AMQA4ADYALABcACIAUABoAG8AcwBwAGgAbwByAHUAcwAgAC0AIABHAGUAbgBlAHIAaQBjAFwAIgAsADAALgAxADIANwAsAFwAIgBTAHUAbABmAHUAcgAgAC0AIABHAGUAbgBlAHIAaQBjAFwAIgAsADAALgAwADYAOAAsAFwAIgBaAGkAbgBjAFwAIgAsADAALgAwADAANgAsAFwAIgBcACIALABcACIAXAAiACwAXAAiAFwAIgAsAFwAIgBcACIALABcACIAXAAiACwAXAAiAFwAIgAsAFwAIgBcACIALABcACIAXAAiACwAXAAiAFwAIgAsAFwAIgBcACIALABcACIAXAAiACwAXAAiAFwAIgA7AFwAbgBcACIAVwBlAG4AZwBmAHUAIABBAHUAcwB0AHIAYQBsAGkAYQBcACIALABcACIAVwBlAG4AZwBmAHUAIABCAG8AbwBzAHQAZQByACAASwBcACIALABcACIAawBnAFwAIgAsADEALABcACIAXAAiACwAXAAiAFwAIgAsAFwAIgBcACIALAAzADIALAAwACwAMQAxACwAMwAsAFwAIgBOAGkAdAByAG8AZwBlAG4AIAAtACAARwBlAG4AZQByAGkAYwBcACIALAAwAC4AMwAyACwAXAAiAFAAbwB0AGEAcwBzAGkAdQBtACAALQAgAEcAZQBuAGUAcgBpAGMAXAAiACwAMAAuADEAMQAsAFwAIgBTAHUAbABmAHUAcgAgAC0AIABHAGUAbgBlAHIAaQBjAFwAIgAsADAALgAwADMALABcACIAXAAiACwAXAAiAFwAIgAsAFwAIgBcACIALABcACIAXAAiACwAXAAiAFwAIgAsAFwAIgBcACIALABcACIAXAAiACwAXAAiAFwAIgAsAFwAIgBcACIALABcACIAXAAiACwAXAAiAFwAIgAsAFwAIgBcACIALABcACIAXAAiACwAXAAiAFwAIgA7AFwAbgBcACIAVwBlAG4AZwBmAHUAIABBAHUAcwB0AHIAYQBsAGkAYQBcACIALABcACIAVwBlAG4AZwBmAHUAIABCAG8AbwBzAHQAZQByACAAUgBpAGMAaAAgADEAXAAiACwAXAAiAGsAZwBcACIALAAxACwAXAAiAFwAIgAsAFwAIgBcACIALABcACIAXAAiACwAMwAxACwANgAsADAALAA2ACwAXAAiAE4AaQB0AHIAbwBnAGUAbgAgAC0AIABHAGUAbgBlAHIAaQBjAFwAIgAsADAALgAzADEALABcACIAUABoAG8AcwBwAGgAbwByAHUAcwAgAC0AIABHAGUAbgBlAHIAaQBjAFwAIgAsADAALgAwADYALABcACIAUwB1AGwAZgB1AHIAIAAtACAARwBlAG4AZQByAGkAYwBcACIALAAwAC4AMAA2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EcAcgBhAHMAcwAgAEQAQQBQAFwAIgAsAFwAIgBrAGcAXAAiACwAMQAsAFwAIgBcACIALABcACIAXAAiACwAXAAiAFwAIgAsADIAMQAsADQALAA4ACwANwAsAFwAIgBOAGkAdAByAG8AZwBlAG4AIAAtACAARwBlAG4AZQByAGkAYwBcACIALAAwAC4AMgAxACwAXAAiAFAAaABvAHMAcABoAG8AcgB1AHMAIAAtACAARwBlAG4AZQByAGkAYwBcACIALAAwAC4AMAA0ACwAXAAiAFAAbwB0AGEAcwBzAGkAdQBtACAALQAgAEcAZQBuAGUAcgBpAGMAXAAiACwAMAAuADAAOAAsAFwAIgBTAHUAbABmAHUAcgAgAC0AIABHAGUAbgBlAHIAaQBjAFwAIgAsADAALgAwADcALABcACIAXAAiACwAXAAiAFwAIgAsAFwAIgBcACIALABcACIAXAAiACwAXAAiAFwAIgAsAFwAIgBcACIALABcACIAXAAiACwAXAAiAFwAIgAsAFwAIgBcACIALABcACIAXAAiACwAXAAiAFwAIgAsAFwAIgBcACIAOwBcAG4AXAAiAFcAZQBuAGcAZgB1ACAAQQB1AHMAdAByAGEAbABpAGEAXAAiACwAXAAiAFcAZQBuAGcAZgB1ACAAQQBmAHQAZQByAGcAcgBhAHoAZQBcACIALABcACIAawBnAFwAIgAsADEALABcACIAXAAiACwAXAAiAFwAIgAsAFwAIgBcACIALAAyADMALAAwACwAMgA1ACwAMAAsAFwAIgBOAGkAdAByAG8AZwBlAG4AIAAtACAARwBlAG4AZQByAGkAYwBcACIALAAwAC4AMgAzACwAXAAiAFAAbwB0AGEAcwBzAGkAdQBtACAALQAgAEcAZQBuAGUAcgBpAGMAXAAiACwAMAAuADIANQAsAFwAIgBcACIALABcACIAXAAiACwAXAAiAFwAIgAsAFwAIgBcACIALABcACIAXAAiACwAXAAiAFwAIgAsAFwAIgBcACIALABcACIAXAAiACwAXAAiAFwAIgAsAFwAIgBcACIALABcACIAXAAiACwAXAAiAFwAIgAsAFwAIgBcACIALABcACIAXAAiACwAXAAiAFwAIgAsAFwAIgBcACIAOwBcAG4AXAAiAFcAZQBuAGcAZgB1ACAAQQB1AHMAdAByAGEAbABpAGEAXAAiACwAXAAiAFcAZQBuAGcAZgB1ACAAUwBpAGQAZQBkAHIAZQBzAHMAXAAiACwAXAAiAGsAZwBcACIALAAxACwAXAAiAFwAIgAsAFwAIgBcACIALABcACIAXAAiACwAMgA1ACwANAAsADEAMwAsADQALABcACIATgBpAHQAcgBvAGcAZQBuACAALQAgAEcAZQBuAGUAcgBpAGMAXAAiACwAMAAuADIANQAsAFwAIgBQAGgAbwBzAHAAaABvAHIAdQBzACAALQAgAEcAZQBuAGUAcgBpAGMAXAAiACwAMAAuADAANAAsAFwAIgBQAG8AdABhAHMAcwBpAHUAbQAgAC0AIABHAGUAbgBlAHIAaQBjAFwAIgAsADAALgAxADM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FAAYQBzAHQAdQByAGUAIABCAG8AbwBzAHQAZQByAFwAIgAsAFwAIgBrAGcAXAAiACwAMQAsAFwAIgBcACIALABcACIAXAAiACwAXAAiAFwAIgAsADEAMwAsADUALAAyADQALAA1ACwAXAAiAE4AaQB0AHIAbwBnAGUAbgAgAC0AIABHAGUAbgBlAHIAaQBjAFwAIgAsADAALgAxADMALABcACIAUABoAG8AcwBwAGgAbwByAHUAcwAgAC0AIABHAGUAbgBlAHIAaQBjAFwAIgAsADAALgAwADUALABcACIAUABvAHQAYQBzAHMAaQB1AG0AIAAtACAARwBlAG4AZQByAGkAYwBcACIALAAwAC4AMgA0ACwAXAAiAFMAdQBsAGYAdQByACAALQAgAEcAZQBuAGUAcgBpAGMAXAAiACwAMAAuADAANQAsAFwAIgBcACIALABcACIAXAAiACwAXAAiAFwAIgAsAFwAIgBcACIALABcACIAXAAiACwAXAAiAFwAIgAsAFwAIgBcACIALABcACIAXAAiACwAXAAiAFwAIgAsAFwAIgBcACIALABcACIAXAAiACwAXAAiAFwAIgA7AFwAbgBcACIAVwBlAG4AZwBmAHUAIABBAHUAcwB0AHIAYQBsAGkAYQBcACIALABcACIAVwBlAG4AZwBmAHUAIABEAEEAUAAgAEgAYQB5ACAAQgBvAG8AcwB0AGUAcgBcACIALABcACIAawBnAFwAIgAsADEALABcACIAXAAiACwAXAAiAFwAIgAsAFwAIgBcACIALAAxADEALAA1ACwAMgA0ACwANAAsAFwAIgBOAGkAdAByAG8AZwBlAG4AIAAtACAARwBlAG4AZQByAGkAYwBcACIALAAwAC4AMQAxACwAXAAiAFAAaABvAHMAcABoAG8AcgB1AHMAIAAtACAARwBlAG4AZQByAGkAYwBcACIALAAwAC4AMAA1ACwAXAAiAFAAbwB0AGEAcwBzAGkAdQBtACAALQAgAEcAZQBuAGUAcgBpAGMAXAAiACwAMAAuADIANAAsAFwAIgBTAHUAbABmAHUAcgAgAC0AIABHAGUAbgBlAHIAaQBjAFwAIgAsADAALgAwADQALABcACIAXAAiACwAXAAiAFwAIgAsAFwAIgBcACIALABcACIAXAAiACwAXAAiAFwAIgAsAFwAIgBcACIALABcACIAXAAiACwAXAAiAFwAIgAsAFwAIgBcACIALABcACIAXAAiACwAXAAiAFwAIgAsAFwAIgBcACIAOwBcAG4AXAAiAFcAZQBuAGcAZgB1ACAAQQB1AHMAdAByAGEAbABpAGEAXAAiACwAXAAiAFcAZQBuAGcAZgB1ACAATQBBAFAAIABIAGEAeQAgAEIAbwBvAHMAdABlAHIAXAAiACwAXAAiAGsAZwBcACIALAAxACwAXAAiAFwAIgAsAFwAIgBcACIALABcACIAXAAiACwAMQAxACwAOAAsADIAMAAsADYALABcACIATgBpAHQAcgBvAGcAZQBuACAALQAgAEcAZQBuAGUAcgBpAGMAXAAiACwAMAAuADEAMQAsAFwAIgBQAGgAbwBzAHAAaABvAHIAdQBzACAALQAgAEcAZQBuAGUAcgBpAGMAXAAiACwAMAAuADAAOAAsAFwAIgBQAG8AdABhAHMAcwBpAHUAbQAgAC0AIABHAGUAbgBlAHIAaQBjAFwAIgAsADAALgAyACwAXAAiAFMAdQBsAGYAdQByACAALQAgAEcAZQBuAGUAcgBpAGMAXAAiACwAMAAuADAANgAsAFwAIgBcACIALABcACIAXAAiACwAXAAiAFwAIgAsAFwAIgBcACIALABcACIAXAAiACwAXAAiAFwAIgAsAFwAIgBcACIALABcACIAXAAiACwAXAAiAFwAIgAsAFwAIgBcACIALABcACIAXAAiACwAXAAiAFwAIgA7AFwAbgBcACIAVwBlAG4AZwBmAHUAIABBAHUAcwB0AHIAYQBsAGkAYQBcACIALABcACIAVwBlAG4AZwBmAHUAIABGAG8AZABkAGUAcgAgAEIAbwBvAHMAdABlAHIAXAAiACwAXAAiAGsAZwBcACIALAAxACwAXAAiAFwAIgAsAFwAIgBcACIALABcACIAXAAiACwAOQAsADQALAA1ACwAMQA1ACwAXAAiAE4AaQB0AHIAbwBnAGUAbgAgAC0AIABHAGUAbgBlAHIAaQBjAFwAIgAsADAALgAwADkALABcACIAUABoAG8AcwBwAGgAbwByAHUAcwAgAC0AIABHAGUAbgBlAHIAaQBjAFwAIgAsADAALgAwADQALABcACIAUABvAHQAYQBzAHMAaQB1AG0AIAAtACAARwBlAG4AZQByAGkAYwBcACIALAAwAC4AMAA1ACwAXAAiAFMAdQBsAGYAdQByACAALQAgAEcAZQBuAGUAcgBpAGMAXAAiACwAMAAuADEANQAsAFwAIgBcACIALABcACIAXAAiACwAXAAiAFwAIgAsAFwAIgBcACIALABcACIAXAAiACwAXAAiAFwAIgAsAFwAIgBcACIALABcACIAXAAiACwAXAAiAFwAIgAsAFwAIgBcACIALABcACIAXAAiACwAXAAiAFwAIgA7AFwAbgBcACIAQwBTAEIAUABcACIALABcACIASwAtAFQAaQBsAGwAIABFAHgAdAByAGEAXAAiACwAXAAiAGsAZwBcACIALAAxACwAXAAiAFwAIgAsAFwAIgBcACIALABcACIAXAAiACwAMQAwAC4ANwAzACwAMQAwAC4AOQA1ACwAMQAxAC4AMwA1ACwANgAuADUANQAsAFwAIgBNAG8AbgBvAGEAbQBtAG8AbgBpAHUAbQAgAHAAaABvAHMAcABoAGEAdABlACAAKABNAEEAUAApAFwAIgAsADAALgA1ACwAXAAiAFMAdQBsAHAAaABhAHQAZQAgAG8AZgAgAGEAbQBtAG8AbgBpAGEAIAAoAFMATwBBACkAXAAiACwAMAAuADIANwAzACwAXAAiAE0AdQByAGkAYQB0AGUAIABvAGYAIABwAG8AdABhAHMAaAAgACgATQBPAFAAKQBcACIALAAwAC4AMgAyADcALABcACIAQwBvAHAAcABlAHIAXAAiACwAXAAiAE4AbwAgAGQAYQB0AGEAXAAiACwAXAAiAFoAaQBuAGMAXAAiACwAXAAiAE4AbwAgAGQAYQB0AGEAXAAiACwAXAAiAFwAIgAsAFwAIgBcACIALABcACIAXAAiACwAXAAiAFwAIgAsAFwAIgBcACIALABcACIAXAAiACwAXAAiAFwAIgAsAFwAIgBcACIALABcACIAXAAiACwAXAAiAFwAIgA7AFwAbgBcACIAQwBTAEIAUABcACIALABcACIAQQBnAHIAYQBzACAARQB4AHQAcgBhAFwAIgAsAFwAIgBrAGcAXAAiACwAMQAsAFwAIgBcACIALABcACIAXAAiACwAXAAiAFwAIgAsADEANgAuADkANQAsADgALgAwADYALABcACIAXAAiACwAMQA1AC4AMQA3ACwAXAAiAFMAdQBsAHAAaABhAHQAZQAgAG8AZgAgAGEAbQBtAG8AbgBpAGEAIAAoAFMATwBBACkAXAAiACwAMAAuADYAMwAyACwAXAAiAE0AbwBuAG8AYQBtAG0AbwBuAGkAdQBtACAAcABoAG8AcwBwAGgAYQB0AGUAIAAoAE0AQQBQACkAXAAiACwAMAAuADMANgA4ACwAXAAiAFoAaQBuAGMAXAAiACwAXAAiAE4AbwAgAGQAYQB0AGEAXAAiACwAXAAiAEMAbwBwAHAAZQByAFwAIgAsAFwAIgBOAG8AIABkAGEAdABhAFwAIgAsAFwAIgBNAG8AbAB5AGIAZABlAG4AdQBtAFwAIgAsAFwAIgBOAG8AIABkAGEAdABhAFwAIgAsAFwAIgBDAG8AYgBhAGwAdABcACIALABcACIATgBvACAAZABhAHQAYQBcACIALABcACIAXAAiACwAXAAiAFwAIgAsAFwAIgBcACIALABcACIAXAAiACwAXAAiAFwAIgAsAFwAIgBcACIALABcACIAXAAiACwAXAAiAFwAIgA7AFwAbgBcACIAQwBTAEIAUABcACIALABcACIAUwB1AHAAZQByACAAQwBvAHAAcABlAHIAIABaAGkAbgBjACAATQBvAGwAeQBcACIALABcACIAawBnAFwAIgAsADEALABcACIAXAAiACwAXAAiAFwAIgAsAFwAIgBcACIALABcACIAXAAiACwAOAAuADgALABcACIAXAAiACwAMQAxACwAXAAiAFMAaQBuAGcAbABlACAAcwB1AHAAZQByAHAAaABvAHMAcABoAGEAdABlACAAKABTAFMAUAApAFwAIgAsADEALABcACIAQwBvAHAAcABlAHIAXAAiACwAMAAuADAAMAA2ACwAXAAiAFoAaQBuAGMAXAAiACwAMAAuADAAMAAzACwAXAAiAE0AbwBsAHkAYgBkAGUAbgB1AG0AXAAiACwAMAAuADAAMAAwADYALABcACIAXAAiACwAXAAiAFwAIgAsAFwAIgBcACIALABcACIAXAAiACwAXAAiAFwAIgAsAFwAIgBcACIALABcACIAXAAiACwAXAAiAFwAIgAsAFwAIgBcACIALABcACIAXAAiACwAXAAiAFwAIgAsAFwAIgBcACIAOwBcAG4AXAAiAEMAUwBCAFAAXAAiACwAXAAiAEYAbABlAHgAaQAtAE4AXAAiACwAXAAiAEwAXAAiACwAMQAuADMAMgAsAFwAIgBcACIALABcACIAXAAiACwAXAAiAFwAIgAsADMAMgAsAFwAIgBcACIALABcACIAXAAiACwAXAAiAFwAIgAsAFwAIgBVAHIAZQBhAC0AYQBtAG0AbwBuAGkAdQBtACAAbgBpAHQAcgBhAHQAZQAgACgAVQBBAE4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FwAbgAiAH0ALAB7ACIAcABhAHQAaAAiADoAIgAvAHAAcgBvAGoAZQBjAHQAcwAvAEUAbABlAGMAdAByAGkAYwBpAHQAeQBfAEUAcQB1AGEAdABpAG8AbgBzACIALAAiAHQAZQB4AHQAIgA6ACIALwAqAFwAbgA9AD0APQA9AD0APQA9AD0APQA9AD0APQA9AD0APQA9AD0APQA9AD0APQA9AD0APQA9AD0APQA9AD0APQA9AD0APQA9AD0APQA9AD0APQA9AD0APQA9AD0APQA9AD0APQA9AD0APQA9AD0APQA9AD0APQA9AD0APQA9AD0APQA9AD0APQA9AD0APQA9AD0APQA9AD0APQA9AFwAbgAxADQAOgAgAEUAbABlAGMAdAByAGkAYwBpAHQAeQBcAG4APQA9AD0APQA9AD0APQA9AD0APQA9AD0APQA9AD0APQA9AD0APQA9AD0APQA9AD0APQA9AD0APQA9AD0APQA9AD0APQA9AD0APQA9AD0APQA9AD0APQA9AD0APQA9AD0APQA9AD0APQA9AD0APQA9AD0APQA9AD0APQA9AD0APQA9AD0APQA9AD0APQA9AD0APQA9AD0APQBcAG4AMQA0AC4AMQAuADEAIABQAHUAcgBjAGgAYQBzAGUAZAAgAEUAbABlAGMAdAByAGkAYwBpAHQAeQAgACgATABvAGMAYQB0AGkAbwBuAC0AQgBhAHMAZQBkACkAXABuADEANAAuADEALgAyACAAUAB1AHIAYwBoAGEAcwBlAGQAIABFAGwAZQBjAHQAcgBpAGMAaQB0AHkAIAAoAE0AYQByAGsAZQB0AC0AQgBhAHMAZQBkAC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QAXwAxAF8AMQBfAF8AMQBfAEwAbwBjAGEAdABpAG8AbgBCAGEAcwBlAGQAUwBjAG8AcABlAEUAbABlAGMAdAByAGkAYwBpAHQAeQBFAG0AaQBzAHMAaQBvAG4AcwBcAG4ATABvAGMAYQB0AGkAbwBuAC0AYgBhAHMAZQBkACAAUwBjAG8AcABlACAAMgAgAGUAbQBpAHMAcwBpAG8AbgBzACAAZgByAG8AbQAgAHAAdQByAGMAaABhAHMAZQBkACAAZQBsAGUAYwB0AHIAaQBjAGkAdAB5AFwAbgBFAF8AMgBlAGwAZQBjAFwAbgB0ACAAQwBPADIAZQBcAG4ARQBfAHsAMgAsAGUAbABlAGMAfQA9AFEAXwB7AGUAbABlAGMAfQBcAFwAdABpAG0AZQBzACAARQBGAF8AewAyACwAZQBsAGUAYwB9AFwAXAB0AGkAbQBlAHMAIAAxADAAXgB7AC0AMwB9AFwAbgBRAF8AZQBsAGUAYwAgAD0AIABhAG0AbwB1AG4AdAAgAG8AZgAgAGUAbABlAGMAdAByAGkAYwBpAHQAeQAgAHAAdQByAGMAaABhAHMAZQBkACAAZgByAG8AbQAgAHQAaABlACAAZwByAGkAZAAgACgAawBXAGgAKQBcAG4ARQBGAF8AMgBlAGwAZQBjACAAPQAgAGwAbwBjAGEAdABpAG8AbgAtAGIAYQBzAGUAZAAgAFMAYwBvAHAAZQAgADI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QBfAF8AMQBfAEwAbwBjAGEAdABpAG8AbgBCAGEAcwBlAGQAUwBjAG8AcABlAEUAbABlAGMAdAByAGkAYwBpAHQAeQBFAG0AaQBzAHMAaQBvAG4AcwBcAG4AIAAgAD0ATABBAE0AQgBEAEEAKABcAG4AIAAgACAAIABRAF8AZQBsAGUAYwAsACAARQBGAF8AMgBlAGwAZQBjACwAXABuACAAIAAgACAAUQBfAGUAbABlAGMAIAAqACAARQBGAF8AMgBlAGwAZQBjACAAKgAgADEAMAAgAF4AIAAtADMAXABuACAAIAApADsAXABuAFwAbgBWAEUARQBSAEcAXwAxADQAXwAxAF8AMQBfAF8AMQBfAEwAbwBjAGEAdABpAG8AbgBCAGEAcwBlAGQAUwBjAG8AcABlAEUAbABlAGMAdAByAGkAYwBpAHQAeQBFAG0AaQBzAHMAaQBvAG4AcwBfAFQAaQB0AGwAZQBcAG4AIAAgAD0ATABBAE0AQgBEAEEAKABcACIATABvAGMAYQB0AGkAbwBuAC0AYgBhAHMAZQBkACAAUwBjAG8AcABlACAAMgAgAGUAbQBpAHMAcwBpAG8AbgBzACAAZgByAG8AbQAgAHAAdQByAGMAaABhAHMAZQBkACAAZQBsAGUAYwB0AHIAaQBjAGkAdAB5AFwAIgApADsAXABuAFwAbgBWAEUARQBSAEcAXwAxADQAXwAxAF8AMQBfAF8AMQBfAEwAbwBjAGEAdABpAG8AbgBCAGEAcwBlAGQAUwBjAG8AcABlAEUAbABlAGMAdAByAGkAYwBpAHQAeQBFAG0AaQBzAHMAaQBvAG4AcwBfAFYAYQByAGkAYQBiAGwAZQBcAG4AIAAgAD0ATABBAE0AQgBEAEEAKABcACIARQBfADIAZQBsAGUAYwBcACIAKQA7AFwAbgBcAG4AVgBFAEUAUgBHAF8AMQA0AF8AMQBfADEAXwBfADEAXwBMAG8AYwBhAHQAaQBvAG4AQgBhAHMAZQBkAFMAYwBvAHAAZQBFAGwAZQBjAHQAcgBpAGMAaQB0AHkARQBtAGkAcwBzAGkAbwBuAHMAXwBVAG4AaQB0AFwAbgAgACAAPQBMAEEATQBCAEQAQQAoAFwAIgB0ACAAQwBPADIAZQBcACIAKQA7AFwAbgBcAG4AVgBFAEUAUgBHAF8AMQA0AF8AMQBfADEAXwBfADEAXwBMAG8AYwBhAHQAaQBvAG4AQgBhAHMAZQBkAFMAYwBvAHAAZQBFAGwAZQBjAHQAcgBpAGMAaQB0AHkARQBtAGkAcwBzAGkAbwBuAHMAXwBTAG8AdQByAGMAZQBcAG4AIAAgAD0ATABBAE0AQgBEAEEAKABcACIAVgBFAEUAUgBHACAAMgAwADIANgA6ACAAMQA0AC4AMQAuADEALAAgAEUAcQB1AGEAdABpAG8AbgAgACgAMQApAFwAIgApADsAXABuAFwAbgBWAEUARQBSAEcAXwAxADQAXwAxAF8AMQBfAF8AMQBfAEwAbwBjAGEAdABpAG8AbgBCAGEAcwBlAGQAUwBjAG8AcABlAEUAbABlAGMAdAByAGkAYwBpAHQAeQBFAG0AaQBzAHMAaQBvAG4AcwBfAE4ASQBSAFIAZQBmAGUAcgBlAG4AYwBlAFwAbgAgACAAPQBMAEEATQBCAEQAQQAoAFwAIgBcACIAKQA7AFwAbgBcAG4AVgBFAEUAUgBHAF8AMQA0AF8AMQBfADEAXwBfADEAXwBMAG8AYwBhAHQAaQBvAG4AQgBhAHMAZQBkAFMAYwBvAHAAZQBFAGwAZQBjAHQAcgBpAGMAaQB0AHkARQBtAGkAcwBzAGkAbwBuAHMAXwBMAGEAdABlAHgARQBxAHUAYQB0AGkAbwBuAFwAbgAgACAAPQBMAEEATQBCAEQAQQAoAFwAIgBFAF8AewAyACwAZQBsAGUAYwB9AD0AUQBfAHsAZQBsAGUAYwB9AFwAXAB0AGkAbQBlAHMAIABFAEYAXwB7ADIALABlAGwAZQBjAH0AXABcAHQAaQBtAGUAcwAgADEAMABeAHsALQAzAH0AXAAiACkAOwBcAG4AXABuAFYARQBFAFIARwBfADEANABfADEAXwAxAF8AXwAxAF8ATABvAGMAYQB0AGkAbwBuAEIAYQBzAGUAZABTAGMAbwBwAGUARQBsAGUAYwB0AHIAaQBjAGkAdAB5AEUAbQBpAHMAcwBpAG8AbgBz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gBlAGwAZQBjAFwAIgAsACAAXAAiAGwAbwBjAGEAdABpAG8AbgAtAGIAYQBzAGUAZAAgAFMAYwBvAHAAZQAgADIAIABlAG0AaQBzAHMAaQBvAG4AIABmAGEAYwB0AG8AcgAgAGYAbwByACAAZQBsAGUAYwB0AHIAaQBjAGkAdAB5AFwAIgAsACAAXAAiAGsAZwAgAEMATwAyAGUALwBrAFcAaABcACIALAAgAFwAIgBDAG8AbgBzAHQAYQBuAHQAXAAiADsAXABuACAAIAAgACAAIAAgACAAIAAgACAAXAAiAGcAXAAiACwAIABcACIARwByAGkAZAAgAGUAbABlAGMAdAByAGkAYwBpAHQAeQAgAHcAYQBzACAAcAB1AHIAYwBoAGEAcwBlAGQAIABmAHIAbwBtAFwAIgAsACAAXAAiAFwAIgAsACAAXAAiAEkAbgBwAHUAdABcACIAXABuACAAIAAgACAAIAAgACAAIAB9ACwAIAByACwAIABjACkAXABuACAAIAAgACAAIAAgACkAXABuACAAIAAgACAAKQBcAG4AIAAgACkAOwBcAG4AXABuAFYARQBFAFIARwBfADEANABfADEAXwAxAF8AXwAxAF8ATABvAGMAYQB0AGkAbwBuAEIAYQBzAGUAZABTAGMAbwBwAGUARQBsAGUAYwB0AHIAaQBjAGkAdAB5AEUAbQBpAHMAcwBpAG8AbgBzAF8AVgBhAHIAaQBhAHQAaQBvAG4AXABuACAAIAA9AEwAQQBNAEIARABBACgAXAAiAEEAZABkAGUAZAAgAGcAIAB2AGEAcgBpAGEAYgBsAGUAIAB0AG8AIABjAGEAcAB0AHUAcgBlACAAdwBoAGkAYwBoACAAZwByAGkAZAAgAGUAbABlAGMAdAByAGkAYwBpAHQAeQAgAHcAYQBzACAAcAB1AHIAYwBoAGEAcwBlAGQAIABmAHIAbwBtAFwAIgApADsAXABuAFwAbgAvACoAXABuAC0ALQAtAC0ALQAtAC0ALQAtAC0ALQAtAC0ALQAtAC0ALQAtAC0ALQAtAC0ALQAtAC0ALQAtAC0ALQAtAC0ALQAtAC0ALQAtAC0ALQBcAG4AVgBFAEUAUgBHAF8AMQA0AF8AMQBfADIAXwBfADEAXwBNAGEAcgBrAGUAdABCAGEAcwBlAGQAUwBjAG8AcABlAEUAbABlAGMAdAByAGkAYwBpAHQAeQBFAG0AaQBzAHMAaQBvAG4AcwBcAG4ATQBhAHIAawBlAHQALQBiAGEAcwBlAGQAIABTAGMAbwBwAGUAIAAyACAAZQBtAGkAcwBzAGkAbwBuAHMAIABmAHIAbwBtACAAcAB1AHIAYwBoAGEAcwBlAGQAIABlAGwAZQBjAHQAcgBpAGMAaQB0AHkAXABuAEUAXwAyAGUAbABlAGMAXABuAHQAIABDAE8AMgBlAFwAbgBFAF8AewAyACwAZQBsAGUAYwB9AD0AKAAoAFEAXwB7AGUAbABlAGMAfQBcAFwAdABpAG0AZQBzACgAMQAtACgAUgBQAFAAKwBKAFIAUABQACkAKQApAC0AKAAoAFIARQBDAF8AewBzAHUAcgByAGUAbgBkAGUAcgBlAGQAfQAtAFIARQBDAF8AewBvAG4AcwBpAHQAZQB9ACkAXABcAHQAaQBtAGUAcwAgADEAMABeAHsALQAzAH0AKQApAFwAXAB0AGkAbQBlAHMAIABFAEYAXwB7AFIATQBGADIALABlAGwAZQBjAH0AXABcAHQAaQBtAGUAcwAgADEAMABeAHsALQAzAH0AXABuAFEAXwBlAGwAZQBjACAAPQAgAGEAbQBvAHUAbgB0ACAAbwBmACAAZQBsAGUAYwB0AHIAaQBjAGkAdAB5ACAAcAB1AHIAYwBoAGEAcwBlAGQAIABmAHIAbwBtACAAdABoAGUAIABnAHIAaQBkACAAKABrAFcAaAApAFwAbgBSAFAAUAAgAD0AIABSAGUAbgBlAHcAYQBiAGwAZQAgAFAAbwB3AGUAcgAgAFAAZQByAGMAZQBuAHQAYQBnAGUAIAB1AG4AZABlAHIAIAB0AGgAZQAgAEwAYQByAGcAZQAtAHMAYwBhAGwAZQAgAFIAZQBuAGUAdwBhAGIAbABlACAARQBuAGUAcgBnAHkAIABUAGEAcgBnAGUAdAAgACgATABSAEUAVAApACAAZgBvAHIAIAB0AGgAZQAgAGEAcABwAGwAaQBjAGEAYgBsAGUAIABwAGUAcgBpAG8AZAAgACgAcABlAHIAIABjAGUAbgB0ACkAXABuAEoAUgBQAFAAIAA9ACAAagB1AHIAaQBzAGQAaQBjAHQAaQBvAG4AYQBsACAAcgBlAG4AZQB3AGEAYgBsAGUAIABwAG8AdwBlAHIAIABwAGUAcgBjAGUAbgB0AGEAZwBlACAAZgBvAHIAIAB0AGgAZQAgAGEAcABwAGwAaQBjAGEAYgBsAGUAIABwAGUAcgBpAG8AZAAgACgAbwBuAGwAeQAgAGEAcABwAGwAaQBlAHMAIAB0AG8AIAB0AGgAZQAgAEEAQwBUACkAIAAoAHAAZQByACAAYwBlAG4AdAApAFwAbgBSAEUAQwBfAHMAdQByAHIAZQBuAGQAZQByAGUAZAAgAD0AIABuAHUAbQBiAGUAcgAgAG8AZgAgAGUAbABpAGcAaQBiAGwAZQAgAFIAZQBuAGUAdwBhAGIAbABlACAARQBuAGUAcgBnAHkAIABDAGUAcgB0AGkAZgBpAGMAYQB0AGUAcwAgAHYAbwBsAHUAbgB0AGEAcgBpAGwAeQAgAHMAdQByAHIAZQBuAGQAZQByAGUAZAAgAGkAbgAgAHQAaABlACAAcgBlAHAAbwByAHQAaQBuAGcAIAB5AGUAYQByACAAZQBxAHUAaQB2AGEAbABlAG4AdAAgAHQAbwAgAG0AZQBnAGEAdwBhAHQAdAAgAGgAbwB1AHIAcwAgACgATQBXAGgAKQBcAG4AUgBFAEMAXwBvAG4AcwBpAHQAZQAgAD0AIABuAHUAbQBiAGUAcgAgAG8AZgAgAGUAbABpAGcAaQBiAGwAZQAgAFIAZQBuAGUAdwBhAGIAbABlACAARQBuAGUAcgBnAHkAIABDAGUAcgB0AGkAZgBpAGMAYQB0AGUAcwAgAHQAaABhAHQAIABoAGEAdgBlACAAYgBlAGUAbgAgAG8AcgAgAHcAaQBsAGwAIABiAGUAIABpAHMAcwB1AGUAZAAgAGYAbwByACAAZQBsAGUAYwB0AHIAaQBjAGkAdAB5ACAAcAByAG8AZAB1AGMAZQBkACAAbwBuAC0AcwBpAHQAZQAgAGQAdQByAGkAbgBnACAAdABoAGUAIAB5AGUAYQByACAAYQBuAGQAIABjAG8AbgBzAHUAbQBlAGQAIABiAHkAIAB0AGgAZQAgAGUAbgB0AGkAdAB5ACAAZQBxAHUAaQB2AGEAbABlAG4AdAAgAHQAbwAgAG0AZQBnAGEAdwBhAHQAdAAgAGgAbwB1AHIAcwAgACgATQBXAGgAKQBcAG4ARQBGAF8AUgBNAEYAMgBlAGwAZQBjACAAPQAgAFMAYwBvAHAAZQAgADIAIAByAGUAcwBpAGQAdQBhAGwAIABtAGkAeA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yAF8AXwAxAF8ATQBhAHIAawBlAHQAQgBhAHMAZQBkAFMAYwBvAHAAZQBFAGwAZQBjAHQAcgBpAGMAaQB0AHkARQBtAGkAcwBzAGkAbwBuAHM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LQAzACkAKQAgACoAIABFAEYAXwBSAE0ARgAyAGUAbABlAGMAIAAqACAAMQAwACAAXgAgAC0AMwBcAG4AIAAgACkAOwBcAG4AXABuAFYARQBFAFIARwBfADEANABfADEAXwAyAF8AXwAxAF8ATQBhAHIAawBlAHQAQgBhAHMAZQBkAFMAYwBvAHAAZQBFAGwAZQBjAHQAcgBpAGMAaQB0AHkARQBtAGkAcwBzAGkAbwBuAHMAVgBhAHIAaQBhAHQAaQBvAG4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MwApACkAIAAqACAARQBGAF8AUgBNAEYAMgBlAGwAZQBjACAAKgAgADEAMAAgAF4AIAAtADMAXABuACAAIAApADsAXABuAFwAbgBWAEUARQBSAEcAXwAxADQAXwAxAF8AMgBfAF8AMQBfAE0AYQByAGsAZQB0AEIAYQBzAGUAZABTAGMAbwBwAGUARQBsAGUAYwB0AHIAaQBjAGkAdAB5AEUAbQBpAHMAcwBpAG8AbgBzAF8AVABpAHQAbABlAFwAbgAgACAAPQBMAEEATQBCAEQAQQAoAFwAIgBNAGEAcgBrAGUAdAAtAGIAYQBzAGUAZAAgAFMAYwBvAHAAZQAgADIAIABlAG0AaQBzAHMAaQBvAG4AcwAgAGYAcgBvAG0AIABwAHUAcgBjAGgAYQBzAGUAZAAgAGUAbABlAGMAdAByAGkAYwBpAHQAeQBcACIAKQA7AFwAbgBcAG4AVgBFAEUAUgBHAF8AMQA0AF8AMQBfADIAXwBfADEAXwBNAGEAcgBrAGUAdABCAGEAcwBlAGQAUwBjAG8AcABlAEUAbABlAGMAdAByAGkAYwBpAHQAeQBFAG0AaQBzAHMAaQBvAG4AcwBfAFYAYQByAGkAYQBiAGwAZQBcAG4AIAAgAD0ATABBAE0AQgBEAEEAKABcACIARQBfADIAZQBsAGUAYwBcACIAKQA7AFwAbgBcAG4AVgBFAEUAUgBHAF8AMQA0AF8AMQBfADIAXwBfADEAXwBNAGEAcgBrAGUAdABCAGEAcwBlAGQAUwBjAG8AcABlAEUAbABlAGMAdAByAGkAYwBpAHQAeQBFAG0AaQBzAHMAaQBvAG4AcwBfAFUAbgBpAHQAXABuACAAIAA9AEwAQQBNAEIARABBACgAXAAiAHQAIABDAE8AMgBlAFwAIgApADsAXABuAFwAbgBWAEUARQBSAEcAXwAxADQAXwAxAF8AMgBfAF8AMQBfAE0AYQByAGsAZQB0AEIAYQBzAGUAZABTAGMAbwBwAGUARQBsAGUAYwB0AHIAaQBjAGkAdAB5AEUAbQBpAHMAcwBpAG8AbgBzAF8AUwBvAHUAcgBjAGUAXABuACAAIAA9AEwAQQBNAEIARABBACgAXAAiAFYARQBFAFIARwAgADIAMAAyADYAOgAgADEANAAuADEALgAyACwAIABFAHEAdQBhAHQAaQBvAG4AIAAoADEAKQBcACIAKQA7AFwAbgBcAG4AVgBFAEUAUgBHAF8AMQA0AF8AMQBfADIAXwBfADEAXwBNAGEAcgBrAGUAdABCAGEAcwBlAGQAUwBjAG8AcABlAEUAbABlAGMAdAByAGkAYwBpAHQAeQBFAG0AaQBzAHMAaQBvAG4AcwBfAE4ASQBSAFIAZQBmAGUAcgBlAG4AYwBlAFwAbgAgACAAPQBMAEEATQBCAEQAQQAoAFwAIgBcACIAKQA7AFwAbgBcAG4AVgBFAEUAUgBHAF8AMQA0AF8AMQBfADIAXwBfADEAXwBNAGEAcgBrAGUAdABCAGEAcwBlAGQAUwBjAG8AcABlAEUAbABlAGMAdAByAGkAYwBpAHQAeQBFAG0AaQBzAHMAaQBvAG4Acw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LQAzAH0AKQApACAAXABcAHQAaQBtAGUAcwAgAEUARgBfAHsAUgBNAEYAMgAsAGUAbABlAGMAfQAgAFwAXAB0AGkAbQBlAHMAIAAxADAAXgB7AC0AMwB9AFwAIgApADsAXABuAFwAbgBWAEUARQBSAEcAXwAxADQAXwAxAF8AMgBfAF8AMQBfAE0AYQByAGsAZQB0AEIAYQBzAGUAZABTAGMAbwBwAGUARQBsAGUAYwB0AHIAaQBjAGkAdAB5AEUAbQBpAHMAcwBpAG8AbgBzAFYAYQByAGkAYQB0AGkAbwBu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zAH0AKQApACAAXABcAHQAaQBtAGUAcwAgAEUARgBfAHsAUgBNAEYAMgAsAGUAbABlAGMAfQAgAFwAXAB0AGkAbQBlAHMAIAAxADAAXgB7AC0AMwB9AFwAIgApADsAXABuAFwAbgBWAEUARQBSAEcAXwAxADQAXwAxAF8AMgBfAF8AMQBfAE0AYQByAGsAZQB0AEIAYQBzAGUAZABTAGMAbwBwAGUARQBsAGUAYwB0AHIAaQBjAGkAdAB5AEUAbQBpAHMAcwBpAG8AbgBz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UgBlAG4AZQB3AGEAYgBsAGUAIABQAG8AdwBlAHIAIABQAGUAcgBjAGUAbgB0AGEAZwBlACAAdQBuAGQAZQByACAAdABoAGUAIABMAGEAcgBnAGUALQBzAGMAYQBsAGUAIABSAGUAbgBlAHcAYQBiAGwAZQAgAEUAbgBlAHIAZwB5ACAAVABhAHIAZwBlAHQAIAAoAEwAUgBFAFQAKQBcACIALAAgAFwAIgBwAGUAcgAgAGMAZQBuAHQ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IAAoAEEAQwBUACAAbwBuAGwAeQApAFwAIgAsACAAXAAiAHAAZQByACAAYwBlAG4AdABcACIALAAgAFwAIgBJAG4AcAB1AHQAXAAiADsAXABuACAAIAAgACAAIAAgACAAIAAgACAAXAAiAFIARQBDAF8AcwB1AHIAcgBlAG4AZABlAHIAZQBkAFwAIgAsACAAXAAiAFIAZQBuAGUAdwBhAGIAbABlACAARQBuAGUAcgBnAHkAIABDAGUAcgB0AGkAZgBpAGMAYQB0AGUAcwAgAHYAbwBsAHUAbgB0AGEAcgBpAGwAeQAgAHMAdQByAHIAZQBuAGQAZQByAGUAZAAgAGkAbgAgAHQAaABlACAAcgBlAHAAbwByAHQAaQBuAGcAIAB5AGUAYQByAFwAIgAsACAAXAAiAE0AVwBoAFwAIgAsACAAXAAiAEkAbgBwAHUAdABcACIAOwBcAG4AIAAgACAAIAAgACAAIAAgACAAIABcACIAUgBFAEMAXwBvAG4AcwBpAHQAZQBcACIALAAgAFwAIgBSAGUAbgBlAHcAYQBiAGwAZQAgAEUAbgBlAHIAZwB5ACAAQwBlAHIAdABpAGYAaQBjAGEAdABlAHMAIABpAHMAcwB1AGUAZAAgAGYAbwByACAAZQBsAGUAYwB0AHIAaQBjAGkAdAB5ACAAcAByAG8AZAB1AGMAZQBkACAAbwBuAC0AcwBpAHQAZQAgAGQAdQByAGkAbgBnACAAdABoAGUAIAB5AGUAYQByACAAYQBuAGQAIABjAG8AbgBzAHUAbQBlAGQAIABiAHkAIAB0AGgAZQAgAGUAbgB0AGkAdAB5AFwAIgAsACAAXAAiAE0AVwBoAFwAIgAsACAAXAAiAEkAbgBwAHUAdABcACIAOwBcAG4AIAAgACAAIAAgACAAIAAgACAAIABcACIARQBGAF8AUgBNAEYAMgBlAGwAZQBjAFwAIgAsACAAXAAiAFMAYwBvAHAAZQAgADI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0AF8AMQBfADIAXwBfADEAXwBNAGEAcgBrAGUAdABCAGEAcwBlAGQAUwBjAG8AcABlAEUAbABlAGMAdAByAGkAYwBpAHQAeQBFAG0AaQBzAHMAaQBvAG4Acw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1AGUAbABfAFMAbwB1AHIAYwBlAEQAYQB0AGEAIgAsACIAdABlAHgAdAAiADoAIgAvACoAXABuAD0APQA9AD0APQA9AD0APQA9AD0APQA9AD0APQA9AD0APQA9AD0APQA9AD0APQA9AD0APQA9AD0APQA9AD0APQA9AD0APQA9AD0APQA9AD0APQA9AD0APQA9AD0APQA9AD0APQA9AD0APQA9AD0APQA9AD0APQA9AD0APQA9AD0APQA9AD0APQA9AD0APQA9AD0APQA9AD0AXABuAEYAdQBlAGwAIABzAGMAbwBwAGUAIAAx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xAEUAbQBpAHMAcwBpAG8AbgBGAGEAYwB0AG8AcgBzAFMAdABhAHQAaQBvAG4AYQByAHkARwBhAHMAZQBvAHUAcwBfAFQAaQB0AGwAZQBcAG4APQBMAEEATQBCAEQAQQAoACgAXAAiAEYAdQBlAGwAIABzAGMAbwBwAGUAIAAxACAAZQBtAGkAcwBzAGkAbwBuACAAZgBhAGMAdABvAHIAcwAgAC0AIABTAHQAYQB0AGkAbwBuAGEAcgB5ACAAZwBhAHMAZQBvAHUAcwAgAGYAdQBlAGwAcwBcACIAKQApADsAXABuAFwAbgBGAHUAZQBsAF8AUwBjAG8AcABlADEARQBtAGkAcwBzAGkAbwBuAEYAYQBjAHQAbwByAHMAUwB0AGEAdABpAG8AbgBhAHIAeQBHAGEAcwBlAG8AdQBzAF8ARABlAHMAYwByAGkAcAB0AGkAbwBuAFwAbgA9AEwAQQBNAEIARABBACgAKABcACIARABpAHIAZQBjAHQAIAAoAFMAYwBvAHAAZQAgADEAKQAgAGUAbQBpAHMAcwBpAG8AbgAgAGYAYQBjAHQAbwByAHMAIABmAG8AcgAgAHQAaABlACAAYwBvAG4AcwB1AG0AcAB0AGkAbwBuACAAbwBmACAAZwBhAHMAZQBvAHUAcwAgAGYAdQBlAGwAcwAgAGkAbgBjAGwAdQBkAGkAbgBnACAAbABpAHEAdQBlAGYAaQBlAGQAIABuAGEAdAB1AHIAYQBsACAAZwBhAHMAIAAgAFwAIgApACkAOwBcAG4AXABuAEYAdQBlAGwAXwBTAGMAbwBwAGUAMQ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QBcACIAKQApADsAXABuAFwAbgBGAHUAZQBsAF8AUwBjAG8AcABlADEARQBtAGkAcwBzAGkAbwBuAEYAYQBjAHQAbwByAHMAUwB0AGEAdABpAG8AbgBhAHIAeQBHAGEAcwBlAG8AdQBzAF8ARABhAHQAYQBcAG4APQBMAEEATQBCAEQAQQAoAFwAbgAgACAATQBBAEsARQBBAFIAUgBBAFkAKAAxADkALAAgADc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7AFwAbgAgACAAIAAgACAAIAAgACAAXAAiAE4AYQB0AHUAcgBhAGwAIABnAGEAcwAgAGQAaQBzAHQAcgBpAGIAdQB0AGUAZAAgAGkAbgAgAGEAIABwAGkAcABlAGwAaQBuAGUAXAAiACwAIAAwAC4AMAAzADkAMwAsACAAXAAiAG0AMwBcACIALAAgADUAMQAuADQALAAgADAALgAxACwAIAAwAC4AMAAzACwAIAA1ADEALgA1ADMAOwBcAG4AIAAgACAAIAAgACAAIAAgAFwAIgBDAG8AYQBsACAAcwBlAGEAbQAgAG0AZQB0AGgAYQBuAGUAIAB0AGgAYQB0ACAAaQBzACAAYwBhAHAAdAB1AHIAZQBkACAAZgBvAHIAIABjAG8AbQBiAHUAcwB0AGkAbwBuAFwAIgAsACAAMAAuADAAMwA3ADcALAAgAFwAIgBtADMAXAAiACwAIAA1ADEALgA0ACwAIAAwAC4AMgAsACAAMAAuADAAMwAsACAANQAxAC4ANgAzADsAXABuACAAIAAgACAAIAAgACAAIABcACIAQwBvAGEAbAAgAG0AaQBuAGUAIAB3AGEAcwB0AGUAIABnAGEAcwAgAHQAaABhAHQAIABpAHMAIABjAGEAcAB0AHUAcgBlAGQAIABmAG8AcgAgAGMAbwBtAGIAdQBzAHQAaQBvAG4AXAAiACwAIAAwAC4AMAAzADcANwAsACAAXAAiAG0AMwBcACIALAAgADUAMQAuADkALAAgADQALgA2ACwAIAAwAC4AMwAsACAANQA2AC4AOAA7AFwAbgAgACAAIAAgACAAIAAgACAAXAAiAEMAbwBtAHAAcgBlAHMAcwBlAGQAIABuAGEAdAB1AHIAYQBsACAAZwBhAHMAKAByAGUAdgBlAHIAdABpAG4AZwAgAHQAbwAgAHMAdABhAG4AZABhAHIAZAAgAGMAbwBuAGQAaQB0AGkAbwBuAHMAKQBcACIALAAgADAALgAwADMAOQAzACwAIABcACIAbQAzAFwAIgAsACAANQAxAC4ANAAsACAAMAAuADEALAAgADAALgAwADMALAAgADUAMQAuADUAMwA7AFwAbgAgACAAIAAgACAAIAAgACAAXAAiAFUAbgBwAHIAbwBjAGUAcwBzAGUAZAAgAG4AYQB0AHUAcgBhAGwAIABnAGEAcwBcACIALAAgADAALgAwADMAOQAzACwAIABcACIAbQAzAFwAIgAsACAANQAxAC4ANAAsACAAMAAuADEALAAgADAALgAwADMALAAgADUAMQAuADUAMwA7AFwAbgAgACAAIAAgACAAIAAgACAAXAAiAEUAdABoAGEAbgBlAFwAIgAsACAAMAAuADAANgAyADkALAAgAFwAIgBtADMAXAAiACwAIAA1ADYALgA1ACwAIAAwAC4AMAAzACwAIAAwAC4AMAAzACwAIAA1ADYALgA1ADYAOwBcAG4AIAAgACAAIAAgACAAIAAgAFwAIgBDAG8AawBlACAAbwB2AGUAbgAgAGcAYQBzAFwAIgAsACAAMAAuADAAMQA4ADEALAAgAFwAIgBtADMAXAAiACwAIAAzADcALgAwACwAIAAwAC4AMAAzACwAIAAwAC4AMAA1ACwAIAAzADcALgAwADgAOwBcAG4AIAAgACAAIAAgACAAIAAgAFwAIgBCAGwAYQBzAHQAIABmAHUAcgBuAGEAYwBlACAAZwBhAHMAXAAiACwAIAAwAC4AMAAwADQAMAAsACAAXAAiAG0AMwBcACIALAAgADIAMwA0AC4AMAAsACAAMAAuADAAMwAsACAAMAAuADAAMgAsACAAMgAzADQALgAwADUAOwBcAG4AIAAgACAAIAAgACAAIAAgAFwAIgBUAG8AdwBuACAAZwBhAHMAXAAiACwAIAAwAC4AMAAzADkAMAAsACAAXAAiAG0AMwBcACIALAAgADYAMAAuADIALAAgADAALgAwADQALAAgADAALgAwADMALAAgADYAMAAuADIANwA7AFwAbgAgACAAIAAgACAAIAAgACAAXAAiAEwAaQBxAHUAZQBmAGkAZQBkACAAbgBhAHQAdQByAGEAbAAgAGcAYQBzAFwAIgAsACAAMgA1AC4AMwAsACAAXAAiAGsATABcACIALAAgADUAMQAuADQALAAgADAALgAxACwAIAAwAC4AMAAzACwAIAA1ADEALgA1ADMAOwBcAG4AIAAgACAAIAAgACAAIAAgAFwAIgBHAGEAcwBlAG8AdQBzACAAZgBvAHMAcwBpAGwAIABmAHUAZQBsAHMAIABvAHQAaABlAHIAIAB0AGgAYQBuACAAdABoAG8AcwBlACAAbQBlAG4AdABpAG8AbgBlAGQAIABpAG4AIAB0AGgAZQAgAGkAdABlAG0AcwAgAGEAYgBvAHYAZQBcACIALAAgADAALgAwADMAOQAwACwAIABcACIAbQAzAFwAIgAsACAANQAxAC4ANAAsACAAMAAuADEALAAgADAALgAwADMALAAgADUAMQAuADUAMwA7AFwAbgAgACAAIAAgACAAIAAgACAAXAAiAEwAYQBuAGQAZgBpAGwAbA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UwBsAHUAZABnAGU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EEAIABiAGkAbwBnAGEAcwAgAHQAaABhAHQAIABpAHMAIABjAGEAcAB0AHUAcgBlAGQAIABmAG8AcgAgAGMAbwBtAGIAdQBzAHQAaQBvAG4ALAAgAG8AdABoAGUAcgAgAHQAaABhAG4AIAB0AGgAbwBzAGUAIABtAGUAbgB0AGkAbwBuAGUAZAAgAGkAbgAgAHQAaABlACAAaQB0AGUAbQBzACAAYQBiAG8AdgBlAFwAIgAsACAAMAAuADAAMwA3ADAALAAgAFwAIgBtADMAXAAiACwAIAAwAC4AMAAsACAANgAuADQALAAgADAALgAwADMALAAgADYALgA0ADMAOwBcAG4AIAAgACAAIAAgACAAIAAgAFwAIgBCAGkAbwBtAGUAdABoAGEAbgBlAFwAIgAsACAAMAAuADAAMwA5ADMALAAgAFwAIgBtADMAXAAiACwAIAAwAC4AMAAsACAAMAAuADEALAAgADAALgAwADMALAAgADAALgAxADMAOwBcAG4AIAAgACAAIAAgACAAIAAgAFwAIgBIAHkAZAByAG8AZwBlAG4AXAAiACwAIAAwAC4AMAAxADIAMgAsACAAXAAiAG0AMwBcACIALAAgADAALgAwACwAIAAwAC4AMAAsACAAMAAuADUALAAgADAALgA1ADsAXABuACAAIAAgACAAIAAgACAAIABcACIATgBhAHQAdQByAGEAbAAgAGcAYQBzACAAZABpAHMAdAByAGkAYgB1AHQAZQBkACAAaQBuACAAYQAgAHAAaQBwAGUAbABpAG4AZQAgAC0AIABHAGkAZwBhAGoAbwB1AGwAZQBzAFwAIgAsACAAMQAsACAAXAAiAEcASgBcACIALAAgADUAMQAuADQALAAgADAALgAxACwAIAAwAC4AMAAzACwAIAA1ADEALgA1ADMAOwBcAG4AIAAgACAAIAAgACAAIAAgAFwAIgBUAG8AdwBuACAAZwBhAHMAIAAtACAARwBpAGcAYQBqAG8AdQBsAGUAcwBcACIALAAgADEALAAgAFwAIgBHAEoAXAAiACwAIAA2ADAALgAyACwAIAAwAC4AMAA0ACwAIAAwAC4AMAAzACwAIAA2ADAALgAyADcAXABuACAAIAAgACAAIAAgAH0ALAAgAHIALAAgAGMAKQBcAG4AKQApACkAOwBcAG4AXABuAEYAdQBlAGwAXwBTAGMAbwBwAGUAMQBFAG0AaQBzAHMAaQBvAG4ARgBhAGMAdABvAHIAcwBTAHQAYQB0AGkAbwBuAGEAcgB5AEcAYQBzAGUAbwB1AHMAXwBWAGEAcgBpAGEAdABpAG8AbgBcAG4APQBMAEEATQBCAEQAQQAoACgAXAAiAFYAQQBSAEkAQQBUAEkATwBOACAATwBGACAAUwBPAFUAUgBDAEUAIABEAEEAVABBADoAIABcAHUAMAAwADIANwBOAGEAdAB1AHIAYQBsACAAZwBhAHMAIABkAGkAcwB0AHIAaQBiAHUAdABlAGQAIABpAG4AIABhACAAcABpAHAAZQBsAGkAbgBlACAALQAgAEcAaQBnAGEAagBvAHUAbABlAHMAXAB1ADAAMAAyADcAIABhAG4AZAAgAFwAdQAwADAAMgA3AFQAbwB3AG4AIABnAGEAcwAgAC0AIABHAGkAZwBhAGoAbwB1AGwAZQBzAFwAdQAwADAAMgA3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XAB1ADAAMAAyADcAQwBcAHUAMAAwADIANwAgAFYAYQBsAHUAZQBzACAAZgBvAHIAIABUAGEAcwBtAGEAbgBpAGEAIABhAG4AZAAgAE4AbwByAHQAaABlAHIAbgAgAFQAZQByAHIAaQB0AG8AcgB5ACAAcgBlAHAAbABhAGMAZQBkACAAdwBpAHQAaAAgAHQAaABvAHMAZQAgAGYAbwByACAAVgBpAGMAdABvAHIAaQBhACAAYQBuAGQAIABXAGUAcwB0AGUAcgBuACAAQQB1AHMAdAByAGEAbABpAGEAIAByAGUAcwBwAGUAYwB0AGkAdgBlAGwAeQAuACAAKABTAGUAZQAgAGEAcABwAGUAbgBkAGkAYwBlAHMAKQBcACIAKQApADsAXABuAFwAbgBGAHUAZQBsAF8AUwBjAG8AcABlADMARQBtAGkAcwBzAGkAbwBuAEYAYQBjAHQAbwByAHMAUwB0AGEAdABpAG8AbgBhAHIAeQBHAGEAcwBlAG8AdQBzAF8AQQBwAHAAZQBuAGQAaQBjAGUAcwBcAG4APQBMAEEATQBCAEQAQQAoAFwAbgAgACAATQBBAEsARQBBAFIAUgBBAFkAKAAxADIALAAgADIALABcAG4AIAAgACAAIABMAEEATQBCAEQAQQAoAHIALABjACwAXABuACAAIAAgACAAIAAgAEkATgBEAEUAWAAoAHsAXABuACAAIAAgACAAIAAgACAAIABcACIALQBcACIALAAgAFwAIgBBAHMAIABTAGMAbwBwAGUAIAAzACAAZgBhAGMAdABvAHIAcwAgAGEAcgBlACAAYwBhAGwAYwB1AGwAYQB0AGUAZAAgAGEAdAAgAHQAaABlACAAcABvAGkAbgB0ACAAdwBoAGUAcgBlACAAbgBhAHQAdQByAGEAbAAgAGcAYQBzACAAaQBzACAAZABlAGwAaQB2AGUAcgBlAGQAIAB0AG8AIABlAG4AZAAgAHUAcwBlAHIAcwAsACAAaQB0ACAAaQBzACAAbgBlAGMAZQBzAHMAYQByAHkAIAB0AG8AIABjAGEAbABjAHUAbABhAHQAZQAgAGMAbwBuAHMAdQBtAHAAdABpAG8AbgAgAGEAdAAgAGUAYQBjAGgAIABvAGYAIAB0AGgAZQAgAGwAbwBhAGQAIABjAGUAbgB0AHIAZQBzAC4AXAAiADsAXABuACAAIAAgACAAIAAgACAAIABcACIAXAAiACwAIABcACIARwBhAHMAIAByAGUAYQBjAGgAZQBzACAAZQBuAGQAIAB1AHMAZQByAHMAIABlAGkAdABoAGUAcgAgAGYAcgBvAG0AIAB0AGgAZQAgAG0AZQB0AHIAbwAgAGQAaQBzAHQAcgBpAGIAdQB0AGkAbwBuACAAbgBlAHQAdwBvAHIAawBzACAAbwByACAAZABpAHIAZQBjAHQAIABmAHIAbwBtACAAdABoAGUAIABoAGkAZwBoACAALQAgAHAAcgBlAHMAcwB1AHIAZQAgAGQAaQBzAHQAcgBpAGIAdQB0AGkAbwBuACAAcABpAHAAZQBsAGkAbgBlAHMALgBcACIAOwBcAG4AIAAgACAAIAAgACAAIAAgAFwAIgBcACIALAAgAFwAIgBIAG8AdQBzAGUAaABvAGwAZABzACAAYQBuAGQAIABjAG8AbQBtAGUAcgBjAGkAYQBsACAAdQBzAGUAcgBzACAAdABlAG4AZAAgAHQAbwAgAGIAZQAgAHMAZQByAHYAZQBkACAAYgB5ACAAdABoAGUAIABmAG8AcgBtAGUAcgAsACAAYQBuAGQAIABlAGwAZQBjAHQAcgBpAGMAaQB0AHkAIABnAGUAbgBlAHIAYQB0AG8AcgBzACAAYQBuAGQAIABsAGEAcgBnAGUAIABpAG4AZAB1AHMAdAByAGkAYQBsACAAcABsAGEAbgB0AHMAIABmAHIAbwBtACAAdABoAGUAIABsAGEAdAB0AGUAcgAuAFwAIgA7AFwAbgAgACAAIAAgACAAIAAgACAAXAAiAC0AXAAiACwAIABcACIATQBlAHQAcgBvACAAaQBzACAAZABlAGYAaQBuAGUAZAAgAGEAcwAgAGwAbwBjAGEAdABlAGQAIABvAG4AIABvAHIAIABlAGEAcwB0ACAAbwBmACAAdABoAGUAIABkAGkAdgBpAGQAaQBuAGcAIAByAGEAbgBnAGUAIABpAG4AIABOAFMAVwAsACAAaQBuAGMAbAB1AGQAaQBuAGcAIABDAGEAbgBiAGUAcgByAGEAIABhAG4AZAAgAFEAdQBlAGEAbgBiAGUAeQBhAG4ALAAgAE0AZQBsAGIAbwB1AHIAbgBlACwAIABCAHIAaQBzAGIAYQBuAGUALAAgAEEAZABlAGwAYQBpAGQAZQAgAG8AcgAgAFAAZQByAHQAaAAuAFwAIgA7AFwAbgAgACAAIAAgACAAIAAgACAAXAAiAFwAIgAsACAAXAAiAE8AdABoAGUAcgB3AGkAcwBlACwAIAB0AGgAZQAgAG4AbwBuACAALQAgAG0AZQB0AHIAbwAgAGYAYQBjAHQAbwByACAAcwBoAG8AdQBsAGQAIABiAGUAIAB1AHMAZQBkAC4AXAAiADsAXABuACAAIAAgACAAIAAgACAAIABcACIALQBcACIALAAgAFwAIgBGAGEAYwB0AG8AcgBzACAAYQByAGUAIABjAGEAbABjAHUAbABhAHQAZQBkACAAZgBvAHIAIABhAGwAbAAgAG4AYQB0AHUAcgBhAGwAIABnAGEAcwAgAGQAaQBzAHQAcgBpAGIAdQB0AGUAZAAgAGkAbgAgAGEAIABwAGkAcABlAGwAaQBuAGUAIAB3AGgAaQBjAGgAIABtAGEAeQAgAGkAbgBjAGwAdQBkAGUAIABjAG8AYQBsACAAcwBlAGEAbQAgAG0AZQB0AGgAYQBuAGUALgBcACIAOwBcAG4AIAAgACAAIAAgACAAIAAgAFwAIgAtAFwAIgAsACAAXAAiAFQAYQBiAGwAZQAgADYAIABpAHMAIABuAG8AdAAgAGEAcABwAGwAaQBjAGEAYgBsAGUAIAB0AG8AIABlAHQAaABhAG4AZQAuACAAUwBlAGUAIABUAGEAYgBsAGUAIAA3ACAASQBuAGQAaQByAGUAYwB0ACAAKABTAGMAbwBwAGUAIAAzACkAIABlAG0AaQBzAHMAaQBvAG4AcwAgAGYAcgBvAG0AIAB0AGgAZQAgAGMAbwBuAHMAdQBtAHAAdABpAG8AbgAgAG8AZgAgAGUAdABoAGEAbgBlAC4AXAAiADsAXABuACAAIAAgACAAIAAgACAAIABcACIALQBcACIALAAgAFwAIgBDACAAPQAgAEMAbwBuAGYAaQBkAGUAbgB0AGkAYQBsAC4AIABTAGMAbwBwAGUAIAAzACAAZQBtAGkAcwBzAGkAbwBuACAAZgBhAGMAdABvAHIAcwAgAGYAbwByACAAVABhAHMAbQBhAG4AaQBhACAAYQBuAGQAIAB0AGgAZQAgAE4AbwByAHQAaABlAHIAbgAgAFQAZQByAHIAaQB0AG8AcgB5ACAAYQByAGUAIABuAG8AdAAgAGEAdgBhAGkAbABhAGIAbABlACAAZAB1AGUAIAB0AG8AIABjAG8AbgBmAGkAZABlAG4AdABpAGEAbABpAHQAeQAgAGMAbwBuAHMAdAByAGEAaQBuAHQAcwAgAHQAaABhAHQAIABhAHIAaQBzAGUAXAAiADsAXABuACAAIAAgACAAIAAgACAAIABcACIAXAAiACwAIABcACIAZgByAG8AbQAgAHQAaABlACAAdQBzAGUAIABvAGYAIABhACAAbABpAG0AaQB0AGUAZAAgAG4AdQBtAGIAZQByACAAbwBmACAATgBHAEUAUgAgAGQAYQB0AGEAIABpAG4AcAB1AHQAcwAuACAASQB0ACAAaQBzACAAcwB1AGcAZwBlAHMAdABlAGQAIAB0AGgAYQB0ACAAZgBvAHIAIABUAGEAcwBtAGEAbgBpAGEAIAB0AGgAZQAgAHUAcwBlACAAbwBmACAAdABoAGUAIABWAGkAYwB0AG8AcgBpAGEAbgAgAGUAbQBpAHMAcwBpAG8AbgAgAGYAYQBjAHQAbwByAHMAIABpAHMAIABhAHAAcAByAG8AcAByAGkAYQB0AGUALABcACIAOwBcAG4AIAAgACAAIAAgACAAIAAgAFwAIgBcACIALAAgAFwAIgB3AGgAaQBsAGUAIABmAG8AcgAgAE4AbwByAHQAaABlAHIAbgAgAFQAZQByAHIAaQB0AG8AcgB5ACAAdABoAGUAIAB1AHMAZQAgAG8AZgAgAHQAaABlACAAVwBlAHMAdABlAHIAbgAgAEEAdQBzAHQAcgBhAGwAaQBhAG4AIABlAG0AaQBzAHMAaQBvAG4AIABmAGEAYwB0AG8AcgBzACAAaQBzACAAYQBwAHAAcgBvAHAAcgBpAGEAdABlAC4AXAAiADsAXABuACAAIAAgACAAIAAgACAAIABcACIALQBcACIALAAgAFwAIgBTAGMAbwBwAGUAIAAzACAAZQBtAGkAcwBzAGkAbwBuACAAZgBhAGMAdABvAHIAcwAgAGQAbwAgAG4AbwB0ACAAaQBuAGMAbAB1AGQAZQAgAGYAdQBnAGkAdABpAHYAZQAgAGUAbQBpAHMAcwBpAG8AbgAgAGwAZQBhAGsAYQBnAGUAIABmAHIAbwBtACAAbABvAHcAIABwAHIAZQBzAHMAdQByAGUAIABuAGEAdAB1AHIAYQBsACAAZwBhAHMAIABkAGkAcwB0AHIAaQBiAHUAdABpAG8AbgAgAHAAaQBwAGUAbABpAG4AZQAgAG4AZQB0AHcAbwByAGsAcwAgAHcAaABpAGwAZQAgAHQAaABvAHMAZQAgAGYAcgBvAG0AIABoAGkAZwBoACAAcAByAGUAcwBzAHUAcgBlAFwAIgA7AFwAbgAgACAAIAAgACAAIAAgACAAXAAiAFwAIgAsACAAXAAiAGcAYQBzACAAbgBlAHQAdwBvAHIAawBzACAAYQByAGUAIABjAG8AbgBzAGkAZABlAHIAZQBkACAAbgBlAGcAbABpAGcAaQBiAGwAZQAu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MAdABhAHQAaQBvAG4AYQByAHkAIABsAGkAcQB1AGkAZAAgAGYAdQ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MAdABhAHQAaQBvAG4AYQByAHkATABpAHEAdQBpAGQAXwBUAGkAdABsAGUAXABuAD0ATABBAE0AQgBEAEEAKAAoAFwAIgBGAHUAZQBsACAAcwBjAG8AcABlACAAMQAgAGEAbgBkACAAMwAgAGUAbQBpAHMAcwBpAG8AbgAgAGYAYQBjAHQAbwByAHMAIAAtACAAUwB0AGEAdABpAG8AbgBhAHIAeQAgAGwAaQBxAHUAaQBkACAAZgB1AGUAbABzAFwAIgApACkAOwBcAG4AXABuAEYAdQBlAGwAXwBTAGMAbwBwAGUAMQBTAGMAbwBwAGUAMwBFAG0AaQBzAHMAaQBvAG4ARgBhAGMAdABvAHIAcwBTAHQAYQB0AGkAbwBuAGEAcgB5AEwAaQBxAHUAaQBkAF8ARABlAHMAYwByAGkAcAB0AGkAbwBuAFwAbgA9AEwAQQBNAEIARABBACgAKABcACIARABpAHIAZQBjAHQAIAAoAFMAYwBvAHAAZQAgADEAKQAgAGEAbgBkACAAaQBuAGQAaQByAGUAYwB0ACAAKABzAGMAbwBwAGUAIAAzACkAIABlAG0AaQBzAHMAaQBvAG4AIABmAGEAYwB0AG8AcgBzACAAZgBvAHIAIAB0AGgAZQAgAGMAbwBuAHMAdQBtAHAAdABpAG8AbgAgAG8AZgAgAGwAaQBxAHUAaQBkACAAZgB1AGUAbABzACwAIABpAG4AYwBsAHUAZABpAG4AZwAgAGMAZQByAHQAYQBpAG4AIABwAGUAdAByAG8AbABlAHUAbQAgAGIAYQBzAGUAZAAgAHAAcgBvAGQAdQBjAHQAcwAgAGYAbwByACAAcwB0AGEAdABpAG8AbgBhAHIAeQAgAGUAbgBlAHIAZwB5ACAAcAB1AHIAcABvAHMAZQBzAC4AXAAiACkAKQA7AFwAbgBcAG4ARgB1AGUAbABfAFMAYwBvAHAAZQAxAFMAYwBvAHAAZQAzAEUAbQBpAHMAcwBpAG8AbgBGAGEAYwB0AG8AcgBzAFMAdABhAHQAaQBvAG4AYQByAHkATABpAHEAdQBpAGQAXwBTAG8AdQByAGMAZQBcAG4APQBMAEEATQBCAEQAQQAoACgAXAAiAEEAdQBzAHQAcgBhAGwAaQBhAG4AIABOAGEAdABpAG8AbgBhAGwAIABHAHIAZQBlAG4AaABvAHUAcwBlACAAQQBjAGMAbwB1AG4AdABzACAARgBhAGMAdABvAHIAcwAgADIAMAAyADUAIAAtACAAVABhAGIAbABlACAAOABcACIAKQApADsAXABuAFwAbgBGAHUAZQBsAF8AUwBjAG8AcABlADEAUwBjAG8AcABlADMARQBtAGkAcwBzAGkAbwBuAEYAYQBjAHQAbwByAHMAUwB0AGEAdABpAG8AbgBhAHIAeQBMAGkAcQB1AGkAZABfAEQAYQB0AGEAXABuAD0ATABBAE0AQgBEAEEAKABcAG4AIAAgAE0AQQBLAEUAQQBSAFIAQQBZACgAMgA1ACwAIAA4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UABlAHQAcgBvAGwAZQB1AG0AIABiAGEAcwBlAGQAIABvAGkAbABzACAAKABvAHQAaABlAHIAIAB0AGgAYQBuACAAcABlAHQAcgBvAGwAZQB1AG0AIABiAGEAcwBlAGQAIABvAGkAbAAgAHUAcwBlAGQAIABhAHMAIABmAHUAZQBsACkALAAgAGUALgBnAC4AIABsAHUAYgByAGkAYwBhAG4AdABzAFwAIgAsACAAMwA4AC4AOAAsACAAXAAiAGsAbABcACIALAAgADEAMwAuADkALAAgADAALgAwACwAIAAwAC4AMAAsACAAMQAzAC4AOQAsACAAMQA4AC4AMAA7AFwAbgAgACAAIAAgACAAIAAgACAAXAAiAFAAZQB0AHIAbwBsAGUAdQBtACAAYgBhAHMAZQBkACAAZwByAGUAYQBzAGUAcwBcACIALAAgADMAOAAuADgALAAgAFwAIgBrAGwAXAAiACwAIAAzAC4ANQAsACAAMAAuADAALAAgADAALgAwACwAIAAzAC4ANQAsACAAMQA4AC4AMAA7AFwAbgAgACAAIAAgACAAIAAgACAAXAAiAEMAcgB1AGQAZQAgAG8AaQBsACAAaQBuAGMAbAB1AGQAaQBuAGcAIABjAHIAdQBkAGUAIABvAGkAbAAgAGMAbwBuAGQAZQBuAHMAYQB0AGUAcwBcACIALAAgADQANQAuADMALAAgAFwAIgB0AFwAIgAsACAANgA5AC4ANgAsACAAMAAuADAAOAAsACAAMAAuADIALAAgADYAOQAuADgAOAAsACAAXAAiAE4ARQBcACIAOwBcAG4AIAAgACAAIAAgACAAIAAgAFwAIgBPAHQAaABlAHIAIABuAGEAdAB1AHIAYQBsACAAZwBhAHMAIABsAGkAcQB1AGkAZABzAFwAIgAsACAANAA2AC4ANQAsACAAXAAiAHQAXAAiACwAIAA2ADEALgAwACwAIAAwAC4AMAA4ACwAIAAwAC4AMgAsACAANgAxAC4AMgA4ACwAIABcACIATgBFAFwAIgA7AFwAbgAgACAAIAAgACAAIAAgACAAXAAiAEEAdQB0AG8AbQBvAHQAaQB2AGUAIABnAGEAcwBvAGwAaQBuAGUAIAAvACAAcABlAHQAcgBvAGwAIAAoAG8AdABoAGUAcgAgAHQAaABhAG4AIABmAG8AcgAgAHUAcwBlACAAYQBzACAAZgB1AGUAbAAgAGkAbgAgAGEAbgAgAGEAaQByAGMAcgBhAGYAdAApAFwAIgAsACAAMwA0AC4AMgAsACAAXAAiAGsATABcACIALAAgADYANwAuADQALAAgADAALgAyACwAIAAwAC4AMgAsACAANgA3AC4AOAAwACwAIAAxADcALgAyADsAXABuACAAIAAgACAAIAAgACAAIABcACIAQQB2AGkAYQB0AGkAbwBuACAAZwBhAHMAbwBsAGkAbgBlAFwAIgAsACAAMwAzAC4AMQAsACAAXAAiAGsATABcACIALAAgADYANwAsACAAMAAuADIALAAgADAALgAyACwAIAA2ADcALgA0ADAALAAgADEAOAAuADAAOwBcAG4AIAAgACAAIAAgACAAIAAgAFwAIgBLAGUAcgBvAHMAZQBuAGUAIAAoAG8AdABoAGUAcgAgAHQAaABhAG4AIABmAG8AcgAgAHUAcwBlACAAYQBzACAAZgB1AGUAbAAgAGkAbgAgAGEAbgAgAGEAaQByAGMAcgBhAGYAdAApAFwAIgAsACAAMwA3AC4ANQAsACAAXAAiAGsATABcACIALAAgADYAOAAuADkALAAgADAALgAwADEALAAgADAALgAyACwAIAA2ADkALgAxADEALAAgADEAOAAuADAAOwBcAG4AIAAgACAAIAAgACAAIAAgAFwAIgBBAHYAaQBhAHQAaQBvAG4AIAB0AHUAcgBiAGkAbgBlACAAZgB1AGUAbAAgAC8AIABrAGUAcgBvAHMAZQBuAGUAXAAiACwAIAAzADYALgA4ACwAIABcACIAawBMAFwAIgAsACAANgA5AC4ANgAsACAAMAAuADAAMgAsACAAMAAuADIALAAgADYAOQAuADgAMgAsACAAMQA4AC4AMAA7AFwAbgAgACAAIAAgACAAIAAgACAAXAAiAEgAZQBhAHQAaQBuAGcAIABvAGkAbABcACIALAAgADMANwAuADMALAAgAFwAIgBrAEwAXAAiACwAIAA2ADkALgA1ACwAIAAwAC4AMAAzACwAIAAwAC4AMgAsACAANgA5AC4ANwAzACwAIAAxADgALgAwADsAXABuACAAIAAgACAAIAAgACAAIABcACIARABpAGUAcwBlAGwAIABvAGkAbABcACIALAAgADMAOAAuADYALAAgAFwAIgBrAEwAXAAiACwAIAA2ADkALgA5ACwAIAAwAC4AMQAsACAAMAAuADIALAAgADcAMAAuADIAMAAsACAAMQA3AC4AMwA7AFwAbgAgACAAIAAgACAAIAAgACAAXAAiAEYAdQBlAGwAIABvAGkAbABcACIALAAgADMAOQAuADcALAAgAFwAIgBrAEwAXAAiACwAIAA3ADMALgA2ACwAIAAwAC4AMAA0ACwAIAAwAC4AMgAsACAANwAzAC4AOAA0ACwAIAAxADgALgAwADsAXABuACAAIAAgACAAIAAgACAAIABcACIATABpAHEAdQBlAGYAaQBlAGQAIABhAHIAbwBtAGEAdABpAGMAIABoAHkAZAByAG8AYwBhAHIAYgBvAG4AcwBcACIALAAgADMANAAuADQALAAgAFwAIgBrAEwAXAAiACwAIAA2ADkALgA3ACwAIAAwAC4AMAAzACwAIAAwAC4AMgAsACAANgA5AC4AOQAzACwAIAAxADgALgAwADsAXABuACAAIAAgACAAIAAgACAAIABcACIAUwBvAGwAdgBlAG4AdABzADoAIABtAGkAbgBlAHIAYQBsACAAdAB1AHIAcABlAG4AdABpAG4AZQAgAG8AcgAgAHcAaABpAHQAZQAgAHMAcABpAHIAaQB0AHMAXAAiACwAIAAzADQALgA0ACwAIABcACIAawBMAFwAIgAsACAANgA5AC4ANwAsACAAMAAuADAAMwAsACAAMAAuADIALAAgADYAOQAuADkAMwAsACAAMQA4AC4AMAA7AFwAbgAgACAAIAAgACAAIAAgACAAXAAiAEwAaQBxAHUAZQBmAGkAZQBkACAAcABlAHQAcgBvAGwAZQB1AG0AIABnAGEAcwAgACgATABQAEcAKQBcACIALAAgADIANQAuADcALAAgAFwAIgBrAEwAXAAiACwAIAA2ADAALgAyACwAIAAwAC4AMgAsACAAMAAuADIALAAgADYAMAAuADYAMAAsACAAMgAwAC4AMgA7AFwAbgAgACAAIAAgACAAIAAgACAAXAAiAE4AYQBwAGgAdABoAGEAXAAiACwAIAAzADEALgA0ACwAIABcACIAawBMAFwAIgAsACAANgA5AC4AOAAsACAAMAAuADAAMQAsACAAMAAuADAAMQAsACAANgA5AC4AOAAyACwAIAAxADgALgAwADsAXABuACAAIAAgACAAIAAgACAAIABcACIAUABlAHQAcgBvAGwAZQB1AG0AIABjAG8AawBlAFwAIgAsACAAMwA0AC4AMgAsACAAXAAiAHQAXAAiACwAIAA5ADIALgA2ACwAIAAwAC4AMAA4ACwAIAAwAC4AMgAsACAAOQAyAC4AOAA4ACwAIAAxADgALgAwADsAXABuACAAIAAgACAAIAAgACAAIABcACIAUgBlAGYAaQBuAGUAcgB5ACAAZwBhAHMAIABhAG4AZAAgAGwAaQBxAHUAaQBkAHMAXAAiACwAIAA0ADIALgA5ACwAIABcACIAdABcACIALAAgADUANAAuADcALAAgADAALgAwADMALAAgADAALgAwADMALAAgADUANAAuADcANgAsACAAMQA4AC4AMAA7AFwAbgAgACAAIAAgACAAIAAgACAAXAAiAFIAZQBmAGkAbgBlAHIAeQAgAGMAbwBrAGUAXAAiACwAIAAzADQALgAyACwAIABcACIAdABcACIALAAgADkAMgAuADYALAAgADAALgAwADgALAAgADAALgAyACwAIAA5ADIALgA4ADgALAAgADEAOAAuADAAOwBcAG4AIAAgACAAIAAgACAAIAAgAFwAIgBQAGUAdAByAG8AbABlAHUAbQAgAGIAYQBzAGUAZAAgAHAAcgBvAGQAdQBjAHQAcwAgAG8AdABoAGUAcgAgAHQAaABhAG4AIABtAGUAbgB0AGkAbwBuAGUAZAAgAGkAbgAgAHQAaABlACAAaQB0AGUAbQBzACAAYQBiAG8AdgBlAFwAIgAsACAAMwA0AC4ANAAsACAAXAAiAGsATABcACIALAAgADYAOQAuADgALAAgADAALgAwADIALAAgADAALgAxACwAIAA2ADkALgA5ADIALAAgADEAOAAuADAAOwBcAG4AIAAgACAAIAAgACAAIAAgAFwAIgBCAGkAbwBkAGkAZQBzAGUAbABcACIALAAgADMANAAuADYALAAgAFwAIgBrAEwAXAAiACwAIAAwAC4AMAAsACAAMAAuADAAOAAsACAAMAAuADIALAAgADAALgAyADgALAAgAFwAIgBOAEUAXAAiADsAXABuACAAIAAgACAAIAAgACAAIABcACIARQB0AGgAYQBuAG8AbAAgAGYAbwByACAAdQBzAGUAIABhAHMAIABhACAAZgB1AGUAbAAgAGkAbgAgAGEAbgAgAGkAbgB0AGUAcgBuAGEAbAAgAGMAbwBtAGIAdQBzAHQAaQBvAG4AIABlAG4AZwBpAG4AZQBcACIALAAgADIAMwAuADQALAAgAFwAIgBrAEwAXAAiACwAIAAwAC4AMAAsACAAMAAuADAAOAAsACAAMAAuADIALAAgADAALgAyADgALAAgAFwAIgBOAEUAXAAiADsAXABuACAAIAAgACAAIAAgACAAIABcACIAQgBpAG8AZgB1AGUAbABzACAAbwB0AGgAZQByACAAdABoAGEAbgAgAHQAaABvAHMAZQAgAG0AZQBuAHQAaQBvAG4AZQBkACAAaQBuACAAdABoAGUAIABpAHQAZQBtAHMAIABhAGIAbwB2AGUAIABhAG4AZAAgAGIAZQBsAG8AdwBcACIALAAgADIAMwAuADQALAAgAFwAIgBrAEwAXAAiACwAIAAwAC4AMAAsACAAMAAuADAAOAAsACAAMAAuADIALAAgADAALgAyADgALAAgAFwAIgBOAEUAXAAiADsAXABuACAAIAAgACAAIAAgACAAIABcACIAUgBlAG4AZQB3AGEAYgBsAGUAIABhAHYAaQBhAHQAaQBvAG4AIABrAGUAcgBvAHMAZQBuAGUAXAAiACwAIAAzADYALgA4ACwAIABcACIAawBMAFwAIgAsACAAMAAuADAALAAgADAALgAwADIALAAgADAALgAyACwAIAAwAC4AMgAyACwAIABcACIATgBFAFwAIgA7AFwAbgAgACAAIAAgACAAIAAgACAAXAAiAFIAZQBuAGUAdwBhAGIAbABlACAAZABpAGUAcwBlAGwAXAAiACwAIAAzADgALgA2ACwAIABcACIAawBMAFwAIgAsACAAMAAuADAALAAgADAALgAxACwAIAAwAC4AMgAsACAAMAAuADMAMAAsACAAXAAiAE4ARQBcACIAXABuACAAIAAgACAAIAAgAH0ALAAgAHIALAAgAGMAKQBcAG4AKQApACkAOwBcAG4AXABuAEYAdQBlAGwAXwBTAGMAbwBwAGUAMQBTAGMAbwBwAGUAMwBFAG0AaQBzAHMAaQBvAG4ARgBhAGMAdABvAHIAcwBTAHQAYQB0AGkAbwBuAGEAcgB5AEwAaQBxAHUAaQBk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SAGUAZgByAGkAZwBlAHIAYQBuAHQAcwBfAEUAcQB1AGEAdABpAG8AbgBzACIALAAiAHQAZQB4AHQAIgA6ACIALwAqAFwAbgA9AD0APQA9AD0APQA9AD0APQA9AD0APQA9AD0APQA9AD0APQA9AD0APQA9AD0APQA9AD0APQA9AD0APQA9AD0APQA9AD0APQA9AD0AXABuADkAOgAgAFIAZQBmAHIAaQBnAGUAcgBhAG4AdAAgAFUAcwBlAFwAbgA9AD0APQA9AD0APQA9AD0APQA9AD0APQA9AD0APQA9AD0APQA9AD0APQA9AD0APQA9AD0APQA9AD0APQA9AD0APQA9AD0APQA9AD0AXABuADkALgAxACAAUgBlAGYAcgBpAGcAZQByAGEAbgB0ACAAVQBzAGUAXABuAD0APQA9AD0APQA9AD0APQA9AD0APQA9AD0APQA9AD0APQA9AD0APQA9AD0APQA9AD0APQA9AD0APQA9AD0APQA9AD0APQA9AD0APQBcAG4AKgAvAFwAbgBcAG4ALwAqACAAXABuAC0ALQAtAC0ALQAtAC0ALQAtAC0ALQAtAC0ALQAtAC0ALQAtAC0ALQAtAC0ALQAtAC0ALQAtAC0ALQAtAC0ALQAtAC0ALQAtAC0ALQBcAG4AVgBFAEUAUgBHAF8AOQBfADEAXwAxAF8AXwAxAF8AUgBlAGYAcgBpAGcAZQByAGEAbgB0AEwAZQBhAGsAaQBuAGcAXABuAFQAaABlACAAdABvAHQAYQBsACAAZQBtAGkAcwBzAGkAbwBuAHMAIABvAGYAIAByAGUAZgByAGkAZwBlAHIAYQBuAHQAIABsAGUAYQBrAGkAbgBnACAAZAB1AHIAaQBuAGcAIABvAHAAZQByAGEAdABpAG8AbgAgACgAbgBvAHQAIABkAHUAcgBpAG4AZwAgAGkAbgBzAHQAYQBsAGwAYQB0AGkAbwBuACAAbwByACAAZABpAHMAcABvAHMAYQBsACkAXABuAEcAVwBQAFIAIAA6ACAARwBsAG8AYgBhAGwAIAB3AGEAcgBtAGkAbgBnACAAcABvAHQAZQBuAHQAaQBhAGwAIABvAGYAIAByAGUAZgByAGkAZwBlAHIAYQBuAHQAIABSACAAOgAgAEQAaQBtAGUAbgBzAGkAbwBuAGwAZQBzAHMAXABuAGMAaABhAHIAZwBlAF8AUgBhACAAOgAgAEEAbQBvAHUAbgB0ACAAbwBmACAAcgBlAGYAcgBpAGcAZQByAGEAbgB0ACAAUgAgAGMAbwBuAHQAYQBpAG4AZQBkACAAaQBuACAAYQBwAHAAbABpAGEAbgBjAGUAIABhACAAOgAgAGsAZwBcAG4AbABlAGEAawBhAGcAZQByAGEAdABlAF8AYQAgADoAIABQAHIAYwBlAG4AdABhAGcAZQAgAG8AZgAgAHQAbwB0AGEAbAAgAGMAaABhAHIAZwBlACAAbABlAGEAawBlAGQAIABmAHIAbwBtACAAYQBwAHAAbABpAGEAbgBjAGUAIABhACAAZQBhAGMAaAAgAHkAZQBhAHIAIAA6ACAAUABlAHIAYwBlAG4AdABcAG4ALQAtAC0ALQAtAC0ALQAtAC0ALQAtAC0ALQAtAC0ALQAtAC0ALQAtAC0ALQAtAC0ALQAtAC0ALQAtAC0ALQAtAC0ALQAtAC0ALQAtAFwAbgAqAC8AXABuAFwAbgBcAG4AVgBFAEUAUgBHAF8AOQBfADEAXwAxAF8AXwAxAF8AUgBlAGYAcgBpAGcAZQByAGEAbgB0AEwAZQBhAGsAaQBuAGcAXABuACAAIAA9AEwAQQBNAEIARABBACgAXABuACAAIAAgACAAYwBoAGEAcgBnAGUAXwBSAGEALAAgAGwAZQBhAGsAYQBnAGUAcgBhAHQAZQBfAGEALABcAG4AIAAgACAAIAAoAGMAaABhAHIAZwBlAF8AUgBhACAAKgAgACgAbABlAGEAawBhAGcAZQByAGEAdABlAF8AYQAvADEAMAAwACkAKQAgACoAIAAxADAAIABeACAALQAgADMAXABuACAAIAApADsAXABuAFwAbgBWAEUARQBSAEcAXwA5AF8AMQBfADEAXwBfADEAXwBSAGUAZgByAGkAZwBlAHIAYQBuAHQATABlAGEAawBpAG4AZwBHAFcAUABcAG4AIAAgAD0ATABBAE0AQgBEAEEAKABcAG4AIAAgACAAIABFAF8AUgAsACAARwBXAFAAXwBSACwAXABuACAAIAAgACAAKAAoAEUAXwBSACAAKgAgADEAMABeADMAKQAgACoAIABHAFcAUABfAFIAKQAgACoAIAAxADAAXgAtADMAXABuACAAIAApADsAXABuAFwAbgBWAEUARQBSAEcAXwA5AF8AMQBfADEAXwBfADEAXwBSAGUAZgByAGkAZwBlAHIAYQBuAHQATABlAGEAawBpAG4AZwBfAFQAaQB0AGwAZQBcAG4AIAAgAD0ATABBAE0AQgBEAEEAKABcACIAVABoAGUAIAB0AG8AdABhAGwAIABlAG0AaQBzAHMAaQBvAG4AcwAgAG8AZgAgAHIAZQBmAHIAaQBnAGUAcgBhAG4AdAAgAGwAZQBhAGsAaQBuAGcAIABkAHUAcgBpAG4AZwAgAG8AcABlAHIAYQB0AGkAbwBuACAAKABuAG8AdAAgAGQAdQByAGkAbgBnACAAaQBuAHMAdABhAGwAbABhAHQAaQBvAG4AIABvAHIAIABkAGkAcwBwAG8AcwBhAGwAKQBcACIAKQA7AFwAbgBcAG4AVgBFAEUAUgBHAF8AOQBfADEAXwAxAF8AXwAxAF8AUgBlAGYAcgBpAGcAZQByAGEAbgB0AEwAZQBhAGsAaQBuAGcARwBXAFAAXwBUAGkAdABsAGUAXABuACAAIAA9AEwAQQBNAEIARABBACgAXAAiAFIAZQBmAHIAaQBnAGUAcgBhAG4AdAAgAGwAZQBhAGsAYQBnAGUAIABlAG0AaQBzAHMAaQBvAG4AcwAgAGMAbwBuAHYAZQByAHQAZQBkACAAdABvACAAQwBPADIALQBlAFwAIgApADsAXABuAFwAbgBWAEUARQBSAEcAXwA5AF8AMQBfADEAXwBfADEAXwBSAGUAZgByAGkAZwBlAHIAYQBuAHQATABlAGEAawBpAG4AZwBfAFYAYQByAGkAYQBiAGwAZQBcAG4AIAAgAD0ATABBAE0AQgBEAEEAKABcACIARQBfAFIAXAAiACkAOwBcAG4AXABuAFYARQBFAFIARwBfADkAXwAxAF8AMQBfAF8AMQBfAFIAZQBmAHIAaQBnAGUAcgBhAG4AdABMAGUAYQBrAGkAbgBnAEcAVwBQAF8AVgBhAHIAaQBhAGIAbABlAFwAbgAgACAAPQBMAEEATQBCAEQAQQAoAFwAIgBFAF8AQwBPADIAZQBcACIAKQA7AFwAbgBcAG4AVgBFAEUAUgBHAF8AOQBfADEAXwAxAF8AXwAxAF8AUgBlAGYAcgBpAGcAZQByAGEAbgB0AEwAZQBhAGsAaQBuAGcAXwBVAG4AaQB0AFwAbgAgACAAPQBMAEEATQBCAEQAQQAoAFwAIgB0ACAAcgBlAGYAcgBpAGcAZQByAGEAbgB0ACAAZwBhAHMAXAAiACkAOwBcAG4AXABuAFYARQBFAFIARwBfADkAXwAxAF8AMQBfAF8AMQBfAFIAZQBmAHIAaQBnAGUAcgBhAG4AdABMAGUAYQBrAGkAbgBnAEcAVwBQAF8AVQBuAGkAdABcAG4AIAAgAD0ATABBAE0AQgBEAEEAKABcACIAdAAgAEMATwAyAC0AZQBcACIAKQA7AFwAbgBcAG4AVgBFAEUAUgBHAF8AOQBfADEAXwAxAF8AXwAxAF8AUgBlAGYAcgBpAGcAZQByAGEAbgB0AEwAZQBhAGsAaQBuAGcAXwBTAG8AdQByAGMAZQBcAG4AIAAgAD0ATABBAE0AQgBEAEEAKABcACIAVgBFAEUAUgBHACAAMgAwADIANgA6ACAAOQAuADEALgAxACwAIABFAHEAdQBhAHQAaQBvAG4AIAAoADEAKQBcACIAKQA7AFwAbgBcAG4AVgBFAEUAUgBHAF8AOQBfADEAXwAxAF8AXwAxAF8AUgBlAGYAcgBpAGcAZQByAGEAbgB0AEwAZQBhAGsAaQBuAGcARwBXAFAAXwBTAG8AdQByAGMAZQBcAG4AIAAgAD0ATABBAE0AQgBEAEEAKABcACIAQQB1AHMAdAByAGEAbABpAGEAbgAgAE4AYQB0AGkAbwBuAGEAbAAgAEcAcgBlAGUAbgBoAG8AdQBzAGUAIABBAGMAYwBvAHUAbgB0AHMAIABGAGEAYwB0AG8AcgBzACAAMgAwADIANQAgAC0AIAAzAC4AMQAgAEUAcwB0AGkAbQBhAHQAaQBuAGcAIABpAG4AZAB1AHMAdAByAGkAYQBsACAAcAByAG8AYwBlAHMAcwBlAHMAIABlAG0AaQBzAHMAaQBvAG4AcwAgAC0AIABSAGUAZgByAGkAZwBlAHIAYQBuAHQAIABsAGUAYQBrAGEAZwBlAFwAIgApADsAXABuAFwAbgBWAEUARQBSAEcAXwA5AF8AMQBfADEAXwBfADEAXwBSAGUAZgByAGkAZwBlAHIAYQBuAHQATABlAGEAawBpAG4AZwBfAFIAZQBhAGQAYQBiAGwAZQBFAHEAdQBhAHQAaQBvAG4AXABuACAAIAA9AEwAQQBNAEIARABBACgAXAAiAGMAaABhAHIAZwBlAF8AUgBhACAAKgAgACgAbABlAGEAawBhAGcAZQByAGEAdABlAF8AYQAvADEAMAAwACkAIAAqACAAMQAwACAAXgAgAC0AIAAzAFwAIgApADsAXABuAFwAbgBWAEUARQBSAEcAXwA5AF8AMQBfADEAXwBfADEAXwBSAGUAZgByAGkAZwBlAHIAYQBuAHQATABlAGEAawBpAG4AZwBfAEwAYQB0AGUAeABFAHEAdQBhAHQAaQBvAG4AXABuACAAIAA9AEwAQQBNAEIARABBACgAXAAiAEUAXwBSACAAPQAgAFwAXABzAHUAbQBcAFwAbgBvAGwAaQBtAGkAdABzAF8AYQAgAFwAXABsAGUAZgB0ACgAIABjAGgAYQByAGcAZQBfAHsAUgBhAH0AIABcAFwAdABpAG0AZQBzACAAXABcAGYAcgBhAGMAewBsAGUAYQBrAGEAZwBlAFwAXAAsAHIAYQB0AGUAXwBhAH0AewAxADAAMAB9ACAAXABcAHIAaQBnAGgAdAApACAAXABcAHQAaQBtAGUAcwAgADEAMABeAHsALQAzAH0AXAAiACkAOwBcAG4AXABuAFYARQBFAFIARwBfADkAXwAxAF8AMQBfAF8AMQBfAFIAZQBmAHIAaQBnAGUAcgBhAG4AdABMAGUAYQBrAGkAbgBnAEcAVwBQAF8ATABhAHQAZQB4AEUAcQB1AGEAdABpAG8AbgBcAG4AIAAgAD0ATABBAE0AQgBEAEEAKABcACIARQBfAEMATwAyAGUAIAA9ACAAXABcAGwAZQBmAHQAKABFAF8AUgAgAFwAXAB0AGkAbQBlAHMAIAAxADAAXgB7ADMAfQAgAFwAXAByAGkAZwBoAHQAKQAgAFwAXAB0AGkAbQBlAHMAIABHAFcAUABfAFIAIABcAFwAdABpAG0AZQBzACAAMQAwAF4AewAtADMAfQBcACIAKQA7AFwAbgBcAG4AVgBFAEUAUgBHAF8AOQBfADEAXwAxAF8AXwAxAF8AUgBlAGYAcgBpAGcAZQByAGEAbgB0AEwAZQBhAGsAaQBuAGcAXwBBAHIAZwB1AG0AZQBuAHQAcwBcAG4AIAAgAD0ATABBAE0AQgBEAEEAKABcAG4AIAAgACAAIABNAEEASwBFAEEAUgBSAEEAWQAoADQALAAgADQALAAgAFwAbgAgACAAIAAgACAAIABMAEEATQBCAEQAQQAoAHIALABjACwAIABcAG4AIAAgACAAIAAgACAAIAAgAEkATgBEAEUAWAAoAHsAXABuACAAIAAgACAAIAAgACAAIAAgACAAXAAiAGMAaABhAHIAZwBlAF8AUgBhAFwAIgAsACAAXAAiAEEAbQBvAHUAbgB0ACAAbwBmACAAcgBlAGYAcgBpAGcAZQByAGEAbgB0ACAAUgAgAGMAbwBuAHQAYQBpAG4AZQBkACAAaQBuACAAYQBwAHAAbABpAGEAbgBjAGUAIABhAFwAIgAsACAAXAAiAGsAZwBcACIALAAgAFwAIgBJAG4AcAB1AHQAXAAiADsAXABuACAAIAAgACAAIAAgACAAIAAgACAAXAAiAGwAZQBhAGsAYQBnAGUAcgBhAHQAZQBfAGEAXAAiACwAIABcACIAUAByAGMAZQBuAHQAYQBnAGUAIABvAGYAIAB0AG8AdABhAGwAIABjAGgAYQByAGcAZQAgAGwAZQBhAGsAZQBkACAAZgByAG8AbQAgAGEAcABwAGwAaQBhAG4AYwBlACAAYQAgAGUAYQBjAGgAIAB5AGUAYQByAFwAIgAsACAAXAAiAFAAZQByAGMAZQBuAHQAXAAiACwAIABcACIAQwBvAG4AcwB0AGEAbgB0AFwAIgA7AFwAbgAgACAAIAAgACAAIAAgACAAIAAgAFwAIgBhAFwAIgAsACAAXAAiAEEAcABwAGwAaQBhAG4AYwBlACAAdAB5AHAAZQBcACIALAAgAFwAIgBcACIALAAgAFwAIgBJAG4AcAB1AHQAXAAiADsAXABuACAAIAAgACAAIAAgACAAIAAgACAAXAAiAFIAXAAiACwAIABcACIAUgBlAGYAcgBpAGcAZQByAGEAbgB0AFwAIgAsACAAXAAiAFwAIgAsACAAXAAiAEkAbgBwAHUAdABcACIAXABuACAAIAAgACAAIAAgACAAIAB9ACwAIAByACwAIABjACkAXABuACAAIAAgACAAIAAgACkAXABuACAAIAAgACAAKQBcAG4AIAAgACkAOwBcAG4AXABuAFYARQBFAFIARwBfADkAXwAxAF8AMQBfAF8AMQBfAFIAZQBmAHIAaQBnAGUAcgBhAG4AdABMAGUAYQBrAGkAbgBnAEcAVwBQAF8AQQByAGcAdQBtAGUAbgB0AHMAXABuACAAIAA9AEwAQQBNAEIARABBACgAXABuACAAIAAgACAATQBBAEsARQBBAFIAUgBBAFkAKAAyACwAIAA0ACwAIABcAG4AIAAgACAAIAAgACAATABBAE0AQgBEAEEAKAByACwAYwAsACAAXABuACAAIAAgACAAIAAgACAAIABJAE4ARABFAFgAKAB7AFwAbgAgACAAIAAgACAAIAAgACAAIAAgAFwAIgBFAF8AUgBcACIALAAgAFwAIgBUAG8AdABhAGwAIABlAG0AaQBzAHMAaQBvAG4AcwAgAG8AZgAgAHIAZQBmAHIAaQBnAGUAcgBhAG4AdAAgAFIAXAAiACwAIABcACIAdAAgAHIAZQBmAHIAaQBnAGUAcgBhAG4AdAAgAGcAYQBzAFwAIgAsACAAXAAiAEMAYQBsAGMAdQBsAGEAdABlAGQAIABmAHIAbwBtACAAOQAuADEALgAxACAAKAAxACkAXAAiADsAXABuACAAIAAgACAAIAAgACAAIAAgACAAXAAiAEcAVwBQAF8AUgBcACIALAAgAFwAIgBHAGwAbwBiAGEAbAAgAHcAYQByAG0AaQBuAGcAIABwAG8AdABlAG4AdABpAGEAbAAgAG8AZgAgAHIAZQBmAHIAaQBnAGUAcgBhAG4AdAAgAFIAXAAiACwAIABcACIARABpAG0AZQBuAHMAaQBvAG4AbABlAHMAcwBcACIALAAgAFwAIgBDAG8AbgBzAHQAYQBuAHQAXAAiAFwAbgAgACAAIAAgACAAIAAgACAAfQAsACAAcgAsACAAYwApAFwAbgAgACAAIAAgACAAIAApAFwAbgAgACAAIAAgACkAXABuACAAIAApADsAXABuAFwAbgBWAEUARQBSAEcAXwA5AF8AMQBfADEAXwBfADEAXwBSAGUAZgByAGkAZwBlAHIAYQBuAHQATABlAGEAawBpAG4AZwBfAFYAYQByAGkAYQB0AGkAbwBuAFwAbgAgACAAPQBMAEEATQBCAEQAQQAoAFwAIgBWAEEAUgBJAEEAVABJAE8ATgAgAE8ATgAgAFMATwBVAFIAQwBFADoAIABBAGQAZABlAGQAIABlAHEAdQBhAHQAaQBvAG4AIAB0AG8AIABjAG8AbgB2AGUAcgB0ACAAcgBlAGYAcgBpAGcAZQByAGEAbgB0ACAAUgAgAHQAbwAgAEMATwAyAC0AZQAgAHUAcwBpAG4AZwAgAHQAaABlACAAcgBlAGYAcgBpAGcAZQByAGEAbgB0AFwAdQAwADAAMgA3AHMAIABnAGwAbwBiAGEAbAAgAHcAYQByAG0AaQBuAGcAIABwAG8AdABlAG4AdABpAGEAbAAgACgARwBXAFAAKQAuAFwAIgApADsAIgB9ACwAewAiAHAAYQB0AGgAIgA6ACIALwBwAHIAbwBqAGUAYwB0AHMALwBSAGUAZgByAGkAZwBlAHIAYQBuAHQAcwBfAEkAbgBwAHUAdABGAHUAbgBjAHQAaQBvAG4AcwAiACwAIgB0AGUAeAB0ACIAOgAiAFIAZQBmAHIAaQBnAGUAcgBhAG4AdABzAF8AQwBhAGwAYwB1AGwAYQB0AGUAQgBsAGUAbgBkAEcAVwBQAFwAbgA9AEwAQQBNAEIARABBACgAXABuACAAIABDAG8AbgBzAHQAaQB0AHUAZQBuAHQARgBhAGMAdABpAG8AbgAxACwAIABDAG8AbgBzAHQAaQB0AHUAZQBuAHQARwBXAFAAMQAsACAAXABuACAAIABDAG8AbgBzAHQAaQB0AHUAZQBuAHQARgBhAGMAdABpAG8AbgAyACwAIABDAG8AbgBzAHQAaQB0AHUAZQBuAHQARwBXAFAAMgAsACAAXABuACAAIABDAG8AbgBzAHQAaQB0AHUAZQBuAHQARgBhAGMAdABpAG8AbgAzACwAIABDAG8AbgBzAHQAaQB0AHUAZQBuAHQARwBXAFAAMwAsACAAXABuACAAIABDAG8AbgBzAHQAaQB0AHUAZQBuAHQARgBhAGMAdABpAG8AbgA0ACwAIABDAG8AbgBzAHQAaQB0AHUAZQBuAHQARwBXAFAANAAsAFwAbgAgACAAKABDAG8AbgBzAHQAaQB0AHUAZQBuAHQARgBhAGMAdABpAG8AbgAxACAAKgAgAEMAbwBuAHMAdABpAHQAdQBlAG4AdABHAFcAUAAxACkAIAArAFwAbgAgACAAKABDAG8AbgBzAHQAaQB0AHUAZQBuAHQARgBhAGMAdABpAG8AbgAyACAAKgAgAEMAbwBuAHMAdABpAHQAdQBlAG4AdABHAFcAUAAyACkAIAArAFwAbgAgACAAKABDAG8AbgBzAHQAaQB0AHUAZQBuAHQARgBhAGMAdABpAG8AbgAzACAAKgAgAEMAbwBuAHMAdABpAHQAdQBlAG4AdABHAFcAUAAzACkAIAArAFwAbgAgACAAKABDAG8AbgBzAHQAaQB0AHUAZQBuAHQARgBhAGMAdABpAG8AbgA0ACAAKgAgAEMAbwBuAHMAdABpAHQAdQBlAG4AdABHAFcAUAA0ACkAXABuACkAOwAiAH0ALAB7ACIAcABhAHQAaAAiADoAIgAvAHAAcgBvAGoAZQBjAHQAcwAvAFIAZQBmAHIAaQBnAGUAcgBhAG4AdABzAF8AUwBvAHUAcgBjAGUARABhAHQAYQAiACwAIgB0AGUAeAB0ACIAOgAiAC8AKgBcAG4APQA9AD0APQA9AD0APQA9AD0APQA9AD0APQA9AD0APQA9AD0APQA9AD0APQA9AD0APQA9AD0APQA9AD0APQA9AD0APQA9AD0APQA9AD0APQA9AD0APQA9AD0APQA9AD0APQA9AD0APQA9AD0APQA9AD0APQA9AD0APQA9AD0APQA9AD0APQA9AD0APQA9AD0APQA9AD0APQBcAG4AQQBwAHAAZQBuAGQAaQB4ACAAMgAgAEcAbABvAGIAYQBsACAAVwBhAHIAbQBpAG4AZwAgAFAAbwB0AGUAbgB0AGkAYQBsAHMAOgAgAFQAYQBiAGwAZQAgADIAMwAgAEcAbABvAGIAYQBsACAAVwBhAHIAbQBpAG4AZwAgAFAAbwB0AGUAbgB0AGkAYQBsAHMAXABuAD0APQA9AD0APQA9AD0APQA9AD0APQA9AD0APQA9AD0APQA9AD0APQA9AD0APQA9AD0APQA9AD0APQA9AD0APQA9AD0APQA9AD0APQA9AD0APQA9AD0APQA9AD0APQA9AD0APQA9AD0APQA9AD0APQA9AD0APQA9AD0APQA9AD0APQA9AD0APQA9AD0APQA9AD0APQA9AD0AXABuACoALwBcAG4AXABuAFIAZQBmAHIAaQBnAGUAcgBhAG4AdABzAF8AQwBoAGUAbQBpAGMAYQBsAEcAVwBQAF8AVABpAHQAbABlAFwAbgA9AEwAQQBNAEIARABBACgAKABcACIARwBsAG8AYgBhAGwAIABXAGEAcgBtAGkAbgBnACAAUABvAHQAZQBuAHQAaQBhAGwAcwBcACIAKQApADsAXABuAFwAbgBSAGUAZgByAGkAZwBlAHIAYQBuAHQAcwBfAEMAaABlAG0AaQBjAGEAbABHAFcAUABfAEQAZQBzAGMAcgBpAHAAdABpAG8AbgBcAG4APQBMAEEATQBCAEQAQQAoACgAXAAiAFwAIgApACkAOwBcAG4AXABuAFIAZQBmAHIAaQBnAGUAcgBhAG4AdABzAF8AQwBoAGUAbQBpAGMAYQBsAEcAVwBQAF8AUwBvAHUAcgBjAGUAXABuAD0ATABBAE0AQgBEAEEAKAAoAFwAIgBBAHUAcwB0AHIAYQBsAGkAYQBuACAATgBhAHQAaQBvAG4AYQBsACAARwByAGUAZQBuAGgAbwB1AHMAZQAgAEEAYwBjAG8AdQBuAHQAcwAgAEYAYQBjAHQAbwByAHMAIAAyADAAMgA1ACAALQAgAEEAcABwAGUAbgBkAGkAeAAgADIAIAAtACAAVABhAGIAbABlACAAMgAzAFwAIgApACkAOwBcAG4AXABuAFIAZQBmAHIAaQBnAGUAcgBhAG4AdABzAF8AQwBoAGUAbQBpAGMAYQBsAEcAVwBQAF8ARABhAHQAYQBcAG4APQBMAEEATQBCAEQAQQAoAFwAbgAgACAATQBBAEsARQBBAFIAUgBBAFkAKAAzADkALAAgADUALABcAG4AIAAgACAAIABMAEEATQBCAEQAQQAoAHIALABjACwAXABuACAAIAAgACAAIAAgAEkATgBEAEUAWAAoAHsAXABuACAAIAAgACAAIAAgACAAIABcACIARwBhAHMAXAAiACwAIABcACIAQwBoAGUAbQBpAGMAYQBsACAAZgBvAHIAbQB1AGwAYQBcACIALAAgAFwAIgBHAGwAbwBiAGEAbAAgAFcAYQByAG0AaQBuAGcAIABQAG8AdABlAG4AdABpAGEAbAAgACgAQQBSADUAKQBcACIALAAgAFwAIgBHAGEAcwAgAC0AIABGAEMAIABuAGEAbQBlAFwAIgAsACAAXAAiAEEAZABpAHQAaQBvAG4AYQBsACAAZABhAHQAYQAgAHMAbwB1AHIAYwBlAFwAIgA7AFwAbgAgACAAIAAgACAAIAAgACAAXAAiAEMAYQByAGIAbwBuACAAZABpAG8AeABpAGQAZQBcACIALAAgAFwAIgBDAE8AMgBcACIALAAgADEALAAgAFwAIgBDAE8AMgBcACIALAAgAFwAIgBcACIAOwBcAG4AIAAgACAAIAAgACAAIAAgAFwAIgBNAGUAdABoAGEAbgBlAFwAIgAsACAAXAAiAEMASAA0AFwAIgAsACAAMgA4ACwAIABcACIAQwBIADQAXAAiACwAIABcACIAXAAiADsAXABuACAAIAAgACAAIAAgACAAIABcACIATgBpAHQAcgBvAHUAcwAgAG8AeABpAGQAZQBcACIALAAgAFwAIgBOADIATwBcACIALAAgADIANgA1ACwAIABcACIATgAyAE8AXAAiACwAIABcACIAXAAiADsAXABuACAAIAAgACAAIAAgACAAIABcACIAUwB1AGwAcABoAHUAcgAgAGgAZQB4AGEAZgBsAHUAbwByAGkAZABlAFwAIgAsACAAXAAiAFMARgA2AFwAIgAsACAAMgAzADUAMAAwACwAIABcACIAUwBGADYAXAAiACwAIABcACIAXAAiADsAXABuACAAIAAgACAAIAAgACAAIABcACIASABGAEMALQAyADMAIAAoAFIALQAyADMAKQBcACIALAAgAFwAIgBDAEgARgAzAFwAIgAsACAAIAAxADIANAAwADAALAAgAFwAIgBIAEYAQwAtADIAMwBcACIALAAgAFwAIgBcACIAOwBcAG4AIAAgACAAIAAgACAAIAAgAFwAIgBIAEYAQwAtADMAMgAgACgAUgAtADMAMgApAFwAIgAsACAAXAAiAEMASAAyAEYAMgBcACIALAAgADYANwA3ACwAIABcACIASABGAEMALQAzADIAXAAiACwAIABcACIAXAAiADsAXABuACAAIAAgACAAIAAgACAAIABcACIASABGAEMALQA0ADEAIAAoAFIALQA0ADEAKQBcACIALAAgAFwAIgBDAEgAMwBGAFwAIgAsACAAIAAxADEANgAsACAAXAAiAEgARgBDAC0ANAAxAFwAIgAsACAAXAAiAFwAIgA7AFwAbgAgACAAIAAgACAAIAAgACAAXAAiAEgARgBDAC0ANAAzAC0AMQAwAG0AZQBlACAAKABSAC0ANAAzADEAMABtAGUAZQApAFwAIgAsACAAXAAiAEMANQBIADIARgAxADAAXAAiACwAIAAxADYANQAwACwAIABcACIASABGAEMALQA0ADMALQAxADAAbQBlAGUAXAAiACwAIABcACIAXAAiADsAXABuACAAIAAgACAAIAAgACAAIABcACIASABGAEMALQAxADIANQAgACgAUgAtADEAMgA1ACkAXAAiACwAIABcACIAQwAyAEgARgA1AFwAIgAsACAAIAAzADEANwAwACwAIABcACIASABGAEMALQAxADIANQBcACIALAAgAFwAIgBcACIAOwBcAG4AIAAgACAAIAAgACAAIAAgAFwAIgBIAEYAQwAtADEAMwA0ACAAKABSAC0AMQAzADQAKQBcACIALAAgAFwAIgBDADIASAAyAEYANAAgACgAQwBIAEYAMgBDAEgARgAyACkAXAAiACwAIAAgADEAMQAyADAALAAgAFwAIgBIAEYAQwAtADEAMwA0AFwAIgAsACAAXAAiAFwAIgA7AFwAbgAgACAAIAAgACAAIAAgACAAXAAiAEgARgBDAC0AMQAzADQAYQAgACgAUgAtADEAMwA0AGEAKQBcACIALAAgAFwAIgBDADIASAAyAEYANAAgACgAQwBIADIARgBDAEYAMwApAFwAIgAsACAAMQAzADAAMAAsACAAXAAiAEgARgBDAC0AMQAzADQAYQBcACIALAAgAFwAIgBcACIAOwBcAG4AIAAgACAAIAAgACAAIAAgAFwAIgBIAEYAQwAtADEANAAzACAAKABSAC0AMQA0ADMAKQBcACIALAAgAFwAIgBDADIASAAzAEYAMwAgACgAQwBIAEYAMgBDAEgAMgBGACkAXAAiACwAIAAzADIAOAAsACAAXAAiAEgARgBDAC0AMQA0ADMAXAAiACwAIABcACIAXAAiADsAXABuACAAIAAgACAAIAAgACAAIABcACIASABGAEMALQAxADQAMwBhACAAKABSAC0AMQA0ADMAYQApAFwAIgAsACAAXAAiAEMAMgBIADMARgAzACAAKABDAEYAMwBDAEgAMwApAFwAIgAsACAANAA4ADAAMAAsACAAXAAiAEgARgBDAC0AMQA0ADMAYQBcACIALAAgAFwAIgBcACIAOwBcAG4AIAAgACAAIAAgACAAIAAgAFwAIgBIAEYAQwAtADEANQAyAGEAIAAoAFIALQAxADUAMgBhACkAXAAiACwAIABcACIAQwAyAEgANABGADIAIAAoAEMASAAzAEMASABGADIAKQBcACIALAAgADEAMwA4ACwAIABcACIASABGAEMALQAxADUAMgBhAFwAIgAsACAAXAAiAFwAIgA7AFwAbgAgACAAIAAgACAAIAAgACAAXAAiAEgARgBDAC0AMgAyADcAZQBhACAAKABSAC0AMgAyADcAZQBhACkAXAAiACwAIABcACIAQwAzAEgARgA3AFwAIgAsACAAMwAzADUAMAAsACAAXAAiAEgARgBDAC0AMgAyADcAZQBhAFwAIgAsACAAXAAiAFwAIgA7AFwAbgAgACAAIAAgACAAIAAgACAAXAAiAEgARgBDAC0AMgAzADYAZgBhACAAKABSAC0AMgAzADYAZgBhACkAXAAiACwAIABcACIAQwAzAEgAMgBGADYAXAAiACwAIAA4ADAANgAwACwAIABcACIASABGAEMALQAyADMANgBmAGEAXAAiACwAIABcACIAXAAiADsAXABuACAAIAAgACAAIAAgACAAIABcACIASABGAEMALQAyADQANQBjAGEAIAAoAFIALQAyADQANQBjAGEAKQBcACIALAAgAFwAIgBDADMASAAzAEYANQBcACIALAAgADcAMQA2ACwAIABcACIASABGAEMALQAyADQANQBjAGEAXAAiACwAIABcACIAXAAiADsAXABuACAAIAAgACAAIAAgACAAIABcACIASABGAEMALQAyADQANQBmAGEAIAAoAFIALQAyADQANQBmAGEAKQBcACIALAAgAFwAIgBDAEgARgAyAEMASAAyAEMARgAzAFwAIgAsACAAOAA1ADgALAAgAFwAIgBIAEYAQwAtADIANAA1AGYAYQBcACIALAAgAFwAIgBcACIAOwBcAG4AIAAgACAAIAAgACAAIAAgAFwAIgBIAEYAQwAtADMANgA1AG0AZgBjACAAKABSAC0AMwA2ADUAbQBmAGMAKQBcACIALAAgAFwAIgBDAEgAMwBDAEYAMgBDAEgAMgBDAEYAMwBcACIALAAgADgAMAA0ACwAIABcACIASABGAEMALQAzADYANQBtAGYAYwBcACIALAAgAFwAIgBcACIAOwBcAG4AIAAgACAAIAAgACAAIAAgAFwAIgBIAEMARgBDAC0AMgAyACAAKABSAC0AMgAyACkAXAAiACwAIABcACIAQwBIAEMAbABGADIAXAAiACwAIAAxADcANgAwACwAIABcACIASABDAEYAQwAtADIAMgBcACIALAAgAFwAIgBcACIAOwBcAG4AIAAgACAAIAAgACAAIAAgAFwAIgBIAEMARgBDAC0AMQAyADMAIAAoAFIALQAxADIAMwApAFwAIgAsACAAXAAiAEMASABDAGwAMgAyAEMARgAzAFwAIgAsACAANwA5ACwAIABcACIASABDAEYAQwAtADEAMgAzAFwAIgAsACAAXAAiAFwAIgA7AFwAbgAgACAAIAAgACAAIAAgACAAXAAiAEgAQwBGAEMALQAxADIANAAgACgAUgAtADEAMgA0ACkAXAAiACwAIABcACIAQwBIAEMAbABGAEMARgAzAFwAIgAsACAANQAyADcALAAgAFwAIgBIAEMARgBDAC0AMQAyADQAXAAiACwAIABcACIAXAAiADsAXABuACAAIAAgACAAIAAgACAAIABcACIASABDAEYAQwAtADEANAAxAGIAIAAoAFIALQAxADQAMQBiACkAXAAiACwAIABcACIAQwBIADMAQwBDAGwAMgBGAFwAIgAsACAANwA4ADIALAAgAFwAIgBIAEMARgBDAC0AMQA0ADEAYgBcACIALAAgAFwAIgBcACIAOwBcAG4AIAAgACAAIAAgACAAIAAgAFwAIgBIAEMARgBDAC0AMQA0ADIAYgAgACgAUgAtADEANAAyAGIAKQBcACIALAAgAFwAIgBDAEgAMgBDAEMAbABGADIAXAAiACwAIAAxADkAOAAwACwAIABcACIASABDAEYAQwAtADEANAAyAGIAXAAiACwAIABcACIAXAAiADsAXABuACAAIAAgACAAIAAgACAAIABcACIASABDAEYAQwAtADIAMgA1AGMAYQAgACgAUgAtADIAMgA1AGMAYQApAFwAIgAsACAAXAAiAEMASABDAGwAMgBDAEYAMgBDAEYAMwBcACIALAAgADEAMgA3ACwAIABcACIASABDAEYAQwAtADIAMgA1AGMAYQBcACIALAAgAFwAIgBcACIAOwBcAG4AIAAgACAAIAAgACAAIAAgAFwAIgBIAEMARgBDAC0AMgAyADUAYwBiACAAKABSAC0AMgAyADUAYwBiACkAXAAiACwAIABcACIAQwBIAEMAbABGAEMARgAyAEMAQwBJAEYAMgBcACIALAAgADUAMgA1ACwAIABcACIASABDAEYAQwAtADIAMgA1AGMAYgBcACIALAAgAFwAIgBcACIAOwBcAG4AIAAgACAAIAAgACAAIAAgAFwAIgBQAEYAQwAtADEANAAgAFAAZQByAGYAbAB1AG8AcgBvAG0AZQB0AGgAYQBuAGUAIAAoAHQAZQB0AHIAYQBmAGwAdQBvAHIAbwBtAGUAdABoAGEAbgBlACkAXAAiACwAIABcACIAQwBGADQAXAAiACwAIAA2ADYAMwAwACwAIABcACIAUABGAEMALQAxADQAXAAiACwAIABcACIAXAAiADsAXABuACAAIAAgACAAIAAgACAAIABcACIAUABGAEMALQAxADEANgAgAFAAZQByAGYAbAB1AG8AcgBvAGUAdABoAGEAbgBlACAAKABoAGUAeABhAGYAbAB1AG8AcgBvAGUAdABoAGEAbgBlACkAXAAiACwAIABcACIAQwAyAEYANgBcACIALAAgADEAMQAxADAAMAAsACAAXAAiAFAARgBDAC0AMQAxADYAXAAiACwAIABcACIAXAAiADsAXABuACAAIAAgACAAIAAgACAAIABcACIAUABGAEMALQAyADEAOAAgAFAAZQByAGYAbAB1AG8AcgBvAHAAcgBvAHAAYQBuAGUAXAAiACwAIABcACIAQwAzAEYAOABcACIALAAgADgAOQAwADAALAAgAFwAIgBQAEYAQwAtADIAMQA4AFwAIgAsACAAXAAiAFwAIgA7AFwAbgAgACAAIAAgACAAIAAgACAAXAAiAFAARgBDAC0AMwAxAC0AMQAwACAAUABlAHIAZgBsAHUAbwByAG8AYgB1AHQAYQBuAGUAXAAiACwAIABcACIAQwA0AEYAMQAwAFwAIgAsACAAOQAyADAAMAAsACAAXAAiAFAARgBDAC0AMwAxAC0AMQAwAFwAIgAsACAAXAAiAFwAIgA7AFwAbgAgACAAIAAgACAAIAAgACAAXAAiAFAARgBDAC0AMwAxADgAIABQAGUAcgBmAGwAdQBvAHIAbwBjAHkAYwBsAG8AYgB1AHQAYQBuAGUAXAAiACwAIABcACIAYwAtAEMANABGADgAXAAiACwAIAA5ADUANAAwACwAIABcACIAUABGAEMALQAzADEAOABcACIALAAgAFwAIgBcACIAOwBcAG4AIAAgACAAIAAgACAAIAAgAFwAIgBQAEYAQwAtADQAMQAtADEAMgAgAFAAZQByAGYAbAB1AG8AcgBvAHAAZQBuAHQAYQBuAGUAXAAiACwAIABcACIAQwA1AEYAMQAyAFwAIgAsACAAOAA1ADUAMAAsACAAXAAiAFAARgBDAC0ANAAxAC0AMQAyAFwAIgAsACAAXAAiAFwAIgA7AFwAbgAgACAAIAAgACAAIAAgACAAXAAiAFAARgBDAC0ANQAxAC0AMQA0ACAAUABlAHIAZgBsAHUAbwByAG8AaABlAHgAYQBuAGUAXAAiACwAIABcACIAQwA2AEYAMQA0AFwAIgAsACAANwA5ADEAMAAsACAAXAAiAFAARgBDAC0ANQAxAC0AMQA0AFwAIgAsACAAXAAiAFwAIgA7AFwAbgAgACAAIAAgACAAIAAgACAAXAAiAFAARgBDAC0AOQAxAC0AMQA4ACAAUABlAHIAZgBsAHUAbgBhAGYAZQBuAGUAXAAiACwAIABcACIAQwAxADAARgAxADgAXAAiACwAIAA3ADEAOQAwACwAIABcACIAUABGAEMALQA5ADEALQAxADgAXAAiACwAIABcACIAXAAiADsAXABuACAAIAAgACAAIAAgACAAIABcACIAQwBGAEMALQAxADIAXAAiACwAIABcACIAQwBDAGwAMgBGADIAXAAiACwAIAAxADAAMgAwADAALAAgAFwAIgBDAEYAQwAtADEAMgBcACIALAAgAFwAIgBJAFAAQwBDACAARwBsAG8AYgBhAGwAIABXAGEAcgBtAGkAbgBnACAAUABvAHQAZQBuAHQAaQBhAGwAIABWAGEAbAB1AGUAcwAgAHYAMgAuADAAIAAtACAAKABBAFIANQApAFwAIgA7AFwAbgAgACAAIAAgACAAIAAgACAAXAAiAEMARgBDAC0AMQAzAFwAIgAsACAAXAAiAEMAQwBsAEYAMwBcACIALAAgADEAMwA5ADAAMAAsACAAXAAiAEMARgBDAC0AMQAzAFwAIgAsACAAXAAiAEkAUABDAEMAIABHAGwAbwBiAGEAbAAgAFcAYQByAG0AaQBuAGcAIABQAG8AdABlAG4AdABpAGEAbAAgAFYAYQBsAHUAZQBzACAAdgAyAC4AMAAgAC0AIAAoAEEAUgA1ACkAXAAiADsAXABuACAAIAAgACAAIAAgACAAIABcACIAQwBGAEMALQAxADEANABcACIALAAgAFwAIgBDAEMAbABGADIAQwBDAGwARgAyAFwAIgAsACAAOAA1ADkAMAAsACAAXAAiAEMARgBDAC0AMQAxADQAXAAiACwAIABcACIASQBQAEMAQwAgAEcAbABvAGIAYQBsACAAVwBhAHIAbQBpAG4AZwAgAFAAbwB0AGUAbgB0AGkAYQBsACAAVgBhAGwAdQBlAHMAIAB2ADIALgAwACAALQAgACgAQQBSADUAKQBcACIAOwBcAG4AIAAgACAAIAAgACAAIAAgAFwAIgBDAEYAQwAtADEAMQA1AFwAIgAsACAAXAAiAEMAQwBsAEYAMgBDAEYAMwBcACIALAAgADcANgA3ADAALAAgAFwAIgBDAEYAQwAtADEAMQA1AFwAIgAsACAAXAAiAEkAUABDAEMAIABHAGwAbwBiAGEAbAAgAFcAYQByAG0AaQBuAGcAIABQAG8AdABlAG4AdABpAGEAbAAgAFYAYQBsAHUAZQBzACAAdgAyAC4AMAAgAC0AIAAoAEEAUgA1ACkAXAAiAFwAbgAgACAAIAAgACAAIAB9ACwAIAByACwAIABjACkAXABuACkAKQApADsAXABuAFwAbgBSAGUAZgByAGkAZwBlAHIAYQBuAHQAcwBfAEMAaABlAG0AaQBjAGEAbABHAFcAUABfAFYAYQByAGkAYQB0AGkAbwBuAFwAbgA9AEwAQQBNAEIARABBACgAKABcACIAVgBBAFIASQBBAFQASQBPAE4AIABPAEYAIABTAE8AVQBSAEMARQAgAEQAQQBUAEEAOgAgAEEAZABkAGUAZAAgAFwAdQAwADAAMgA3AEcAQQBTACAALQAgAEYAQwAgAG4AYQBtAGUAXAB1ADAAMAAyADcAIABjAG8AbAB1AG0AbgAgAHcAaQB0AGgAIAB0AHIAdQBuAGMAYQB0AGUAZAAgAGcAYQBzACAAbgBhAG0AZQAgAHQAbwAgAGEAbABsAG8AdwAgAG0AYQB0AGMAaABpAG4AZwAgAHcAaQB0AGgAIABvAHQAaABlAHIAIAB0AGEAYgBsAGUAcwAuACAAQQBkAGQAZQBkACAAZQB4AHQAcgBhACAAZwBhAHMAZQBzACAAZgByAG8AbQAgAEkAUABDAEMAIABHAGwAbwBiAGEAbAAgAFcAYQByAG0AaQBuAGcAIABQAG8AdABlAG4AdABpAGEAbAAgAFYAYQBsAHUAZQBzACAAdgAyAC4AMAAgAC0AIAAoAEEAUgA1ACkALgAgAEEAZABkAGUAZAAgAFwAdQAwADAAMgA3AEEAZABkAGkAdABpAG8AbgBhAGwAIABkAGEAdABhACAAcwBvAHUAcgBjAGUAXAB1ADAAMAAyADcAIABjAG8AbAB1AG0AbgAuAFwAIgApACkAOwBcAG4AXABuAC8AKgBcAG4APQA9AD0APQA9AD0APQA9AD0APQA9AD0APQA9AD0APQA9AD0APQA9AD0APQA9AD0APQA9AD0APQA9AD0APQA9AD0APQA9AD0APQA9AD0APQA9AD0APQA9AD0APQA9AD0APQA9AD0APQA9AD0APQA9AD0APQA9AD0APQA9AD0APQA9AD0APQA9AD0APQA9AD0APQA9AD0APQBcAG4AQQBwAHAAZQBuAGQAaQB4ACAAMgAgAEcAbABvAGIAYQBsACAAVwBhAHIAbQBpAG4AZwAgAFAAbwB0AGUAbgB0AGkAYQBsAHMAOgAgAEIAbABlAG4AZABlAGQAIAByAGUAZgByAGkAZwBlAHIAYQBuAHQAcwBcAG4APQA9AD0APQA9AD0APQA9AD0APQA9AD0APQA9AD0APQA9AD0APQA9AD0APQA9AD0APQA9AD0APQA9AD0APQA9AD0APQA9AD0APQA9AD0APQA9AD0APQA9AD0APQA9AD0APQA9AD0APQA9AD0APQA9AD0APQA9AD0APQA9AD0APQA9AD0APQA9AD0APQA9AD0APQA9AD0APQBcAG4AKgAvAFwAbgBcAG4AUgBlAGYAcgBpAGcAZQByAGEAbgB0AHMAXwBDAGgAZQBtAGkAYwBhAGwAQgBsAGUAbgBkAHMAXwBUAGkAdABsAGUAXABuAD0ATABBAE0AQgBEAEEAKAAoAFwAIgBCAGwAZQBuAGQAZQBkACAAcgBlAGYAcgBpAGcAZQByAGEAbgB0AHMAIAAoAG0AYQBuAHkAIABjAG8AbgB0AGEAaQBuAGkAbgBnACAASABGAEMAUwAgAGEAbgBkAC8AbwByACAAUABGAEMAUwApAFwAIgApACkAOwBcAG4AXABuAFIAZQBmAHIAaQBnAGUAcgBhAG4AdABzAF8AQwBoAGUAbQBpAGMAYQBsAEIAbABlAG4AZABzAF8ARABlAHMAYwByAGkAcAB0AGkAbwBuAFwAbgA9AEwAQQBNAEIARABBACgAKABcACIAXAAiACkAKQA7AFwAbgBcAG4AUgBlAGYAcgBpAGcAZQByAGEAbgB0AHMAXwBDAGgAZQBtAGkAYwBhAGwAQgBsAGUAbgBkAHMAXwBTAG8AdQByAGMAZQBcAG4APQBMAEEATQBCAEQAQQAoACgAXAAiAEEAdQBzAHQAcgBhAGwAaQBhAG4AIABOAGEAdABpAG8AbgBhAGwAIABHAHIAZQBlAG4AaABvAHUAcwBlACAAQQBjAGMAbwB1AG4AdABzACAARgBhAGMAdABvAHIAcwAgADIAMAAyADUAIAAtACAAQQBwAHAAZQBuAGQAaQB4ACAAMgAgAC0AIABUAGEAYgBsAGUAIAAyADQAXAAiACkAKQA7AFwAbgBcAG4AUgBlAGYAcgBpAGcAZQByAGEAbgB0AHMAXwBDAGgAZQBtAGkAYwBhAGwAQgBsAGUAbgBkAHMAXwBEAGEAdABhAFwAbgA9AEwAQQBNAEIARABBACgAXABuACAAIABNAEEASwBFAEEAUgBSAEEAWQAoADUAMQAsACAAMwAsAFwAbgAgACAAIAAgAEwAQQBNAEIARABBACgAcgAsAGMALABcAG4AIAAgACAAIAAgACAASQBOAEQARQBYACgAewBcAG4AIAAgACAAIAAgACAAIAAgAFwAIgBCAGwAZQBuAGQAXAAiACwAIABcACIAQwBvAG4AcwB0AGkAdAB1AGUAbgB0AHMAXAAiACwAIABcACIAQwBvAG0AcABvAHMAaQB0AGkAbwBuACAAKAAlACkAXAAiADsAXABuACAAIAAgACAAIAAgACAAIABcACIAUgAtADQAMAAwAFwAIgAsACAAXAAiAEMARgBDAC0AMQAyAC8AQwBGAEMALQAxADEANABcACIALAAgAFwAIgBSAC0ANAAwADAAIABjAGEAbgAgAGgAYQB2AGUAIAB2AGEAcgBpAG8AdQBzACAAcAByAG8AcABvAHIAdABpAG8AbgBzACAAbwBmACAAQwBGAEMALQAxADIAIABhAG4AZAAgAEMARgBDAC0AMQAxADQALgAgAFQAaABlACAAZQB4AGEAYwB0ACAAYwBvAG0AcABvAHMAaQB0AGkAbwBuACAAbgBlAGUAZABzACAAdABvACAAYgBlACAAcwBwAGUAYwBpAGYAaQBlAGQALAAgAGUALgBnAC4ALAAgAFIALQA0ADAAMAAgACgANgAwAC8ANAAwACkALgBcACIAOwBcAG4AIAAgACAAIAAgACAAIAAgAFwAIgBSAC0ANAAwADEAQQBcACIALAAgAFwAIgBIAEMARgBDAC0AMgAyAC8ASABGAEMALQAxADUAMgBhAC8ASABDAEYAQwAtADEAMgA0AFwAIgAsACAAXAAiACgANQAzAC4AMAAvADEAMwAuADAALwAzADQALgAwACkAXAAiADsAXABuACAAIAAgACAAIAAgACAAIABcACIAUgAtADQAMAAxAEIAXAAiACwAIABcACIASABDAEYAQwAtADIAMgAvAEgARgBDAC0AMQA1ADIAYQAvAEgAQwBGAEMALQAxADIANABcACIALAAgAFwAIgAoADYAMQAuADAALwAxADEALgAwAC8AMgA4AC4AMAApAFwAIgA7AFwAbgAgACAAIAAgACAAIAAgACAAXAAiAFIALQA0ADAAMQBDAFwAIgAsACAAXAAiAEgAQwBGAEMALQAyADIALwBIAEYAQwAtADEANQAyAGEALwBIAEMARgBDAC0AMQAyADQAXAAiACwAIABcACIAKAAzADMALgAwAC8AMQA1AC4AMAAvADUAMgAuADAAKQBcACIAOwBcAG4AIAAgACAAIAAgACAAIAAgAFwAIgBSAC0ANAAwADIAQQBcACIALAAgAFwAIgBIAEYAQwAtADEAMgA1AC8ASABDAC0AMgA5ADAALwBIAEMARgBDAC0AMgAyAFwAIgAsACAAXAAiACgANgAwAC4AMAAvADIALgAwAC8AMwA4AC4AMAApAFwAIgA7AFwAbgAgACAAIAAgACAAIAAgACAAXAAiAFIALQA0ADAAMgBCAFwAIgAsACAAXAAiAEgARgBDAC0AMQAyADUALwBIAEMALQAyADkAMAAvAEgAQwBGAEMALQAyADIAXAAiACwAIABcACIAKAAzADgALgAwAC8AMgAuADAALwA2ADAALgAwACkAXAAiADsAXABuACAAIAAgACAAIAAgACAAIABcACIAUgAtADQAMAAzAEEAXAAiACwAIABcACIASABDAC0AMgA5ADAALwBIAEMARgBDAC0AMgAyAC8AUABGAEMALQAyADEAOABcACIALAAgAFwAIgAoADUALgAwAC8ANwA1AC4AMAAvADIAMAAuADAAKQBcACIAOwBcAG4AIAAgACAAIAAgACAAIAAgAFwAIgBSAC0ANAAwADMAQgBcACIALAAgAFwAIgBIAEMALQAyADkAMAAvAEgAQwBGAEMALQAyADIALwBQAEYAQwAtADIAMQA4AFwAIgAsACAAXAAiACgANQAuADAALwA1ADYALgAwAC8AMwA5AC4AMAApAFwAIgA7AFwAbgAgACAAIAAgACAAIAAgACAAXAAiAFIALQA0ADAANABBAFwAIgAsACAAXAAiAEgARgBDAC0AMQAyADUALwBIAEYAQwAtADEANAAzAGEALwBIAEYAQwAtADEAMwA0AGEAXAAiACwAIABcACIAKAA0ADQALgAwAC8ANQAyAC4AMAAvADQALgAwACkAXAAiADsAXABuACAAIAAgACAAIAAgACAAIABcACIAUgAtADQAMAA1AEEAXAAiACwAIABcACIASABDAEYAQwAtADIAMgAvACAASABGAEMALQAxADUAMgBhAC8ASABDAEYAQwAtADEANAAyAGIALwBQAEYAQwAtADMAMQA4AFwAIgAsACAAXAAiACgANAA1AC4AMAAvADcALgAwAC8ANQAuADUALwA0ADIALgA1ACkAXAAiADsAXABuACAAIAAgACAAIAAgACAAIABcACIAUgAtADQAMAA2AEEAXAAiACwAIABcACIASABDAEYAQwAtADIAMgAvAEgAQwAtADYAMAAwAGEALwBIAEMARgBDAC0AMQA0ADIAYgBcACIALAAgAFwAIgAoADUANQAuADAALwAxADQALgAwAC8ANAAxAC4AMAApAFwAIgA7AFwAbgAgACAAIAAgACAAIAAgACAAXAAiAFIALQA0ADAANwBBAFwAIgAsACAAXAAiAEgARgBDAC0AMwAyAC8ASABGAEMALQAxADIANQAvAEgARgBDAC0AMQAzADQAYQBcACIALAAgAFwAIgAoADIAMAAuADAALwA0ADAALgAwAC8ANAAwAC4AMAApAFwAIgA7AFwAbgAgACAAIAAgACAAIAAgACAAXAAiAFIALQA0ADAANwBCAFwAIgAsACAAXAAiAEgARgBDAC0AMwAyAC8ASABGAEMALQAxADIANQAvAEgARgBDAC0AMQAzADQAYQBcACIALAAgAFwAIgAoADEAMAAuADAALwA3ADAALgAwAC8AMgAwAC4AMAApAFwAIgA7AFwAbgAgACAAIAAgACAAIAAgACAAXAAiAFIALQA0ADAANwBDAFwAIgAsACAAXAAiAEgARgBDAC0AMwAyAC8ASABGAEMALQAxADIANQAvAEgARgBDAC0AMQAzADQAYQBcACIALAAgAFwAIgAoADIAMwAuADAALwAyADUALgAwAC8ANQAyAC4AMAApAFwAIgA7AFwAbgAgACAAIAAgACAAIAAgACAAXAAiAFIALQA0ADAANwBEAFwAIgAsACAAXAAiAEgARgBDAC0AMwAyAC8ASABGAEMALQAxADIANQAvAEgARgBDAC0AMQAzADQAYQBcACIALAAgAFwAIgAoADEANQAuADAALwAxADUALgAwAC8ANwAwAC4AMAApAFwAIgA7AFwAbgAgACAAIAAgACAAIAAgACAAXAAiAFIALQA0ADAANwBFAFwAIgAsACAAXAAiAEgARgBDAC0AMwAyAC8ASABGAEMALQAxADIANQAvAEgARgBDAC0AMQAzADQAYQBcACIALAAgAFwAIgAoADIANQAuADAALwAxADUALgAwAC8ANgAwAC4AMAApAFwAIgA7AFwAbgAgACAAIAAgACAAIAAgACAAXAAiAFIALQA0ADAAOABBAFwAIgAsACAAXAAiAEgARgBDAC0AMQAyADUALwBIAEYAQwAtADEANAAzAGEALwBIAEMARgBDAC0AMgAyAFwAIgAsACAAXAAiACgANwAuADAALwA0ADYALgAwAC8ANAA3AC4AMAApAFwAIgA7AFwAbgAgACAAIAAgACAAIAAgACAAXAAiAFIALQA0ADAAOQBBAFwAIgAsACAAXAAiAEgAQwBGAEMALQAyADIALwBIAEMARgBDAC0AMQAyADQALwBIAEMARgBDAC0AMQA0ADIAYgBcACIALAAgAFwAIgAoADYAMAAuADAALwAyADUALgAwAC8AMQA1AC4AMAApAFwAIgA7AFwAbgAgACAAIAAgACAAIAAgACAAXAAiAFIALQA0ADAAOQBCAFwAIgAsACAAXAAiAEgAQwBGAEMALQAyADIALwBIAEMARgBDAC0AMQAyADQALwBIAEMARgBDAC0AMQA0ADIAYgBcACIALAAgAFwAIgAoADYANQAuADAALwAyADUALgAwAC8AMQAwAC4AMAApAFwAIgA7AFwAbgAgACAAIAAgACAAIAAgACAAXAAiAFIALQA0ADEAMABBAFwAIgAsACAAXAAiAEgARgBDAC0AMwAyAC8ASABGAEMALQAxADIANQBcACIALAAgAFwAIgAoADUAMAAuADAALwA1ADAALgAwACkAXAAiADsAXABuACAAIAAgACAAIAAgACAAIABcACIAUgAtADQAMQAwAEIAXAAiACwAIABcACIASABGAEMALQAzADIALwBIAEYAQwAtADEAMgA1AFwAIgAsACAAXAAiACgANAA1AC4AMAAvADUANQAuADAAKQBcACIAOwBcAG4AIAAgACAAIAAgACAAIAAgAFwAIgBSAC0ANAAxADEAQQBcACIALAAgAFwAIgBIAEMALQAxADIANwAwAC8ASABDAEYAQwAtADIAMgAvAEgARgBDAC0AMQA1ADIAYQBcACIALAAgAFwAIgAoADEALgA1AC8AOAA3AC4ANQAvADEAMQAuADAAKQBcACIAOwBcAG4AIAAgACAAIAAgACAAIAAgAFwAIgBSAC0ANAAxADEAQgBcACIALAAgAFwAIgBIAEMALQAxADIANwAwAC8ASABDAEYAQwAtADIAMgAvAEgARgBDAC0AMQA1ADIAYQBcACIALAAgAFwAIgAoADMALgAwAC8AOQA0AC4AMAAvADMALgAwACkAXAAiADsAXABuACAAIAAgACAAIAAgACAAIABcACIAUgAtADQAMQAxAEMAXAAiACwAIABcACIASABDAC0AMQAyADcAMAAvAEgAQwBGAEMALQAyADIALwBIAEYAQwAtADEANQAyAGEAXAAiACwAIABcACIAKAAzAC4AMAAvADkANQAuADUALwAxAC4ANQApAFwAIgA7AFwAbgAgACAAIAAgACAAIAAgACAAXAAiAFIALQA0ADEAMgBBAFwAIgAsACAAXAAiAEgAQwBGAEMALQAyADIALwBQAEYAQwAtADIAMQA4AC8ASABDAEYAQwAtADEANAAyAGIAXAAiACwAIABcACIAKAA3ADAALgAwAC8ANQAuADAALwAyADUALgAwACkAXAAiADsAXABuACAAIAAgACAAIAAgACAAIABcACIAUgAtADQAMQAzAEEAXAAiACwAIABcACIAUABGAEMALQAyADEAOAAvAEgARgBDAC0AMQAzADQAYQAvAEgAQwAtADYAMAAwAGEAXAAiACwAIABcACIAKAA5AC4AMAAvADgAOAAuADAALwAzAC4AMAApAFwAIgA7AFwAbgAgACAAIAAgACAAIAAgACAAXAAiAFIALQA0ADEANABBAFwAIgAsACAAXAAiAEgAQwBGAEMALQAyADIALwBIAEMARgBDAC0AMQAyADQALwBIAEMALQA2ADAAMABhAC8ASABDAEYAQwAtADEANAAyAGIAXAAiACwAIABcACIAKAA1ADEALgAwAC8AMgA4AC4ANQAvADQALgAwAC8AMQA2AC4ANQApAFwAIgA7AFwAbgAgACAAIAAgACAAIAAgACAAXAAiAFIALQA0ADEANABCAFwAIgAsACAAXAAiAEgAQwBGAEMALQAyADIALwBIAEMARgBDAC0AMQAyADQALwBIAEMALQA2ADAAMABhAC8ASABDAEYAQwAtADEANAAyAGIAXAAiACwAIABcACIAKAA1ADAALgAwAC8AMwA5AC4AMAAvADEALgA1AC8AOQAuADUAKQBcACIAOwBcAG4AIAAgACAAIAAgACAAIAAgAFwAIgBSAC0ANAAxADUAQQBcACIALAAgAFwAIgBIAEMARgBDAC0AMgAyAC8ASABGAEMALQAxADUAMgBhAFwAIgAsACAAXAAiACgAOAAyAC4AMAAvADEAOAAuADAAKQBcACIAOwBcAG4AIAAgACAAIAAgACAAIAAgAFwAIgBSAC0ANAAxADUAQgBcACIALAAgAFwAIgBIAEMARgBDAC0AMgAyAC8ASABGAEMALQAxADUAMgBhAFwAIgAsACAAXAAiACgAMgA1AC4AMAAvADcANQAuADAAKQBcACIAOwBcAG4AIAAgACAAIAAgACAAIAAgAFwAIgBSAC0ANAAxADYAQQBcACIALAAgAFwAIgBIAEYAQwAtADEAMwA0AGEALwBIAEMARgBDAC0AMQAyADQALwBIAEMALQA2ADAAMABcACIALAAgAFwAIgAoADUAOQAuADAALwAzADkALgA1AC8AMQAuADUAKQBcACIAOwBcAG4AIAAgACAAIAAgACAAIAAgAFwAIgBSAC0ANAAxADcAQQBcACIALAAgAFwAIgBIAEYAQwAtADEAMgA1AC8ASABGAEMALQAxADMANABhAC8ASABDAC0ANgAwADAAXAAiACwAIABcACIAKAA0ADYALgA2AC8ANQAwAC4AMAAvADMALgA0ACkAXAAiADsAXABuACAAIAAgACAAIAAgACAAIABcACIAUgAtADQAMQA4AEEAXAAiACwAIABcACIASABDAC0AMgA5ADAALwBIAEMARgBDAC0AMgAyAC8ASABGAEMALQAxADUAMgBhAFwAIgAsACAAXAAiACgAMQAuADUALwA5ADYALgAwAC8AMgAuADUAKQBcACIAOwBcAG4AIAAgACAAIAAgACAAIAAgAFwAIgBSAC0ANAAxADkAQQBcACIALAAgAFwAIgBIAEYAQwAtADEAMgA1AC8ASABGAEMALQAxADMANABhAC8ASABFAC0ARQAxADcAMABcACIALAAgAFwAIgAoADcANwAuADAALwAxADkALgAwAC8ANAAuADAAKQBcACIAOwBcAG4AIAAgACAAIAAgACAAIAAgAFwAIgBSAC0ANAAyADAAQQBcACIALAAgAFwAIgBIAEYAQwAtADEAMwA0AGEALwBIAEMARgBDAC0AMQA0ADIAYgBcACIALAAgAFwAIgAoADgAOAAuADAALwAxADIALgAwACkAXAAiADsAXABuACAAIAAgACAAIAAgACAAIABcACIAUgAtADQAMgAxAEEAXAAiACwAIABcACIASABGAEMALQAxADIANQAvAEgARgBDAC0AMQAzADQAYQBcACIALAAgAFwAIgAoADUAOAAuADAALwA0ADIALgAwACkAXAAiADsAXABuACAAIAAgACAAIAAgACAAIABcACIAUgAtADQAMgAyAEEAXAAiACwAIABcACIASABGAEMALQAxADIANQAvAEgARgBDAC0AMQAzADQAYQAvAEgAQwAtADYAMAAwAGEAXAAiACwAIABcACIAKAA4ADUALgAxAC8AMQAxAC4ANQAvADMALgA0ACkAXAAiADsAXABuACAAIAAgACAAIAAgACAAIABcACIAUgAtADQAMgAyAEIAXAAiACwAIABcACIASABGAEMALQAxADIANQAvAEgARgBDAC0AMQAzADQAYQAvAEgAQwAtADYAMAAwAGEAXAAiACwAIABcACIAKAA1ADUALgAwAC8ANAAyAC4AMAAvADMALgAwACkAXAAiADsAXABuACAAIAAgACAAIAAgACAAIABcACIAUgAtADQAMgAyAEMAXAAiACwAIABcACIASABGAEMALQAxADIANQAvAEgARgBDAC0AMQAzADQAYQAvAEgAQwAtADYAMAAwAGEAXAAiACwAIABcACIAKAA4ADIALgAwAC8AMQA1AC4AMAAvADMALgAwACkAXAAiADsAXABuACAAIAAgACAAIAAgACAAIABcACIAUgAtADUAMAAwAFwAIgAsACAAXAAiAEMARgBDAC0AMQAyAC8ASABGAEMALQAxADUAMgBhAFwAIgAsACAAXAAiACgANwAzAC4AOAAvADIANgAuADIAKQBcACIAOwBcAG4AIAAgACAAIAAgACAAIAAgAFwAIgBSAC0ANQAwADEAXAAiACwAIABcACIASABDAEYAQwAtADIAMgAvAEMARgBDAC0AMQAyAFwAIgAsACAAXAAiACgANwA1AC4AMAAvADIANQAuADAAKQBcACIAOwBcAG4AIAAgACAAIAAgACAAIAAgAFwAIgBSAC0ANQAwADIAXAAiACwAIABcACIASABDAEYAQwAtADIAMgAvAEMARgBDAC0AMQAxADUAXAAiACwAIABcACIAKAA0ADgALgA4AC8ANQAxAC4AMgApAFwAIgA7AFwAbgAgACAAIAAgACAAIAAgACAAXAAiAFIALQA1ADAAMwBcACIALAAgAFwAIgBIAEYAQwAtADIAMwAvAEMARgBDAC0AMQAzAFwAIgAsACAAXAAiACgANAAwAC4AMQAvADUAOQAuADkAKQBcACIAOwBcAG4AIAAgACAAIAAgACAAIAAgAFwAIgBSAC0ANQAwADQAXAAiACwAIABcACIASABGAEMALQAzADIALwBDAEYAQwAtADEAMQA1AFwAIgAsACAAXAAiACgANAA4AC4AMgAvADUAMQAuADgAKQBcACIAOwBcAG4AIAAgACAAIAAgACAAIAAgAFwAIgBSAC0ANQAwADUAXAAiACwAIABcACIAQwBGAEMALQAxADIALwBIAEMARgBDAC0AMwAxAFwAIgAsACAAXAAiACgANwA4AC4AMAAvADIAMgAuADAAKQBcACIAOwBcAG4AIAAgACAAIAAgACAAIAAgAFwAIgBSAC0ANQAwADYAXAAiACwAIABcACIAQwBGAEMALQAzADEALwBDAEYAQwAtADEAMQA0AFwAIgAsACAAXAAiACgANQA1AC4AMQAvADQANAAuADkAKQBcACIAOwBcAG4AIAAgACAAIAAgACAAIAAgAFwAIgBSAC0ANQAwADcAQQBcACIALAAgAFwAIgBIAEYAQwAtADEAMgA1AC8ASABGAEMALQAxADQAMwBhAFwAIgAsACAAXAAiACgANQAwAC4AMAAvADUAMAAuADAAKQBcACIAOwBcAG4AIAAgACAAIAAgACAAIAAgAFwAIgBSAC0ANQAwADgAQQBcACIALAAgAFwAIgBIAEYAQwAtADIAMwAvAFAARgBDAC0AMQAxADYAXAAiACwAIABcACIAKAAzADkALgAwAC8ANgAxAC4AMAApAFwAIgA7AFwAbgAgACAAIAAgACAAIAAgACAAXAAiAFIALQA1ADAAOABCAFwAIgAsACAAXAAiAEgARgBDAC0AMgAzAC8AUABGAEMALQAxADEANgBcACIALAAgAFwAIgAoADQANgAuADAALwA1ADQALgAwACkAXAAiADsAXABuACAAIAAgACAAIAAgACAAIABcACIAUgAtADUAMAA5AEEAXAAiACwAIABcACIASABDAEYAQwAtADIAMgAvAFAARgBDAC0AMgAxADgAXAAiACwAIABcACIAKAA0ADQALgAwAC8ANQA2AC4AMAApAFwAIgBcAG4AIAAgACAAIAAgACAAfQAsACAAcgAsACAAYwApAFwAbgApACkAKQA7AFwAbgBcAG4AUgBlAGYAcgBpAGcAZQByAGEAbgB0AHMAXwBDAGgAZQBtAGkAYwBhAGwAQgBsAGUAbgBkAHMAXwBWAGEAcgBpAGEAdABpAG8AbgBcAG4APQBMAEEATQBCAEQAQQAoACgAXAAiAFYAQQBSAEkAQQBUAEkATwBOACAATwBGACAAUwBPAFUAUgBDAEUAIABEAEEAVABBADoAIABGAGkAeABlAGQAIAB0AHkAcABvACAALQAgAGMAaABhAG4AZwBlAGQAIABIAEMANgAwADAAYQAgAHQAbwAgAEgAQwAtADYAMAAwAGEAIABmAG8AcgAgAGIAbABlAG4AZAAgAFIALQA0ADEANABCAC4AIABGAGkAeABlAGQAIAB0AHkAcABvACAAZgBvAHIAIABiAGwAZQBuAGQAIABSAC0ANAAwADUAQQAgAC0AIABDAGgAYQBuAGcAZQBkACAASABDAEYAQwAxADQAMgBiACAAdABvACAASABDAEYAQwAtADEANAAyAGIALgBcACIAKQApADsAXABuAFwAbgBcAG4ALwAqAFwAbgA9AD0APQA9AD0APQA9AD0APQA9AD0APQA9AD0APQA9AD0APQA9AD0APQA9AD0APQA9AD0APQA9AD0APQA9AD0APQA9AD0APQA9AD0APQA9AD0APQA9AD0APQA9AD0APQA9AD0APQA9AD0APQA9AD0APQA9AD0APQA9AD0APQA9AD0APQA9AD0APQA9AD0APQA9AD0APQA9AFwAbgBMAGUAYQBrAGEAZwBlACAAcgBhAHQAZQBzACAAZgBvAHIAIABjAG8AbQBtAG8AbgAgAHIAZQBmAHIAaQBnAGUAcgBhAHQAaQBvAG4AIABhAG4AZAAgAGEAaQByAFwAbgA9AD0APQA9AD0APQA9AD0APQA9AD0APQA9AD0APQA9AD0APQA9AD0APQA9AD0APQA9AD0APQA9AD0APQA9AD0APQA9AD0APQA9AD0APQA9AD0APQA9AD0APQA9AD0APQA9AD0APQA9AD0APQA9AD0APQA9AD0APQA9AD0APQA9AD0APQA9AD0APQA9AD0APQA9AD0APQA9AFwAbgAqAC8AXABuAFwAbgBSAGUAZgByAGkAZwBlAHIAYQBuAHQAcwBfAEwAZQBhAGsAYQBnAGUAUgBhAHQAZQBzAF8AVABpAHQAbABlAFwAbgA9AEwAQQBNAEIARABBACgAKABcACIASQBuAGQAaQBjAGEAdABpAHYAZQAgAGwAZQBhAGsAYQBnAGUAIAByAGEAdABlAHMAIABmAG8AcgAgAGMAbwBtAG0AbwBuACAAcgBlAGYAcgBpAGcAZQByAGEAdABpAG8AbgAgAGEAbgBkACAAYQBpAHIAIAAtACAAYwBvAG4AZABpAHQAaQBvAG4AaQBuAGcAIABlAHEAdQBpAHAAbQBlAG4AdABcACIAKQApADsAXABuAFwAbgBSAGUAZgByAGkAZwBlAHIAYQBuAHQAcwBfAEwAZQBhAGsAYQBnAGUAUgBhAHQAZQBzAF8ARABlAHMAYwByAGkAcAB0AGkAbwBuAFwAbgA9AEwAQQBNAEIARABBACgAKABcACIAXAAiACkAKQA7AFwAbgBcAG4AUgBlAGYAcgBpAGcAZQByAGEAbgB0AHMAXwBMAGUAYQBrAGEAZwBlAFIAYQB0AGUAcwBfAFMAbwB1AHIAYwBlAFwAbgA9AEwAQQBNAEIARABBACgAKABcACIAQQB1AHMAdAByAGEAbABpAGEAbgAgAE4AYQB0AGkAbwBuAGEAbAAgAEcAcgBlAGUAbgBoAG8AdQBzAGUAIABBAGMAYwBvAHUAbgB0AHMAIABGAGEAYwB0AG8AcgBzACAAMgAwADIANQAgAC0AIABUAGEAYgBsAGUAIAAxADAAXAAiACkAKQA7AFwAbgBcAG4AUgBlAGYAcgBpAGcAZQByAGEAbgB0AHMAXwBMAGUAYQBrAGEAZwBlAFIAYQB0AGUAcwBfAEQAYQB0AGEAXABuAD0ATABBAE0AQgBEAEEAKABcAG4AIAAgAE0AQQBLAEUAQQBSAFIAQQBZACgAOAAsACAAMgAsAFwAbgAgACAAIAAgAEwAQQBNAEIARABBACgAcgAsAGMALABcAG4AIAAgACAAIAAgACAASQBOAEQARQBYACgAewBcAG4AIAAgACAAIAAgACAAIAAgAFwAIgBQAHIAbwBkAHUAYwB0AFwAIgAsACAAXAAiAEEAbgBuAHUAYQBsACAAbABlAGEAawBhAGcAZQAgAHIAYQB0AGUAIAAoACUAKQBcACIAOwBcAG4AIAAgACAAIAAgACAAIAAgAFwAIgBEAG8AbQBlAHMAdABpAGMAIAByAGUAZgByAGkAZwBlAHIAYQB0AG8AcgBzAFwAIgAsACAAMQAuADcAOwBcAG4AIAAgACAAIAAgACAAIAAgAFwAIgBUAHIAYQBuAHMAcABvAHIAdAAgAHIAZQBmAHIAaQBnAGUAcgBhAHQAaQBvAG4AXAAiACwAIAAxADUALgA3ADsAXABuACAAIAAgACAAIAAgACAAIABcACIARABvAG0AZQBzAHQAaQBjACAAQQAvAEMAIABwAG8AcgB0AGEAYgBsAGUAXAAiACwAIAAyAC4ANQA7AFwAbgAgACAAIAAgACAAIAAgACAAXAAiAEQAbwBtAGUAcwB0AGkAYwAgAEEALwBDACAAcwBwAGwAaQB0AFwAIgAsACAAMwAuADUAOwBcAG4AIAAgACAAIAAgACAAIAAgAFwAIgBEAG8AbQBlAHMAdABpAGMAIABBAC8AQwAgAHAAYQBjAGsAYQBnAGUAZABcACIALAAgADIALgA1ADsAXABuACAAIAAgACAAIAAgACAAIABcACIATABpAGcAaAB0ACAAdgBlAGgAaQBjAGwAZQAgAEEALwBDAFwAIgAsACAANgAuADcAOwBcAG4AIAAgACAAIAAgACAAIAAgAFwAIgBIAGUAYQB2AHkAIAB2AGUAaABpAGMAbABlACAAQQAvAEMAXAAiACwAIAAxADAALgA4AFwAbgAgACAAIAAgACAAIAB9ACwAIAByACwAIABjACkAXABuACkAKQApADsAXABuAFwAbgBSAGUAZgByAGkAZwBlAHIAYQBuAHQAcwBfAEwAZQBhAGsAYQBnAGUAUgBhAHQAZQBzAF8AVgBhAHIAaQBhAHQAaQBvAG4AXABuAD0ATABBAE0AQgBEAEEAKAAoAFwAIgBcACIAKQApADsAXABuAFwAbgAiAH0ALAB7ACIAcABhAHQAaAAiADoAIgAvAHAAcgBvAGoAZQBjAHQAcwAvAFcAYQBzAHQAZQBTAG8AbABpAGQAXwBFAHEAdQBhAHQAaQBvAG4AcwAiACwAIgB0AGUAeAB0ACIAOgAiAC8AKgBcAG4APQA9AD0APQA9AD0APQA9AD0APQA9AD0APQA9AD0APQA9AD0APQA9AD0APQA9AD0APQA9AD0APQA9AD0APQA9AD0APQA9AD0APQA9AD0APQA9AD0APQA9AD0APQA9AD0APQA9AD0APQA9AD0APQA9AD0APQA9AD0APQA9AD0APQA9AD0APQA9AD0APQA9AD0APQA9AD0APQBcAG4AMQAwAC4AMQA6ACAAVwBhAHMAdABlAFwAbgA9AD0APQA9AD0APQA9AD0APQA9AD0APQA9AD0APQA9AD0APQA9AD0APQA9AD0APQA9AD0APQA9AD0APQA9AD0APQA9AD0APQA9AD0APQA9AD0APQA9AD0APQA9AD0APQA9AD0APQA9AD0APQA9AD0APQA9AD0APQA9AD0APQA9AD0APQA9AD0APQA9AD0APQA9AD0APQA9AFwAbgAxADAALgAxAC4AMQAuADEAIABNAGUAdABoAG8AZAAgADEAIAAtACAAUwBvAGwAaQBkACAAVwBhAHMAdABlACAAVAByAGUAYQB0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AAXwAxAF8AMQBfADEAXwBfADEAXwBFAG0AaQBzAHMAaQBvAG4AcwBGAHIAbwBtAFcAYQBzAHQAZQBNAGEAbgBhAGcAZQBtAGUAbgB0AFwAbgBFAG0AaQBzAHMAaQBvAG4AcwAgAGYAcgBvAG0AIAB3AGEAcwB0AGUAIABtAGEAbgBhAGcAZQBtAGUAbgB0ACAAYgB5ACAAZwByAGUAZQBuAGgAbwB1AHMAZQAgAGcAYQBzAFwAbgBFAF8AZwBcAG4AdAAgAEMATwAyAGUAXABuAEUAXwBnAD0AXABcAHMAdQBtAF8AdABcAFwAcwB1AG0AXwB3ACgAUQBfAHcAdABcAFwAdABpAG0AZQBzACAARQBGAF8AdwB0AGcAKQBcAG4AUQBfAHcAdAAgAD0AIABxAHUAYQBuAHQAaQB0AHkAIABvAGYAIABzAG8AbABpAGQAIAB3AGEAcwB0AGUAIABvAGYAIAB0AHkAcABlACAAdwAgAGIAZQBpAG4AZwAgAHMAZQBuAHQAIAB0AG8AIAB0AHIAZQBhAHQAbQBlAG4AdAAgAGYAYQBjAGkAbABpAHQAeQAgAHQALAAgAG8AbgAgAGEAIAB3AGUAdAAgAHcAZQBpAGcAaAB0ACAAYgBhAHMAaQBzACAAKAB0ACkAXABuAEUARgBfAHcAdABnACAAPQAgAGUAbQBpAHMAcwBpAG8AbgAgAGYAYQBjAHQAbwByACAAZgBvAHIAIABnAHIAZQBlAG4AaABvAHUAcwBlACAAZwBhAHMAIABnACAAZgBvAHIAIAB0AGgAZQAgAG0AYQBuAGEAZwBlAG0AZQBuAHQAIABvAGYAIAB3AGEAcwB0AGUAIABhAHQAIAB0AHIAZQBhAHQAbQBlAG4AdAAgAGYAYQBjAGkAbABpAHQAeQAgAHQAIAAoAHQAIABDAE8AMgBlAC8AdAApAFwAbgAtAC0ALQAtAC0ALQAtAC0ALQAtAC0ALQAtAC0ALQAtAC0ALQAtAC0ALQAtAC0ALQAtAC0ALQAtAC0ALQAtAC0ALQAtAC0ALQAtAC0AXABuACoALwBcAG4AXABuAFYARQBFAFIARwBfADEAMABfADEAXwAxAF8AMQBfAF8AMQBfAEUAbQBpAHMAcwBpAG8AbgBzAEYAcgBvAG0AVwBhAHMAdABlAE0AYQBuAGEAZwBlAG0AZQBuAHQAXABuACAAIAA9AEwAQQBNAEIARABBACgAXABuACAAIAAgACAAUQBfAHcAdAAsACAARQBGAF8AdwB0AGcALABcAG4AIAAgACAAIABRAF8AdwB0ACAAKgAgAEUARgBfAHcAdABnAFwAbgAgACAAKQA7AFwAbgBcAG4AVgBFAEUAUgBHAF8AMQAwAF8AMQBfADEAXwAxAF8AXwAxAF8ARQBtAGkAcwBzAGkAbwBuAHMARgByAG8AbQBXAGEAcwB0AGUATQBhAG4AYQBnAGUAbQBlAG4AdABfAFQAaQB0AGwAZQBcAG4AIAAgAD0ATABBAE0AQgBEAEEAKABcACIARQBtAGkAcwBzAGkAbwBuAHMAIABmAHIAbwBtACAAdwBhAHMAdABlACAAbQBhAG4AYQBnAGUAbQBlAG4AdAAgAGIAeQAgAGcAcgBlAGUAbgBoAG8AdQBzAGUAIABnAGEAcwBcACIAKQA7AFwAbgBcAG4AVgBFAEUAUgBHAF8AMQAwAF8AMQBfADEAXwAxAF8AXwAxAF8ARQBtAGkAcwBzAGkAbwBuAHMARgByAG8AbQBXAGEAcwB0AGUATQBhAG4AYQBnAGUAbQBlAG4AdABfAFYAYQByAGkAYQBiAGwAZQBcAG4AIAAgAD0ATABBAE0AQgBEAEEAKABcACIARQBfAGcAXAAiACkAOwBcAG4AXABuAFYARQBFAFIARwBfADEAMABfADEAXwAxAF8AMQBfAF8AMQBfAEUAbQBpAHMAcwBpAG8AbgBzAEYAcgBvAG0AVwBhAHMAdABlAE0AYQBuAGEAZwBlAG0AZQBuAHQAXwBVAG4AaQB0AFwAbgAgACAAPQBMAEEATQBCAEQAQQAoAFwAIgB0ACAAQwBPADIAZQBcACIAKQA7AFwAbgBcAG4AVgBFAEUAUgBHAF8AMQAwAF8AMQBfADEAXwAxAF8AXwAxAF8ARQBtAGkAcwBzAGkAbwBuAHMARgByAG8AbQBXAGEAcwB0AGUATQBhAG4AYQBnAGUAbQBlAG4AdABfAFMAbwB1AHIAYwBlAFwAbgAgACAAPQBMAEEATQBCAEQAQQAoAFwAIgBWAEUARQBSAEcAIAAyADAAMgA2ADoAIAAxADAALgAxAC4AMQAuADEALAAgAEUAcQB1AGEAdABpAG8AbgAgACgAMQApAFwAIgApADsAXABuAFwAbgBWAEUARQBSAEcAXwAxADAAXwAxAF8AMQBfADEAXwBfADEAXwBFAG0AaQBzAHMAaQBvAG4AcwBGAHIAbwBtAFcAYQBzAHQAZQBNAGEAbgBhAGcAZQBtAGUAbgB0AF8ATgBJAFIAUgBlAGYAZQByAGUAbgBjAGUAXABuACAAIAA9AEwAQQBNAEIARABBACgAXAAiAFwAIgApADsAXABuAFwAbgBWAEUARQBSAEcAXwAxADAAXwAxAF8AMQBfADEAXwBfADEAXwBFAG0AaQBzAHMAaQBvAG4AcwBGAHIAbwBtAFcAYQBzAHQAZQBNAGEAbgBhAGcAZQBtAGUAbgB0AF8ATABhAHQAZQB4AEUAcQB1AGEAdABpAG8AbgBcAG4AIAAgAD0ATABBAE0AQgBEAEEAKABcACIARQBfAGcAPQBcAFwAcwB1AG0AXABcAG4AbwBsAGkAbQBpAHQAcwBfAHQAXABcAHMAdQBtAFwAXABuAG8AbABpAG0AaQB0AHMAXwB3ACgAUQBfAHsAdwB0AH0AXABcAHQAaQBtAGUAcwAgAEUARgBfAHsAdwB0AGcAfQApAFwAIgApADsAXABuAFwAbgBWAEUARQBSAEcAXwAxADAAXwAxAF8AMQBfADEAXwBfADEAXwBFAG0AaQBzAHMAaQBvAG4AcwBGAHIAbwBtAFcAYQBzAHQAZQBNAGEAbgBhAGcAZQBtAGUAbgB0AF8AQQByAGcAdQBtAGUAbgB0AHMAXABuACAAIAA9AEwAQQBNAEIARABBACgAXABuACAAIAAgACAATQBBAEsARQBBAFIAUgBBAFkAKAA3ACwAIAA0ACwAXABuACAAIAAgACAAIAAgAEwAQQBNAEIARABBACgAcgAsAGMALABcAG4AIAAgACAAIAAgACAAIAAgAEkATgBEAEUAWAAoAHsAXABuACAAIAAgACAAIAAgACAAIAAgACAAXAAiAFEAXwB3AHQAXAAiACwAIABcACIAcQB1AGEAbgB0AGkAdAB5ACAAbwBmACAAcwBvAGwAaQBkACAAdwBhAHMAdABlACAAbwBmACAAdAB5AHAAZQAgAHcAIABiAGUAaQBuAGcAIABzAGUAbgB0ACAAdABvACAAdAByAGUAYQB0AG0AZQBuAHQAIABmAGEAYwBpAGwAaQB0AHkAIAB0ACwAIABvAG4AIABhACAAdwBlAHQAIAB3AGUAaQBnAGgAdAAgAGIAYQBzAGkAcwBcACIALAAgAFwAIgB0AFwAIgAsACAAXAAiAFMAdQBtACAAbwBmACAAUQBfAHYAbwBsAHcAdAAgAGEAbgBkACAAUQBfAG0AYQBzAHMAdwB0AFwAIgA7AFwAbgAgACAAIAAgACAAIAAgACAAIAAgAFwAIgBFAEYAXwB3AHQAZwBcACIALAAgAFwAIgBlAG0AaQBzAHMAaQBvAG4AIABmAGEAYwB0AG8AcgAgAGYAbwByACAAZwByAGUAZQBuAGgAbwB1AHMAZQAgAGcAYQBzACAAZwAgAGYAbwByACAAdABoAGUAIABtAGEAbgBhAGcAZQBtAGUAbgB0ACAAbwBmACAAdwBhAHMAdABlACAAYQB0ACAAdAByAGUAYQB0AG0AZQBuAHQAIABmAGEAYwBpAGwAaQB0AHkAIAB0AFwAIgAsACAAXAAiAHQAIABDAE8AMgBlAC8AdA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A7AFwAbgAgACAAIAAgACAAIAAgACAAIAAgAFwAIgBnAFwAIgAsACAAXAAiAGcAcgBlAGUAbgBoAG8AdQBzAGUAIABnAGEAcwBcACIALAAgAFwAIgBcACIALAAgAFwAIgBJAG4AcAB1AHQAXAAiADsAXABuACAAIAAgACAAIAAgACAAIAAgACAAXAAiAFEAXwB2AG8AbAB3AHQAXAAiACwAIABcACIAcQB1AGEAbgB0AGkAdAB5ACAAbwBmACAAcwBvAGwAZAAgAHcAYQBzAHQAZQAgAGkAbgBwAHUAdAAgAGEAcwAgAHYAbwBsAHUAbQBlACAAYQBuAGQAIABjAG8AbgB2AGUAcgB0AGUAZAAgAHQAbwAgAHQAbwBuAG4AZQBzAFwAIgAsACAAXAAiAHQAbwBuAG4AZQBzAFwAIgAsACAAXAAiAEMAYQBsAGMAdQBsAGEAdABlAGQAIABmAHIAbwBtACAAMQAwAC4AMQAuADEALgAxACAAKAAyACkAXAAiADsAXABuACAAIAAgACAAIAAgACAAIAAgACAAXAAiAFEAXwBtAGEAcwBzAHcAdABcACIALAAgAFwAIgBxAHUAYQBuAHQAaQB0AHkAIABvAGYAIABzAG8AbABpAGQAIAB3AGEAcwB0AGUAIABpAG4AcAB1AHQAIABhAHMAIABtAGEAcwBzAFwAIgAsACAAXAAiAHQAbwBuAG4AZQBzAFwAIgAsACAAXAAiAEkAbgBwAHUAdABcACIAXABuACAAIAAgACAAIAAgACAAIAB9ACwAIAByACwAIABjACkAXABuACAAIAAgACAAIAAgACkAXABuACAAIAAgACAAKQBcAG4AIAAgACkAOwBcAG4AXABuAFYARQBFAFIARwBfADEAMABfADEAXwAxAF8AMQBfAF8AMQBfAEUAbQBpAHMAcwBpAG8AbgBzAEYAcgBvAG0AVwBhAHMAdABlAE0AYQBuAGEAZwBlAG0AZQBuAHQAXwBWAGEAcgBpAGEAdABpAG8AbgBcAG4AIAAgAD0ATABBAE0AQgBEAEEAKABcACIAVgBBAFIASQBBAFQASQBPAE4AIABPAE4AIABTAE8AVQBSAEMARQA6ACAAQQBkAGQAZQBkACAAUQBfAHYAbwBsAHcAdAAgAGEAbgBkACAAUQBfAG0AYQBzAHMAdwB0ACAAdgBhAHIAaQBhAGIAbABlAHMAIAB0AG8AIABjAGwAZQBhAHIAbAB5ACAAdAByAGEAYwBrACAAaQBuAHAAdQB0ACAAbwByACAAYwBhAGwAYwB1AGwAYQB0AGUAZAAgAFEAIAB2AGEAbAB1AGUAcwBcACIAKQA7AFwAbgBcAG4ALwAqAFwAbgAtAC0ALQAtAC0ALQAtAC0ALQAtAC0ALQAtAC0ALQAtAC0ALQAtAC0ALQAtAC0ALQAtAC0ALQAtAC0ALQAtAC0ALQAtAC0ALQAtAC0AXABuAFYARQBFAFIARwBfADEAMABfADEAXwAxAF8AMQBfAF8AMgBfAE0AYQBzAHMATwBmAFcAYQBzAHQAZQBGAHIAbwBtAFYAbwBsAHUAbQBlAFwAbgBNAGEAcwBzACAAbwBmACAAdwBhAHMAdABlACAAZgByAG8AbQAgAHcAYQBzAHQAZQAgAHYAbwBsAHUAbQBlAFwAbgBRAF8AdwB0AFwAbgB0AFwAbgBRAF8AdwB0AD0AVgBfAHcAdABcAFwAdABpAG0AZQBzACAAVgBUAE0AXwB3AFwAbgBWAF8AdwB0ACAAPQAgAHYAbwBsAHUAbQBlACAAbwBmACAAcwBvAGwAaQBkACAAdwBhAHMAdABlACAAdAB5AHAAZQAgAHcAIABiAGUAaQBuAGcAIABzAGUAbgB0ACAAdABvACAAdAByAGUAYQB0AG0AZQBuAHQAIABmAGEAYwBpAGwAaQB0AHkAIAB0ACAAKABtADMAKQBcAG4AVgBUAE0AXwB3ACAAPQAgAGMAbwBuAHYAZQByAHMAaQBvAG4AIABmAGEAYwB0AG8AcgAgAG8AZgAgAHYAbwBsAHUAbQBlACAAdABvACAAbQBhAHMAcwAgAGYAbwByACAAdwBhAHMAdABlACAAdAB5AHAAZQAgAHcAIAAoAHQALwBtADMAKQBcAG4ALQAtAC0ALQAtAC0ALQAtAC0ALQAtAC0ALQAtAC0ALQAtAC0ALQAtAC0ALQAtAC0ALQAtAC0ALQAtAC0ALQAtAC0ALQAtAC0ALQAtAFwAbgAqAC8AXABuAFwAbgBWAEUARQBSAEcAXwAxADAAXwAxAF8AMQBfADEAXwBfADIAXwBNAGEAcwBzAE8AZgBXAGEAcwB0AGUARgByAG8AbQBWAG8AbAB1AG0AZQBcAG4AIAAgAD0ATABBAE0AQgBEAEEAKABcAG4AIAAgACAAIABWAF8AdwB0ACwAIABWAFQATQBfAHcALABcAG4AIAAgACAAIABWAF8AdwB0ACAAKgAgAFYAVABNAF8AdwBcAG4AIAAgACkAOwBcAG4AXABuAFYARQBFAFIARwBfADEAMABfADEAXwAxAF8AMQBfAF8AMgBfAE0AYQBzAHMATwBmAFcAYQBzAHQAZQBGAHIAbwBtAFYAbwBsAHUAbQBlAF8AVABpAHQAbABlAFwAbgAgACAAPQBMAEEATQBCAEQAQQAoAFwAIgBNAGEAcwBzACAAbwBmACAAdwBhAHMAdABlACAAZgByAG8AbQAgAHcAYQBzAHQAZQAgAHYAbwBsAHUAbQBlAFwAIgApADsAXABuAFwAbgBWAEUARQBSAEcAXwAxADAAXwAxAF8AMQBfADEAXwBfADIAXwBNAGEAcwBzAE8AZgBXAGEAcwB0AGUARgByAG8AbQBWAG8AbAB1AG0AZQBfAFYAYQByAGkAYQBiAGwAZQBcAG4AIAAgAD0ATABBAE0AQgBEAEEAKABcACIAUQBfAHcAdABcACIAKQA7AFwAbgBcAG4AVgBFAEUAUgBHAF8AMQAwAF8AMQBfADEAXwAxAF8AXwAyAF8ATQBhAHMAcwBPAGYAVwBhAHMAdABlAEYAcgBvAG0AVgBvAGwAdQBtAGUAXwBVAG4AaQB0AFwAbgAgACAAPQBMAEEATQBCAEQAQQAoAFwAIgB0AFwAIgApADsAXABuAFwAbgBWAEUARQBSAEcAXwAxADAAXwAxAF8AMQBfADEAXwBfADIAXwBNAGEAcwBzAE8AZgBXAGEAcwB0AGUARgByAG8AbQBWAG8AbAB1AG0AZQBfAFMAbwB1AHIAYwBlAFwAbgAgACAAPQBMAEEATQBCAEQAQQAoAFwAIgBWAEUARQBSAEcAIAAyADAAMgA2ADoAIAAxADAALgAxAC4AMQAuADEALAAgAEUAcQB1AGEAdABpAG8AbgAgACgAMgApAFwAIgApADsAXABuAFwAbgBWAEUARQBSAEcAXwAxADAAXwAxAF8AMQBfADEAXwBfADIAXwBNAGEAcwBzAE8AZgBXAGEAcwB0AGUARgByAG8AbQBWAG8AbAB1AG0AZQBfAE4ASQBSAFIAZQBmAGUAcgBlAG4AYwBlAFwAbgAgACAAPQBMAEEATQBCAEQAQQAoAFwAIgBcACIAKQA7AFwAbgBcAG4AVgBFAEUAUgBHAF8AMQAwAF8AMQBfADEAXwAxAF8AXwAyAF8ATQBhAHMAcwBPAGYAVwBhAHMAdABlAEYAcgBvAG0AVgBvAGwAdQBtAGUAXwBMAGEAdABlAHgARQBxAHUAYQB0AGkAbwBuAFwAbgAgACAAPQBMAEEATQBCAEQAQQAoAFwAIgBRAF8AewB3AHQAfQA9AFYAXwB7AHcAdAB9AFwAXAB0AGkAbQBlAHMAIABWAFQATQBfAHcAXAAiACkAOwBcAG4AXABuAFYARQBFAFIARwBfADEAMABfADEAXwAxAF8AMQBfAF8AMgBfAE0AYQBzAHMATwBmAFcAYQBzAHQAZQBGAHIAbwBtAFYAbwBsAHUAbQBlAF8AQQByAGcAdQBtAGUAbgB0AHMAXABuACAAIAA9AEwAQQBNAEIARABBACgAXABuACAAIAAgACAATQBBAEsARQBBAFIAUgBBAFkAKAA0ACwAIAA0ACwAXABuACAAIAAgACAAIAAgAEwAQQBNAEIARABBACgAcgAsAGMALABcAG4AIAAgACAAIAAgACAAIAAgAEkATgBEAEUAWAAoAHsAXABuACAAIAAgACAAIAAgACAAIAAgACAAXAAiAFYAXwB3AHQAXAAiACwAIABcACIAdgBvAGwAdQBtAGUAIABvAGYAIABzAG8AbABpAGQAIAB3AGEAcwB0AGUAIAB0AHkAcABlACAAdwAgAGIAZQBpAG4AZwAgAHMAZQBuAHQAIAB0AG8AIAB0AHIAZQBhAHQAbQBlAG4AdAAgAGYAYQBjAGkAbABpAHQAeQAgAHQAXAAiACwAIABcACIAbQAzAFwAIgAsACAAXAAiAEkAbgBwAHUAdABcACIAOwBcAG4AIAAgACAAIAAgACAAIAAgACAAIABcACIAVgBUAE0AXwB3AFwAIgAsACAAXAAiAGMAbwBuAHYAZQByAHMAaQBvAG4AIABmAGEAYwB0AG8AcgAgAG8AZgAgAHYAbwBsAHUAbQBlACAAdABvACAAbQBhAHMAcwAgAGYAbwByACAAdwBhAHMAdABlACAAdAB5AHAAZQAgAHcAXAAiACwAIABcACIAdAAvAG0AMw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BcAG4AIAAgACAAIAAgACAAIAAgAH0ALAAgAHIALAAgAGMAKQBcAG4AIAAgACAAIAAgACAAKQBcAG4AIAAgACAAIAApAFwAbgAgACAAKQA7AFwAbgAiAH0ALAB7ACIAcABhAHQAaAAiADoAIgAvAHAAcgBvAGoAZQBjAHQAcwAvAFcAYQBzAHQAZQBTAG8AbABpAGQAXwBJAG4AcAB1AHQARgB1AG4AYwB0AGkAbwBuAHMAIgAsACIAdABlAHgAdAAiADoAIgBcAG4AVwBhAHMAdABlAFMAbwBsAGkAZABfAEkAbgBwAHUAdABGAHUAbgBjAHQAaQBvAG4AcwBfAFMAdQBtAFcAYQBzAHQAZQBUAHIAZQBhAHQAbQBlAG4AdABcAG4APQBMAEEATQBCAEQAQQAoAFwAbgAgACAAVAByAGUAYQB0AG0AZQBuAHQAQQByAHIAYQB5ACwAIABXAGEAcwB0AGUAQQByAHIAYQB5ACwAIABUAHIAZQBhAHQAbQBlAG4AdABMAG8AYwBhAHQAaQBvAG4AQQByAHIAYQB5ACwAIABVAG4AaQB0AEEAcgByAGEAeQAsACAAQQBtAG8AdQBuAHQAQQByAHIAYQB5ACwAXABuACAAIABUAHIAZQBhAHQAbQBlAG4AdABUAHkAcABlACwAIABXAGEAcwB0AGUAVAB5AHAAZQAsACAAVAByAGUAYQB0AG0AZQBuAHQATABvAGMAYQB0AGkAbwBuAFQAeQBwAGUALAAgAFUAbgBpAHQAVAB5AHAAZQAsAFwAbgAgACAAUwBVAE0ASQBGAFMAKABcAG4AIAAgACAAIABBAG0AbwB1AG4AdABBAHIAcgBhAHkALABcAG4AIAAgACAAVAByAGUAYQB0AG0AZQBuAHQAQQByAHIAYQB5ACwAIABUAHIAZQBhAHQAbQBlAG4AdABUAHkAcABlACwAXABuACAAIAAgACAAVwBhAHMAdABlAEEAcgByAGEAeQAsACAAVwBhAHMAdABlAFQAeQBwAGUALABcAG4AIAAgACAAIABUAHIAZQBhAHQAbQBlAG4AdABMAG8AYwBhAHQAaQBvAG4AQQByAHIAYQB5ACwAIABUAHIAZQBhAHQAbQBlAG4AdABMAG8AYwBhAHQAaQBvAG4AVAB5AHAAZQAsACAAXABuACAAIAAgACAAVQBuAGkAdABBAHIAcgBhAHkALAAgAFUAbgBpAHQAVAB5AHAAZQBcAG4AIAAgACkAXABuACkAOwAiAH0ALAB7ACIAcABhAHQAaAAiADoAIgAvAHAAcgBvAGoAZQBjAHQAcwAvAFcAYQBzAHQAZQBTAG8AbABpAGQAXwBTAG8AdQByAGMAZQBEAGEAdABhACIALAAiAHQAZQB4AHQAIgA6ACIALwAqAFwAbgA9AD0APQA9AD0APQA9AD0APQA9AD0APQA9AD0APQA9AD0APQA9AD0APQA9AD0APQA9AD0APQA9AD0APQA9AD0APQA9AD0APQA9AD0APQA9AD0APQA9AD0APQA9AD0APQA9AD0APQA9AD0APQA9AD0APQA9AD0APQA9AD0APQA9AD0APQA9AD0APQA9AD0APQA9AD0APQA9AFwAbgBFAG0AaQBzAHMAaQBvAG4AIABmAGEAYwB0AG8AcgBzACAAZgBvAHIAIAB3AGEAcwB0AGUAcwAgAGQAaQBzAHAAbwBzAGUAZAAgAG8AZgAgAGEAdAAgAGQAaQBmAGYAZQByAGUAbgB0ACAAdAByAGUAYQB0AG0AZQBuAHQAIABmAGEAYwBpAGwAaQB0AGkAZQBzAFwAbgA9AD0APQA9AD0APQA9AD0APQA9AD0APQA9AD0APQA9AD0APQA9AD0APQA9AD0APQA9AD0APQA9AD0APQA9AD0APQA9AD0APQA9AD0APQA9AD0APQA9AD0APQA9AD0APQA9AD0APQA9AD0APQA9AD0APQA9AD0APQA9AD0APQA9AD0APQA9AD0APQA9AD0APQA9AD0APQA9AFwAbgAqAC8AXABuAFwAbgBXAGEAcwB0AGUAXwBFAG0AaQBzAHMAaQBvAG4ARgBhAGMAdABvAHIAcwBGAG8AcgBXAGEAcwB0AGUAVAByAGUAYQB0AG0AZQBuAHQAXwBUAGkAdABsAGUAXABuAD0ATABBAE0AQgBEAEEAKAAoAFwAIgBFAG0AaQBzAHMAaQBvAG4AIABmAGEAYwB0AG8AcgBzACAAZgBvAHIAIAB3AGEAcwB0AGUAcwAgAGQAaQBzAHAAbwBzAGUAZAAgAG8AZgAgAGEAdAAgAGQAaQBmAGYAZQByAGUAbgB0ACAAdAByAGUAYQB0AG0AZQBuAHQAIABmAGEAYwBpAGwAaQB0AGkAZQBzAFwAIgApACkAOwBcAG4AXABuAFcAYQBzAHQAZQBfAEUAbQBpAHMAcwBpAG8AbgBGAGEAYwB0AG8AcgBzAEYAbwByAFcAYQBzAHQAZQBUAHIAZQBhAHQAbQBlAG4AdABfAFYAYQByAGkAYQBiAGwAZQBcAG4APQBMAEEATQBCAEQAQQAoACgAXAAiAEUARgB3AHQAXAAiACkAKQA7AFwAbgBcAG4AVwBhAHMAdABlAF8ARQBtAGkAcwBzAGkAbwBuAEYAYQBjAHQAbwByAHMARgBvAHIAVwBhAHMAdABlAFQAcgBlAGEAdABtAGUAbgB0AF8AVQBuAGkAdABcAG4APQBMAEEATQBCAEQAQQAoACgAXAAiAHQAIABDAE8AMgBlACAALwAgAHQAXAAiACkAKQA7AFwAbgBcAG4AVwBhAHMAdABlAF8ARQBtAGkAcwBzAGkAbwBuAEYAYQBjAHQAbwByAHMARgBvAHIAVwBhAHMAdABlAFQAcgBlAGEAdABtAGUAbgB0AF8AUwBvAHUAcgBjAGUAXABuAD0ATABBAE0AQgBEAEEAKAAoAFwAIgBWAEUARQBSAEcAIAAyADAAMgA2ADoAIABUAGEAYgBsAGUAIABBAC4ANAAuADEALgAxAFwAIgApACkAOwBcAG4AXABuAFcAYQBzAHQAZQBfAEUAbQBpAHMAcwBpAG8AbgBGAGEAYwB0AG8AcgBzAEYAbwByAFcAYQBzAHQAZQBUAHIAZQBhAHQAbQBlAG4AdABfAEQAYQB0AGEAXABuAD0ATABBAE0AQgBEAEEAKABcAG4AIAAgAE0AQQBLAEUAQQBSAFIAQQBZACgAMwA1ACwAIAA0ACwAXABuACAAIAAgACAATABBAE0AQgBEAEEAKAByACwAYwAsAFwAbgAgACAAIAAgACAAIABJAE4ARABFAFgAKAB7AFwAbgAgACAAIAAgACAAIAAgACAAXAAiAFQAcgBlAGEAdABtAGUAbgB0ACAAdAB5AHAAZQAgAHQAXAAiACwAIABcACIAVwBhAHMAdABlACAAdAB5AHAAZQAgAHcAXAAiACwAIABcACIARQBGAHcAdABcACIALAAgAFwAIgBFAEYAIABzAG8AdQByAGMAZQBcACIAOwBcAG4AIAAgACAAIAAgACAAIAAgAFwAIgBMAGEAbgBkAGYAaQBsAGwAXAAiACwAIABcACIARgBvAG8AZAAgAHcAYQBzAHQAZQAgACgAaQBuAGMAbAB1AGQAaQBuAGcAIABhAG4AaQBtAGEAbAAgAGMAYQByAGMAYQBzAHMAZQBzACwAIABzAHAAbwBpAGwAZQBkACAAYQBuAGkAbQBhAGwAIABmAGUAZQBkACAAbwByACAAYwByAG8AcAApAFwAIgAsACAAMgAuADEALAAgAFwAIgBOAEcAQQBGACAAMgAwADIANQAgAHQAYQBiAGwAZQAgADEANQBcACIAOwBcAG4AIAAgACAAIAAgACAAIAAgAFwAIgBMAGEAbgBkAGYAaQBsAGwAXAAiACwAIABcACIAUABhAHAAZQByACAAYQBuAGQAIABjAGEAcgBkAGIAbwBhAHIAZABcACIALAAgADMALgAzACwAIABcACIATgBHAEEARgAgADIAMAAyADUAIAB0AGEAYgBsAGUAIAAxADUAXAAiADsAXABuACAAIAAgACAAIAAgACAAIABcACIATABhAG4AZABmAGkAbABsAFwAIgAsACAAXAAiAEcAcgBlAGUAbgAgAHcAYQBzAHQAZQAgACgAaQBuAGMAbAB1AGQAaQBuAGcAIABjAHIAbwBwACAAcgBlAHMAaQBkAHUAZQBzACAAbwByACAAcAByAHUAbgBpAG4AZwBzACkAXAAiACwAIAAxAC4ANgAsACAAXAAiAE4ARwBBAEYAIAAyADAAMgA1ACAAdABhAGIAbABlACAAMQA1AFwAIgA7AFwAbgAgACAAIAAgACAAIAAgACAAXAAiAEwAYQBuAGQAZgBpAGwAbABcACIALAAgAFwAIgBXAG8AbwBkAFwAIgAsACAAMAAuADcALAAgAFwAIgBOAEcAQQBGACAAMgAwADIANQAgAHQAYQBiAGwAZQAgADEANQBcACIAOwBcAG4AIAAgACAAIAAgACAAIAAgAFwAIgBMAGEAbgBkAGYAaQBsAGwAXAAiACwAIABcACIAVABlAHgAdABpAGwAZQBzAFwAIgAsACAAMgAuADAALAAgAFwAIgBOAEcAQQBGACAAMgAwADIANQAgAHQAYQBiAGwAZQAgADEANQBcACIAOwBcAG4AIAAgACAAIAAgACAAIAAgAFwAIgBMAGEAbgBkAGYAaQBsAGwAXAAiACwAIABcACIAUwBsAHUAZABnAGUAXAAiACwAIAAwAC4ANAAsACAAXAAiAE4ARwBBAEYAIAAyADAAMgA1ACAAdABhAGIAbABlACAAMQA1AFwAIgA7AFwAbgAgACAAIAAgACAAIAAgACAAXAAiAEwAYQBuAGQAZgBpAGwAbABcACIALAAgAFwAIgBSAHUAYgBiAGUAcgAgAGEAbgBkACAAbABlAGEAdABoAGUAcgBcACIALAAgADMALgAzACwAIABcACIATgBHAEEARgAgADIAMAAyADUAIAB0AGEAYgBsAGUAIAAxADUAXAAiADsAXABuACAAIAAgACAAIAAgACAAIABcACIATABhAG4AZABmAGkAbABsAFwAIgAsACAAXAAiAEkAbgBlAHIAdAAgAHcAYQBzAHQAZQAgACgAaQBuAGMAbAB1AGQAaQBuAGcAIABjAG8AbgBjAHIAZQB0AGUALAAgAG0AZQB0AGEAbAAsACAAcABsAGEAcwB0AGkAYwAgAG8AcgAgAGcAbABhAHMAcwApAFwAIgAsACAAMAAsACAAXAAiAE4ARwBBAEYAIAAyADAAMgA1ACAAdABhAGIAbABlACAAMQA1AFwAIgA7AFwAbgAgACAAIAAgACAAIAAgACAAXAAiAEwAYQBuAGQAZgBpAGwAbABcACIALAAgAFwAIgBNAHUAbgBpAGMAaQBwAGEAbAAgAHMAbwBsAGkAZAAgAHcAYQBzAHQAZQBcACIALAAgADEALgA2ACwAIABcACIATgBHAEEARgAgADIAMAAyADUAIAB0AGEAYgBsAGUAIAAxADUAXAAiADsAXABuACAAIAAgACAAIAAgACAAIABcACIATABhAG4AZABmAGkAbABsAFwAIgAsACAAXAAiAEMAbwBtAG0AZQByAGMAaQBhAGwAIABhAG4AZAAgAGkAbgBkAHUAcwB0AHIAaQBhAGwAIAB3AGEAcwB0AGUAXAAiACwAIAAxAC4AMwAsACAAXAAiAE4ARwBBAEYAIAAyADAAMgA1ACAAdABhAGIAbABlACAAMQA1AFwAIgA7AFwAbgAgACAAIAAgACAAIAAgACAAXAAiAEwAYQBuAGQAZgBpAGwAbABcACIALAAgAFwAIgBDAG8AbgBzAHQAcgB1AGMAdABpAG8AbgAgAGEAbgBkACAAZABlAG0AbwBsAGkAdABpAG8AbgAgAHcAYQBzAHQAZQBcACIALAAgADAALgAyACwAIABcACIATgBHAEEARgAgADIAMAAyADUAIAB0AGEAYgBsAGUAIAAxADUAXAAiADsAXABuACAAIAAgACAAIAAgACAAIABcAG4AIAAgACAAIAAgACAAIAAgAFwAIgBJAG4AYwBpAG4AZQByAGEAdABpAG8AbgBcACIALAAgAFwAIgBGAG8AbwBkACAAdwBhAHMAdABlACwAIABnAHIAZQBlAG4AIAB3AGEAcwB0AGUALAAgAHcAbwBvAGQALAAgAHMAbAB1AGQAZwBlAFwAIgAsACAAMAAsACAAXAAiAFwAIgA7AFwAbgAgACAAIAAgACAAIAAgACAAXAAiAEkAbgBjAGkAbgBlAHIAYQB0AGkAbwBuAFwAIgAsACAAXAAiAEYAbwBvAGQAIAB3AGEAcwB0AGUAIAAoAGkAbgBjAGwAdQBkAGkAbgBnACAAYQBuAGkAbQBhAGwAIABjAGEAcgBjAGEAcwBzAGUAcwAsACAAcwBwAG8AaQBsAGUAZAAgAGEAbgBpAG0AYQBsACAAZgBlAGUAZAAgAG8AcgAgAGMAcgBvAHAAKQBcACIALAAgADAALAAgAFwAIgBcACIAOwBcAG4AIAAgACAAIAAgACAAIAAgAFwAIgBJAG4AYwBpAG4AZQByAGEAdABpAG8AbgBcACIALAAgAFwAIgBHAHIAZQBlAG4AIAB3AGEAcwB0AGUAIAAoAGkAbgBjAGwAdQBkAGkAbgBnACAAYwByAG8AcAAgAHIAZQBzAGkAZAB1AGUAcwAgAG8AcgAgAHAAcgB1AG4AaQBuAGcAcwApAFwAIgAsACAAMAAsACAAXAAiAFwAIgA7AFwAbgAgACAAIAAgACAAIAAgACAAXAAiAEkAbgBjAGkAbgBlAHIAYQB0AGkAbwBuAFwAIgAsACAAXAAiAFcAbwBvAGQAXAAiACwAIAAwACwAIABcACIAXAAiADsAXABuACAAIAAgACAAIAAgACAAIABcACIASQBuAGMAaQBuAGUAcgBhAHQAaQBvAG4AXAAiACwAIABcACIAUwBsAHUAZABnAGUAXAAiACwAIAAw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dwBhAHMAdABlACAAKABpAG4AYwBsAHUAZABpAG4AZwAgAGMAbwBuAGMAcgBlAHQAZQAsACAAbQBlAHQAYQBsACwAIABwAGwAYQBzAHQAaQBjACAAbwByACAAZwBsAGEAcwBzACkAXAAiACwAIAAwAC4AMQAxADAAMAAsACAAXAAiAFwAIgA7AFwAbgAgACAAIAAgACAAIAAgACAAXAAiAEkAbgBjAGkAbgBlAHIAYQB0AGkAbwBuAFwAIgAsACAAXAAiAE0AdQBuAGkAYwBpAHAAYQBsACAAcwBvAGwAaQBkACAAdwBhAHMAdABlAFwAIgAsACAAMAAuADAANQAzADcALAAgAFwAIgBOAEcAQQBGACAAMgAwADIANQAgAFQAYQBiAGwAZQAgADEAOABcACIAOwBcAG4AIAAgACAAIAAgACAAIAAgAFwAIgBJAG4AYwBpAG4AZQByAGEAdABpAG8AbgBcACIALAAgAFwAIgBDAG8AbQBtAGUAcgBjAGkAYQBsACAAYQBuAGQAIABpAG4AZAB1AHMAdAByAGkAYQBsACAAdwBhAHMAdABlAFwAIgAsACAAMQAuADYANAA5ACwAIABcACIATgBHAEEARgAgADIAMAAyADUAIABUAGEAYgBsAGUAIAAxADgAXAAiADsAXABuAFwAbgAgACAAIAAgACAAIAAgACAAXAAiAEMAbwBtAHAAbwBzAHQAaQBuAGcAXAAiACwAIABcACIAQQBsAGwAIABvAHIAZwBhAG4AaQBjACAAdwBhAHMAdABlAFwAIgAsACAAMAAuADAANAA2ACwAIABcACIATgBHAEEARgAgADIAMAAyADUAIABUAGEAYgBsAGUAIAAxADkAXAAiADsAXABuACAAIAAgACAAIAAgACAAIABcACIAQwBvAG0AcABvAHMAdABpAG4AZwBcACIALAAgAFwAIgBGAG8AbwBkACAAdwBhAHMAdABlACAAKABpAG4AYwBsAHUAZABpAG4AZwAgAGEAbgBpAG0AYQBsACAAYwBhAHIAYwBhAHMAcwBlAHMALAAgAHMAcABvAGkAbABlAGQAIABhAG4AaQBtAGEAbAAgAGYAZQBlAGQAIABvAHIAIABjAHIAbwBwACkAXAAiACwAIAAwAC4AMAA0ADYALAAgAFwAIgBcACIAOwBcAG4AIAAgACAAIAAgACAAIAAgAFwAIgBDAG8AbQBwAG8AcwB0AGkAbgBnAFwAIgAsACAAXAAiAEcAcgBlAGUAbgAgAHcAYQBzAHQAZQAgACgAaQBuAGMAbAB1AGQAaQBuAGcAIABjAHIAbwBwACAAcgBlAHMAaQBkAHUAZQBzACAAbwByACAAcAByAHUAbgBpAG4AZwBzACkAXAAiACwAIAAwAC4AMAA0ADYALAAgAFwAIgBcACIAOwBcAG4AIAAgACAAIAAgACAAIAAgAFwAIgBDAG8AbQBwAG8AcwB0AGkAbgBnAFwAIgAsACAAXAAiAFcAbwBvAGQAXAAiACwAIAAwAC4AMAA0ADYALAAgAFwAIgBcACIAOwBcAG4AIAAgACAAIAAgACAAIAAgAFwAIgBDAG8AbQBwAG8AcwB0AGkAbgBnAFwAIgAsACAAXAAiAFMAbAB1AGQAZwBlAFwAIgAsACAAMAAuADAANAA2ACwAIABcACIAXAAiADsAXABuACAAIAAgACAAIAAgACAAIABcACIAQwBvAG0AcABvAHMAdABpAG4AZwBcACIALAAgAFwAIgBQAGEAcABlAHIAIABhAG4AZAAgAGMAYQByAGQAYgBvAGEAcgBkAFwAIgAsACAAMAAuADAANAA2ACwAIABcACIAXAAiADsAXABuAFwAbgAgACAAIAAgACAAIAAgACAAXAAiAEEAbgBhAGUAcgBvAGIAaQBjACAAZABpAGcAZQBzAHQAaQBvAG4AXAAiACwAIABcACIAQQBsAGwAIABvAHIAZwBhAG4AaQBjACAAdwBhAHMAdABlAFwAIgAsACAAMAAuADAAMgA4ACwAIABcACIATgBHAEEARgAgADIAMAAyADUAIABUAGEAYgBsAGUAIAAxADkAXAAiADsAXABuACAAIAAgACAAIAAgACAAIABcACIAQQBuAGEAZQByAG8AYgBpAGMAIABkAGkAZwBlAHMAdABpAG8AbgBcACIALAAgAFwAIgBGAG8AbwBkACAAdwBhAHMAdABlACAAKABpAG4AYwBsAHUAZABpAG4AZwAgAGEAbgBpAG0AYQBsACAAYwBhAHIAYwBhAHMAcwBlAHMALAAgAHMAcABvAGkAbABlAGQAIABhAG4AaQBtAGEAbAAgAGYAZQBlAGQAIABvAHIAIABjAHIAbwBwACkAXAAiACwAIAAwAC4AMAAyADgALAAgAFwAIgBcACIAOwBcAG4AIAAgACAAIAAgACAAIAAgAFwAIgBBAG4AYQBlAHIAbwBiAGkAYwAgAGQAaQBnAGUAcwB0AGkAbwBuAFwAIgAsACAAXAAiAEcAcgBlAGUAbgAgAHcAYQBzAHQAZQAgACgAaQBuAGMAbAB1AGQAaQBuAGcAIABjAHIAbwBwACAAcgBlAHMAaQBkAHUAZQBzACAAbwByACAAcAByAHUAbgBpAG4AZwBzACkAXAAiACwAIAAwAC4AMAAyADgALAAgAFwAIgBcACIAOwBcAG4AIAAgACAAIAAgACAAIAAgAFwAIgBBAG4AYQBlAHIAbwBiAGkAYwAgAGQAaQBnAGUAcwB0AGkAbwBuAFwAIgAsACAAXAAiAFcAbwBvAGQAXAAiACwAIAAwAC4AMAAyADgALAAgAFwAIgBcACIAOwBcAG4AIAAgACAAIAAgACAAIAAgAFwAIgBBAG4AYQBlAHIAbwBiAGkAYwAgAGQAaQBnAGUAcwB0AGkAbwBuAFwAIgAsACAAXAAiAFMAbAB1AGQAZwBlAFwAIgAsACAAMAAuADAAMgA4ACwAIABcACIAXAAiADsAXABuACAAIAAgACAAIAAgACAAIABcACIAQQBuAGEAZQByAG8AYgBpAGMAIABkAGkAZwBlAHMAdABpAG8AbgBcACIALAAgAFwAIgBQAGEAcABlAHIAIABhAG4AZAAgAGMAYQByAGQAYgBvAGEAcgBkAFwAIgAsACAAMAAuADAAMgA4ACwAIABcACIAXAAiAFwAbgAgACAAIAAgACAAIAB9ACwAIAByACwAIABjACkAXABuACkAKQApADsAXABuAFwAbgBXAGEAcwB0AGUAXwBFAG0AaQBzAHMAaQBvAG4ARgBhAGMAdABvAHIAcwBGAG8AcgBXAGEAcwB0AGUAVAByAGUAYQB0AG0AZQBuAHQAXwBWAGEAcgBpAGEAdABpAG8AbgBcAG4APQBMAEEATQBCAEQAQQAoAFwAbgAgACAATQBBAEsARQBBAFIAUgBBAFkAKAA3ACwAIAAxACwAXABuACAAIAAgACAATABBAE0AQgBEAEEAKAByACwAYwAsAFwAbgAgACAAIAAgACAAIABJAE4ARABFAFgAKAB7AFwAbgAgACAAIAAgACAAIAAgACAAXAAiAFYAQQBSAEkAQQBUAEkATwBOACAATwBOACAAUwBPAFUAUgBDAEUAOgBcACIAOwBcAG4AIAAgACAAIAAgACAAIAAgAFwAIgBGAGkAeABlAGQAIAB0AHkAcABvACAAXAB1ADAAMAAyADcAcABhAHAAZQByACAAYQBuAGQAIABjAGEAcgBiAG8AYQByAGQAXAB1ADAAMAAyADcAIAB0AG8AIABcAHUAMAAwADIANwBwAGEAcABlAHIAIABhAG4AZAAgAGMAYQByAGQAYgBvAGEAcgBkAFwAdQAwADAAMgA3AFwAIgA7AFwAbgAgACAAIAAgACAAIAAgACAAXAAiAEYAaQB4AGUAZAAgAHQAeQBwAG8AIABcAHUAMAAwADIANwBwAHIAdQBuAG4AaQBuAGcAcwBcAHUAMAAwADIANwAgAHQAbwAgAFwAdQAwADAAMgA3AHAAcgB1AG4AaQBuAGcAcwBcAHUAMAAwADIANwBcACIAOwBcAG4AIAAgACAAIAAgACAAIAAgAFwAIgBBAGQAZABlAGQAIABFAEYAIABzAG8AdQByAGMAZQAgAGMAbwBsAHUAbQBuACAAdwBpAHQAaAAgAHMAcABlAGMAaQBmAGkAYwAgAHIAZQBmAGUAcgBlAG4AYwBlAHMAXAAiADsAXABuACAAIAAgACAAIAAgACAAIABcACIAQQBkAGQAZQBkACAAcwB1AGIALQBjAGEAdABlAGcAbwByAGkAZQBzACAAZgBvAHIAIABcAHUAMAAwADIANwBJAG4AYwBpAG4AZQByAGEAdABpAG8AbgA6ACAARgBvAG8AZAAgAHcAYQBzAHQAZQAsACAAZwByAGUAZQBuACAAdwBhAHMAdABlACwAIAB3AG8AbwBkACwAIABzAGwAdQBkAGc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DAG8AbQBwAG8AcwB0AGkAbgBnADoAIABBAGwAbAAgAG8AcgBnAGEAbgBpAGMAIAB3AGEAcwB0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QBuAGEAZQByAG8AYgBpAGMAIABkAGkAZwBlAHMAdABpAG8AbgA6ACAAQQBsAGwAIABvAHIAZwBhAG4AaQBjACAAdwBhAHMAdABlAFwAdQAwADAAMgA3ACAAaQBuACAAbwByAGQAZQByACAAdABvACAAdQBzAGUAIAB2AG8AbAB1AG0AZQAgAHQAbwAgAG0AYQBzAHMAIABjAG8AbgB2AGUAcgBzAGkAbwBuACAAZgBhAGMAdABvAHIAIAB2AGEAbAB1AGUAcw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EEALgA0AC4AMQAuADIAOgAgAFYAbwBsAHUAbQBlACAAdABvACAAbQBhAHMAcwAgAGMAbwBuAHYAZQByAHMAaQBvAG4AIABmAGEAYwB0AG8AcgAgAGYAbwByACAAdgBhAHIAaQBvAHUAcwAgAHcAYQBzAHQAZQAgAHQAeQBwAGUAcwAgACgAdAAvAG0AMwApACAAKABWAFQATQB3ACkAXABuAD0APQA9AD0APQA9AD0APQA9AD0APQA9AD0APQA9AD0APQA9AD0APQA9AD0APQA9AD0APQA9AD0APQA9AD0APQA9AD0APQA9AD0APQA9AD0APQA9AD0APQA9AD0APQA9AD0APQA9AD0APQA9AD0APQA9AD0APQA9AD0APQA9AD0APQA9AD0APQA9AD0APQA9AD0APQA9AD0AXABuACoALwBcAG4AXABuAFcAYQBzAHQAZQBfAFcAYQBzAHQAZQBWAG8AbAB1AG0AZQBUAG8ATQBhAHMAcwBDAG8AbgB2AGUAcgBzAGkAbwBuAF8AVABpAHQAbABlAFwAbgA9AEwAQQBNAEIARABBACgAKABcACIAVgBvAGwAdQBtAGUAIAB0AG8AIABtAGEAcwBzACAAYwBvAG4AdgBlAHIAcwBpAG8AbgAgAGYAYQBjAHQAbwByACAAZgBvAHIAIAB2AGEAcgBpAG8AdQBzACAAdwBhAHMAdABlACAAdAB5AHAAZQBzAFwAIgApACkAOwBcAG4AXABuAFcAYQBzAHQAZQBfAFcAYQBzAHQAZQBWAG8AbAB1AG0AZQBUAG8ATQBhAHMAcwBDAG8AbgB2AGUAcgBzAGkAbwBuAF8AVgBhAHIAaQBhAGIAbABlAFwAbgA9AEwAQQBNAEIARABBACgAKABcACIAVgBUAE0AdwBcACIAKQApADsAXABuAFwAbgBXAGEAcwB0AGUAXwBXAGEAcwB0AGUAVgBvAGwAdQBtAGUAVABvAE0AYQBzAHMAQwBvAG4AdgBlAHIAcwBpAG8AbgBfAFUAbgBpAHQAXABuAD0ATABBAE0AQgBEAEEAKAAoAFwAIgB0AC8AbQAzAFwAIgApACkAOwBcAG4AXABuAFcAYQBzAHQAZQBfAFcAYQBzAHQAZQBWAG8AbAB1AG0AZQBUAG8ATQBhAHMAcwBDAG8AbgB2AGUAcgBzAGkAbwBuAF8AUwBvAHUAcgBjAGUAXABuAD0ATABBAE0AQgBEAEEAKAAoAFwAIgBWAEUARQBSAEcAIAAyADAAMgA2ADoAIABUAGEAYgBsAGUAIABBAC4ANAAuADEALgAyAFwAIgApACkAOwBcAG4AXABuAFcAYQBzAHQAZQBfAFcAYQBzAHQAZQBWAG8AbAB1AG0AZQBUAG8ATQBhAHMAcwBDAG8AbgB2AGUAcgBzAGkAbwBuAF8ARABhAHQAYQBcAG4APQBMAEEATQBCAEQAQQAoAFwAbgAgACAATQBBAEsARQBBAFIAUgBBAFkAKAAxADIALAAgADIALABcAG4AIAAgACAAIABMAEEATQBCAEQAQQAoAHIALABjACwAXABuACAAIAAgACAAIAAgAEkATgBEAEUAWAAoAHsAXABuACAAIAAgACAAIAAgACAAIABcACIAVwBhAHMAdABlACAAdAB5AHAAZQAgAHcAXAAiACwAIABcACIAVgBUAE0AdwBcACIAOwBcAG4AIAAgACAAIAAgACAAIAAgAFwAIgBGAG8AbwBkACAAdwBhAHMAdABlACAAKABpAG4AYwBsAHUAZABpAG4AZwAgAGEAbgBpAG0AYQBsACAAYwBhAHIAYwBhAHMAcwBlAHMALAAgAHMAcABvAGkAbABlAGQAIABhAG4AaQBtAGEAbAAgAGYAZQBlAGQAIABvAHIAIABjAHIAbwBwACkAXAAiACwAIAAwAC4ANQAwADsAXABuACAAIAAgACAAIAAgACAAIABcACIAUABhAHAAZQByACAAYQBuAGQAIABjAGEAcgBkAGIAbwBhAHIAZABcACIALAAgADAALgAwADkAOwBcAG4AIAAgACAAIAAgACAAIAAgAFwAIgBHAHIAZQBlAG4AIAB3AGEAcwB0AGUAIAAoAGkAbgBjAGwAdQBkAGkAbgBnACAAYwByAG8AcAAgAHIAZQBzAGkAZAB1AGUAcwAgAG8AcgAgAHAAcgB1AG4AaQBuAGcAcwApAFwAIgAsACAAMAAuADIANAA7AFwAbgAgACAAIAAgACAAIAAgACAAXAAiAFcAbwBvAGQAXAAiACwAIAAwAC4AMQA1ADsAXABuACAAIAAgACAAIAAgACAAIABcACIAVABlAHgAdABpAGwAZQBzAFwAIgAsACAAMAAuADEANAA7AFwAbgAgACAAIAAgACAAIAAgACAAXAAiAFMAbAB1AGQAZwBlAFwAIgAsACAAMAAuADcAMgA7AFwAbgAgACAAIAAgACAAIAAgACAAXAAiAFIAdQBiAGIAZQByACAAYQBuAGQAIABsAGUAYQB0AGgAZQByAFwAIgAsACAAMAAuADEANAA7AFwAbgAgACAAIAAgACAAIAAgACAAXAAiAEkAbgBlAHIAdAAgAHcAYQBzAHQAZQAgACgAaQBuAGMAbAB1AGQAaQBuAGcAIABjAG8AbgBjAHIAZQB0AGUALAAgAG0AZQB0AGEAbAAsACAAcABsAGEAcwB0AGkAYwAgAG8AcgAgAGcAbABhAHMAcwApAFwAIgAsACAAMAAuADQAMgA7AFwAbgAgACAAIAAgACAAIAAgACAAXAAiAE0AdQBuAGkAYwBpAHAAYQBsACAAcwBvAGwAaQBkACAAdwBhAHMAdABlAFwAIgAsACAAMAAuADMANgA7AFwAbgAgACAAIAAgACAAIAAgACAAXAAiAEMAbwBtAG0AZQByAGMAaQBhAGwAIABhAG4AZAAgAGkAbgBkAHUAcwB0AHIAaQBhAGwAIAB3AGEAcwB0AGUAXAAiACwAIAAwAC4AMwAzADsAXABuACAAIAAgACAAIAAgACAAIABcACIAQwBvAG4AcwB0AHIAdQBjAHQAaQBvAG4AIABhAG4AZAAgAGQAZQBtAG8AbABpAHQAaQBvAG4AIAB3AGEAcwB0AGUAXAAiACwAIAAwAC4AMwA5AFwAbgAgACAAIAAgACAAIAB9ACwAIAByACwAIABjACkAXABuACkAKQApADsAXABuAFwAbgBXAGEAcwB0AGUAXwBXAGEAcwB0AGUAVgBvAGwAdQBtAGUAVABvAE0AYQBzAHMAQwBvAG4AdgBlAHIAcwBpAG8AbgBfAFYAYQByAGkAYQB0AGkAbwBuAFwAbgA9AEwAQQBNAEIARABBACgAKABcACIAVgBBAFIASQBBAFQASQBPAE4AIABPAEYAIABTAE8AVQBSAEMARQA6ACAAQwBoAGEAbgBnAGUAZAAgAGMAbwBsAHUAbQBuACAAaABlAGEAZABlAHIAIABDAEYAdwAgAHQAbwAgAFYAVABNAHcAIAB0AG8AIABtAGEAdABjAGgAIAB0AGkAdABsAGUAIAB2AGEAcgBpAGEAYgBsAGUALgBcACIAKQApADsAXABuAFwAbgBcAG4AIgB9ACwAewAiAHAAYQB0AGgAIgA6ACIALwBwAHIAbwBqAGUAYwB0AHMALwBBAGcAUgBlAHMAaQBkAHUAZQBfAEUAcQB1AGEAdABpAG8AbgBzAF8AQwByAG8AcABSAGUAcwBpAGQAdQBlACIALAAiAHQAZQB4AHQAIgA6ACIALwAqACAAXABuAC0ALQAtAC0ALQAtAC0ALQAtAC0ALQAtAC0ALQAtAC0ALQAtAC0ALQAtAC0ALQAtAC0ALQAtAC0ALQAtAC0ALQAtAC0ALQAtAC0ALQBcAG4AVgBFAEUAUgBHAF8ANgBfADEAXwAxAF8AMQBfAF8AMQBfAF8ATgBpAHQAcgBvAHUAcwBPAHgAaQBkAGUARQBtAGkAcwBzAGkAbwBuAHMARgByAG8AbQBDAHIAbwBwAFIAZQBzAGkAZAB1AGUAcwBcAG4ATgBpAHQAcgBvAHUAcwAgAG8AeABpAGQAZQAgAGUAbQBpAHMAcwBpAG8AbgBzACAAZgByAG8AbQAgAHQAaABlACAAcgBlAHQAdQByAG4AIABvAGYAIABjAHIAbwBwACAAcgBlAHMAaQBkAHUAZQBzACAAYQBjAHIAbwBzAHMAIABhAGwAbAAgAGMAcgBvAHAAcwAgAGMAIAB0AG8AIAB0AGgAZQAgAHMAbwBpAGwAXABuAEUAXABuAHQAIABOADIATwBcAG4ARQA9AFwAXABzAHUAbQBfAHsAYwB9AHsATQBfAHsAYwB9AFwAXAB0AGkAbQBlAHMAIABFAEYAXwB7AE4AfQBcAFwAdABpAG0AZQBzACAAQwBfAHsAZwAsAE4AMgBPAH0AXABcAHQAaQBtAGUAcwAgADEAMABeAHsALQAzAH0AfQBcAG4ATQBjACAAPQAgAG0AYQBzAHMAIABvAGYAIABuAGkAdAByAG8AZwBlAG4AIABpAG4AIABjAHIAbwBwACAAYwAgAHIAZQBzAGkAZAB1AGUAcwAgAHIAZQB0AHUAcgBuAGUAZAAgAHQAbwAgAHQAaABlACAAcwBvAGkAbAAgACgAawBnACAATgApAFwAbgBFAEYATgBpACAAPQAgAGUAbQBpAHMAcwBpAG8AbgAgAGYAYQBjAHQAbwByACAAZgBvAHIAIABjAHIAbwBwACAAcgBlAHMAaQBkAHUAZQBzACAAcgBlAHQAdQByAG4AZQBkACAAdABvACAAdABoAGUAIABzAG8AaQBsACAAKABrAGcAIABOADIATwAtAE4ALwBrAGcAIABOACkAXABuAEMAZwBOADIATwAgAD0AIABmAGEAYwB0AG8AcgAgAHQAbwAgAGMAbwBuAHYAZQByAHQAIABlAGwAZQBtAGUAbgB0AGEAbAAgAG0AYQBzAHMAIABvAGYAIABuAGkAdAByAG8AdQBzACAAbwB4AGkAZA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EAXwAxAF8AMQBfAF8AMQBfAF8ATgBpAHQAcgBvAHUAcwBPAHgAaQBkAGUARQBtAGkAcwBzAGkAbwBuAHMARgByAG8AbQBDAHIAbwBwAFIAZQBzAGkAZAB1AGUAcwBcAG4AIAAgAD0ATABBAE0AQgBEAEEAKABcAG4AIAAgACAAIABNAF8AYwAsACAARQBGAF8ATgBpACwAIABDAF8ATgAyAE8ALABcAG4AIAAgACAAIABNAF8AYwAgACoAIABFAEYAXwBOAGkAIAAqACAAQwBfAE4AMgBPACAAKgAgADEAMABeACgALQAzACkAXABuACAAIAApAFwAbgA7AFwAbgBcAG4AVgBFAEUAUgBHAF8ANgBfADEAXwAxAF8AMQBfAF8AMQBfAF8ATgBpAHQAcgBvAHUAcwBPAHgAaQBkAGUARQBtAGkAcwBzAGkAbwBuAHMARgByAG8AbQBDAHIAbwBwAFIAZQBzAGkAZAB1AGUAcwBfAEYAdQBuAGMAdABpAG8AbgBOAGEAbQBlAFwAbgAgACAAPQBMAEEATQBCAEQAQQAoAFwAIgBWAEUARQBSAEcAXwA2AF8AMQBfADEAXwAxAF8AXwAxAF8AXwBOAGkAdAByAG8AdQBzAE8AeABpAGQAZQBFAG0AaQBzAHMAaQBvAG4AcwBGAHIAbwBtAEMAcgBvAHAAUgBlAHMAaQBkAHUAZQBzAFwAIgApADsAXABuAFwAbgBWAEUARQBSAEcAXwA2AF8AMQBfADEAXwAxAF8AXwAxAF8AXwBOAGkAdAByAG8AdQBzAE8AeABpAGQAZQBFAG0AaQBzAHMAaQBvAG4AcwBGAHIAbwBtAEMAcgBvAHAAUgBlAHMAaQBkAHUAZQBzAF8AVABpAHQAbABlAFwAbgAgACAAPQBMAEEATQBCAEQAQQAoAFwAIgBOAGkAdAByAG8AdQBzACAAbwB4AGkAZABlACAAZQBtAGkAcwBzAGkAbwBuAHMAIABmAHIAbwBtACAAdABoAGUAIAByAGUAdAB1AHIAbgAgAG8AZgAgAGMAcgBvAHAAIAByAGUAcwBpAGQAdQBlAHMAIABhAGMAcgBvAHMAcwAgAGEAbABsACAAYwByAG8AcABzACAAYwAgAHQAbwAgAHQAaABlACAAcwBvAGkAbABcACIAKQA7AFwAbgBcAG4AVgBFAEUAUgBHAF8ANgBfADEAXwAxAF8AMQBfAF8AMQBfAF8ATgBpAHQAcgBvAHUAcwBPAHgAaQBkAGUARQBtAGkAcwBzAGkAbwBuAHMARgByAG8AbQBDAHIAbwBwAFIAZQBzAGkAZAB1AGUAcwBfAFYAYQByAGkAYQBiAGwAZQBcAG4AIAAgAD0ATABBAE0AQgBEAEEAKABcACIARQBcACIAKQA7AFwAbgBcAG4AVgBFAEUAUgBHAF8ANgBfADEAXwAxAF8AMQBfAF8AMQBfAF8ATgBpAHQAcgBvAHUAcwBPAHgAaQBkAGUARQBtAGkAcwBzAGkAbwBuAHMARgByAG8AbQBDAHIAbwBwAFIAZQBzAGkAZAB1AGUAcwBfAFUAbgBpAHQAXABuACAAIAA9AEwAQQBNAEIARABBACgAXAAiAHQAIABOADIATwBcACIAKQA7AFwAbgBcAG4AVgBFAEUAUgBHAF8ANgBfADEAXwAxAF8AMQBfAF8AMQBfAF8ATgBpAHQAcgBvAHUAcwBPAHgAaQBkAGUARQBtAGkAcwBzAGkAbwBuAHMARgByAG8AbQBDAHIAbwBwAFIAZQBzAGkAZAB1AGUAcwBfAFMAbwB1AHIAYwBlAFwAbgAgACAAPQBMAEEATQBCAEQAQQAoAFwAIgBWAEUARQBSAEcAIAAyADAAMgA2ADoAIAA2AC4AMQAuADEALgAxACwAIABFAHEAdQBhAHQAaQBvAG4AIAAoADEAKQBcACIAKQA7AFwAbgBcAG4AVgBFAEUAUgBHAF8ANgBfADEAXwAxAF8AMQBfAF8AMQBfAF8ATgBpAHQAcgBvAHUAcwBPAHgAaQBkAGUARQBtAGkAcwBzAGkAbwBuAHMARgByAG8AbQBDAHIAbwBwAFIAZQBzAGkAZAB1AGUAcwBfAE4ASQBSAFIAZQBmAGUAcgBlAG4AYwBlAFwAbgAgACAAPQBMAEEATQBCAEQAQQAoAFwAIgBcACIAKQA7AFwAbgBcAG4AVgBFAEUAUgBHAF8ANgBfADEAXwAxAF8AMQBfAF8AMQBfAF8ATgBpAHQAcgBvAHUAcwBPAHgAaQBkAGUARQBtAGkAcwBzAGkAbwBuAHMARgByAG8AbQBDAHIAbwBwAFIAZQBzAGkAZAB1AGUAcwBfAEwAYQB0AGUAeABFAHEAdQBhAHQAaQBvAG4AXABuACAAIAA9AEwAQQBNAEIARABBACgAXAAiAEUAPQBcAFwAcwB1AG0AXABcAG4AbwBsAGkAbQBpAHQAcwBfAGMAXABcAGwAZQBmAHQAKABNAF8AewBjAH0AXABcAHQAaQBtAGUAcwAgAEUARgBfAHsATgB9AFwAXAByAGkAZwBoAHQAKQBcAFwAdABpAG0AZQBzACAAQwBfAHsAZwAsAE4AMgBPAH0AXABcAHQAaQBtAGUAcwAgADEAMABeAHsALQAzAH0AXAAiACkAOwBcAG4AXABuAFYARQBFAFIARwBfADYAXwAxAF8AMQBfADEAXwBfADEAXwBfAE4AaQB0AHIAbwB1AHMATwB4AGkAZABlAEUAbQBpAHMAcwBpAG8AbgBzAEYAcgBvAG0AQwByAG8AcABSAGUAcwBpAGQAdQBlAHMAXwBBAHIAZwB1AG0AZQBuAHQAcwBcAG4AIAAgAD0ATABBAE0AQgBEAEEAKABcAG4AIAAgACAAIABNAEEASwBFAEEAUgBSAEEAWQAoADUALAAgADQALAAgAFwAbgAgACAAIAAgACAAIABMAEEATQBCAEQAQQAoAHIALABjACwAIABcAG4AIAAgACAAIAAgACAAIAAgAEkATgBEAEUAWAAoAHsAXABuACAAIAAgACAAIAAgACAAIAAgACAAXAAiAE0AXwBjAFwAIgAsAFwAIgBtAGEAcwBzACAAbwBmACAAbgBpAHQAcgBvAGcAZQBuACAAaQBuACAAYwByAG8AcAAgAGMAIAByAGUAcwBpAGQAdQBlAHMAIAByAGUAdAB1AHIAbgBlAGQAIAB0AG8AIAB0AGgAZQAgAHMAbwBpAGwAXAAiACwAIABcACIAawBnACAATgBcACIALAAgAFwAIgBDAGEAbABjAHUAbABhAHQAZQBkACAAZgByAG8AbQAgADYALgAxAC4AMQAuADEAIAAoADIAKQBcACIAOwBcAG4AIAAgACAAIAAgACAAIAAgACAAIABcACIARQBGAF8ATgBpAFwAIgAsAFwAIgBlAG0AaQBzAHMAaQBvAG4AIABmAGEAYwB0AG8AcgAgAGYAbwByACAAYwByAG8AcAAgAHIAZQBzAGkAZAB1AGUAcwAgAHIAZQB0AHUAcgBuAGUAZAAgAHQAbwAgAHQAaABlACAAcwBvAGkAbA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jAFwAIgAsAFwAIgBDAHIAbwBwACAAdAB5AHAAZ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QBfADEAXwAxAF8AXwAyAF8AXwBNAGEAcwBzAE8AZgBOAGkAdAByAG8AZwBlAG4ASQBuAEMAcgBvAHAAUgBlAHMAaQBkAHUAZQBzAFwAbgBNAGEAcwBzACAAbwBmACAAbgBpAHQAcgBvAGcAZQBuACAAaQBuACAAYwByAG8AcAAgAHIAZQBzAGkAZAB1AGUAcwAgAHIAZQB0AHUAcgBuAGUAZAAgAHQAbwAgAHQAaABlACAAcwBvAGkAbABcAG4ATQBjAFwAbgBrAGcAIABOAFwAbgBNAF8AewBjAH0APQAoAFAAXwB7AGMAfQBcAFwAdABpAG0AZQBzACAAUgBfAHsAQQBHAGMAfQBcAFwAdABpAG0AZQBzACgAMQAtAEYAXwB7AGMAfQAtAEYARgBPAEQAXwB7AGMAfQApAFwAXAB0AGkAbQBlAHMAIABEAE0AXwB7AGMAfQBcAFwAdABpAG0AZQBzACAATgBDAF8AewBBAEcAYwB9ACkAKwAoAFAAXwB7AGMAfQBcAFwAdABpAG0AZQBzACAAUgBfAHsAQQBHAGMAfQBcAFwAdABpAG0AZQBzACAAUgBfAHsAQgBHAGMAfQBcAFwAdABpAG0AZQBzACAARABNAF8AewBjAH0AXABcAHQAaQBtAGUAcwAgAE4AQwBfAHsAQgBHAGMAfQApAFwAbgBQAGMAIAA9ACAAYQBuAG4AdQBhAGwAIABwAHIAbwBkAHUAYwB0AGkAbwBuACAAbwBmACAAYwByAG8AcAAgAGMAIAAoAGsAZwApAFwAbgBSAEEARwBjACAAPQAgAHIAZQBzAGkAZAB1AGUAIAB0AG8AIABjAHIAbwBwACAAcgBhAHQAaQBvACAAZgBvAHIAIABjAHIAbwBwACAAYwAgACgAZABpAG0AZQBuAHMAaQBvAG4AbABlAHMAcwApAFwAbgBSAEIARwBjACAAPQAgAGIAZQBsAG8AdwAgAGcAcgBvAHUAbgBkAC0AcgBlAHMAaQBkAHUAZQAgAHQAbwAgAGEAYgBvAHYAZQAgAGcAcgBvAHUAbgBkACAAcgBlAHMAaQBkAHUAZQAgAHIAYQB0AGkAbwAgAGYAbwByACAAYwByAG8AcAAgAGMAIAAoAGQAaQBtAGUAbgBzAGkAbwBuAGwAZQBzAHMAKQBcAG4ARgBjACAAPQAgAGYAcgBhAGMAdABpAG8AbgAgAG8AZgAgAGMAcgBvAHAAIAByAGUAcwBpAGQAdQBlACAAdABoAGEAdAAgAGkAcwAgAGIAdQByAG4AdAAgAGYAbwByACAAYwByAG8AcAAgAGMAIAAoAGQAaQBtAGUAbgBzAGkAbwBuAGwAZQBzAHMAKQBcAG4ARgBGAE8ARABjACAAPQAgAGYAcgBhAGMAdABpAG8AbgAgAG8AZgAgAHQAaABlACAAYwByAG8AcAAgAHIAZQBzAGkAZAB1AGUAIAB0AGgAYQB0ACAAaQBzACAAcgBlAG0AbwB2AGUAZAAgAGYAbwByACAAYwByAG8AcAAgAGMAIAAoAGQAaQBtAGUAbgBzAGkAbwBuAGwAZQBzAHMAKQBcAG4ARABNAGMAIAA9ACAAZAByAHkAIABtAGEAdAB0AGUAcgAgAGMAbwBuAHQAZQBuAHQAIABvAGYAIABjAHIAbwBwACAAYwAgACgAawBnACAAZAByAHkAIAB3AGUAaQBnAGgAdAAvAGsAZwAgAGMAcgBvAHAAIAByAGUAcwBpAGQAdQBlACkAXABuAE4AQwBBAEcAYwAgAD0AIABuAGkAdAByAG8AZwBlAG4AIABjAG8AbgB0AGUAbgB0ACAAbwBmACAAYQBiAG8AdgBlAC0AZwByAG8AdQBuAGQAIABjAHIAbwBwACAAcgBlAHMAaQBkAHUAZQAgAG8AZgAgAGMAcgBvAHAAIABjACAAKABrAGcAIABOAC8AawBnACAARABNACkAXABuAE4AQwBCAEcAYwAgAD0AIABuAGkAdAByAG8AZwBlAG4AIABjAG8AbgB0AGUAbgB0ACAAbwBmACAAYgBlAGwAbwB3AC0AZwByAG8AdQBuAGQAIABjAHIAbwBwACAAcgBlAHMAaQBkAHUAZQAgAG8AZgAgAGMAcgBvAHAAIABjACAAKABrAGcAIABOAC8AawBnACAARABNACkAXABuAGMAIAA9ACAAQwByAG8AcAAgAHQAeQBwAGUAXABuAC0ALQAtAC0ALQAtAC0ALQAtAC0ALQAtAC0ALQAtAC0ALQAtAC0ALQAtAC0ALQAtAC0ALQAtAC0ALQAtAC0ALQAtAC0ALQAtAC0ALQBcAG4AKgAvAFwAbgBcAG4AVgBFAEUAUgBHAF8ANgBfADEAXwAxAF8AMQBfAF8AMgBfAF8ATQBhAHMAcwBPAGYATgBpAHQAcgBvAGcAZQBuAEkAbgBDAHIAbwBwAFIAZQBzAGkAZAB1AGUAcwBcAG4AIAAgAD0ATABBAE0AQgBEAEEAKABcAG4AIAAgACAAIABQAF8AYwAsACAAUgBfAEEARwBjACwAIABGAF8AYwAsACAARgBGAE8ARABfAGMALAAgAEQATQBfAGMALAAgAE4AQwBfAEEARwBjACwAIABSAF8AQgBHAGMALAAgAE4AQwBfAEIARwBjACwAXABuACAAIAAgACAAKABQAF8AYwAgACoAIABSAF8AQQBHAGMAIAAqACAAKAAxACAALQAgAEYAXwBjACAALQAgAEYARgBPAEQAXwBjACkAIAAqACAARABNAF8AYwAgACoAIABOAEMAXwBBAEcAYwApACAAKwAgACgAUABfAGMAIAAqACAAUgBfAEEARwBjACAAKgAgAFIAXwBCAEcAYwAgACoAIABEAE0AXwBjACAAKgAgAE4AQwBfAEIARwBjACkAXABuACAAIAApAFwAbgA7AFwAbgBcAG4AVgBFAEUAUgBHAF8ANgBfADEAXwAxAF8AMQBfAF8AMgBfAF8ATQBhAHMAcwBPAGYATgBpAHQAcgBvAGcAZQBuAEkAbgBDAHIAbwBwAFIAZQBzAGkAZAB1AGUAcwBfAFQAaQB0AGwAZQBcAG4AIAAgAD0ATABBAE0AQgBEAEEAKABcACIATQBhAHMAcwAgAG8AZgAgAG4AaQB0AHIAbwBnAGUAbgAgAGkAbgAgAGMAcgBvAHAAIAByAGUAcwBpAGQAdQBlAHMAIAByAGUAdAB1AHIAbgBlAGQAIAB0AG8AIAB0AGgAZQAgAHMAbwBpAGwAXAAiACkAOwBcAG4AXABuAFYARQBFAFIARwBfADYAXwAxAF8AMQBfADEAXwBfADIAXwBfAE0AYQBzAHMATwBmAE4AaQB0AHIAbwBnAGUAbgBJAG4AQwByAG8AcABSAGUAcwBpAGQAdQBlAHMAXwBWAGEAcgBpAGEAYgBsAGUAXABuACAAIAA9AEwAQQBNAEIARABBACgAXAAiAE0AXwBjAFwAIgApADsAXABuAFwAbgBWAEUARQBSAEcAXwA2AF8AMQBfADEAXwAxAF8AXwAyAF8AXwBNAGEAcwBzAE8AZgBOAGkAdAByAG8AZwBlAG4ASQBuAEMAcgBvAHAAUgBlAHMAaQBkAHUAZQBzAF8AVQBuAGkAdABcAG4AIAAgAD0ATABBAE0AQgBEAEEAKABcACIAawBnACAATgBcACIAKQA7AFwAbgBcAG4AVgBFAEUAUgBHAF8ANgBfADEAXwAxAF8AMQBfAF8AMgBfAF8ATQBhAHMAcwBPAGYATgBpAHQAcgBvAGcAZQBuAEkAbgBDAHIAbwBwAFIAZQBzAGkAZAB1AGUAcwBfAFMAbwB1AHIAYwBlAFwAbgAgACAAPQBMAEEATQBCAEQAQQAoAFwAIgBWAEUARQBSAEcAIAAyADAAMgA2ADoAIAA2AC4AMQAuADEALgAxACwAIABFAHEAdQBhAHQAaQBvAG4AIAAoADIAKQBcACIAKQA7AFwAbgBcAG4AVgBFAEUAUgBHAF8ANgBfADEAXwAxAF8AMQBfAF8AMgBfAF8ATQBhAHMAcwBPAGYATgBpAHQAcgBvAGcAZQBuAEkAbgBDAHIAbwBwAFIAZQBzAGkAZAB1AGUAcwBfAE4ASQBSAFIAZQBmAGUAcgBlAG4AYwBlAFwAbgAgACAAPQBMAEEATQBCAEQAQQAoAFwAIgBcACIAKQA7AFwAbgBcAG4AVgBFAEUAUgBHAF8ANgBfADEAXwAxAF8AMQBfAF8AMgBfAF8ATQBhAHMAcwBPAGYATgBpAHQAcgBvAGcAZQBuAEkAbgBDAHIAbwBwAFIAZQBzAGkAZAB1AGUAcwBfAEwAYQB0AGUAeABFAHEAdQBhAHQAaQBvAG4AXABuACAAIAA9AEwAQQBNAEIARABBACgAXAAiAE0AXwB7AGMAfQA9ACgAUABfAHsAYwB9AFwAXAB0AGkAbQBlAHMAIABSAF8AewBBAEcAYwB9AFwAXAB0AGkAbQBlAHMAKAAxAC0ARgBfAHsAYwB9AC0ARgBGAE8ARABfAHsAYwB9ACkAXABcAHQAaQBtAGUAcwAgAEQATQBfAHsAYwB9AFwAXAB0AGkAbQBlAHMAIABOAEMAXwB7AEEARwBjAH0AKQArACgAUABfAHsAYwB9AFwAXAB0AGkAbQBlAHMAIABSAF8AewBBAEcAYwB9AFwAXAB0AGkAbQBlAHMAIABSAF8AewBCAEcAYwB9AFwAXAB0AGkAbQBlAHMAIABEAE0AXwB7AGMAfQBcAFwAdABpAG0AZQBzACAATgBDAF8AewBCAEcAYwB9ACkAXAAiACkAOwBcAG4AXABuAFYARQBFAFIARwBfADYAXwAxAF8AMQBfADEAXwBfADIAXwBfAE0AYQBzAHMATwBmAE4AaQB0AHIAbwBnAGUAbgBJAG4AQwByAG8AcABSAGUAcwBpAGQAdQBlAHMAXwBBAHIAZwB1AG0AZQBuAHQAcwBcAG4AIAAgAD0ATABBAE0AQgBEAEEAKABcAG4AIAAgACAAIABNAEEASwBFAEEAUgBSAEEAWQAoADEAMAAsACAANAAsACAAXABuACAAIAAgACAAIAAgAEwAQQBNAEIARABBACgAcgAsAGMALAAgAFwAbgAgACAAIAAgACAAIAAgACAASQBOAEQARQBYACgAe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UgBfAEIARwBjAFwAIgAsAFwAIgBiAGUAbABvAHcAIABnAHIAbwB1AG4AZAAtAHIAZQBzAGkAZAB1AGUAIAB0AG8AIABhAGIAbwB2AGUAIABnAHIAbwB1AG4AZAAgAHIAZQBzAGkAZAB1AGUAIAByAGEAdABpAG8AIABmAG8AcgAgAGMAcgBvAHAAIABjAFwAIgAsACAAXAAiAFwAIgAsACAAXAAiAEMAbwBuAHMAdABhAG4AdABcACIAOwBcAG4AIAAgACAAIAAgACAAIAAgACAAIABcACIARgBfAGMAXAAiACwAXAAiAGYAcgBhAGMAdABpAG8AbgAgAG8AZgAgAGMAcgBvAHAAIAByAGUAcwBpAGQAdQBlACAAdABoAGEAdAAgAGkAcwAgAGIAdQByAG4AdAAgAGYAbwByACAAYwByAG8AcAAgAGMAXAAiACwAIABcACIAZgByAGEAYwB0AGkAbwBuAFwAIgAsACAAXAAiAEkAbgBwAHUAdABcACIAOwBcAG4AIAAgACAAIAAgACAAIAAgACAAIABcACIARgBGAE8ARABfAGMAXAAiACwAXAAiAGYAcgBhAGMAdABpAG8AbgAgAG8AZgAgAHQAaABlACAAYwByAG8AcAAgAHIAZQBzAGkAZAB1AGUAIAB0AGgAYQB0ACAAaQBzACAAcgBlAG0AbwB2AGUAZAAgAGYAbwByACAAYwByAG8AcAAgAGMAXAAiACwAIABcACIAZgByAGEAYwB0AGkAbwBuAFwAIgAsACAAXAAiAEMAbwBuAHMAdABhAG4AdABcACIAOwBcAG4AIAAgACAAIAAgACAAIAAgACAAIABcACIARABNAF8AYwBcACIALABcACIAZAByAHkAIABtAGEAdAB0AGUAcgAgAGMAbwBuAHQAZQBuAHQAIABvAGYAIABjAHIAbwBwACAAYwBcACIALAAgAFwAIgBrAGcAIABkAHIAeQAgAHcAZQBpAGcAaAB0AC8AawBnACAAYwByAG8AcAAgAHIAZQBzAGkAZAB1AGUAXAAiACwAIABcACIAQwBvAG4AcwB0AGEAbgB0AFwAIgA7AFwAbgAgACAAIAAgACAAIAAgACAAIAAgAFwAIgBOAEMAXwBBAEcAYwBcACIALABcACIAbgBpAHQAcgBvAGcAZQBuACAAYwBvAG4AdABlAG4AdAAgAG8AZgAgAGEAYgBvAHYAZQAtAGcAcgBvAHUAbgBkACAAYwByAG8AcAAgAHIAZQBzAGkAZAB1AGUAIABvAGYAIABjAHIAbwBwACAAYwBcACIALAAgAFwAIgBrAGcAIABOAC8AawBnACAARABNAFwAIgAsACAAXAAiAEMAbwBuAHMAdABhAG4AdABcACIAOwBcAG4AIAAgACAAIAAgACAAIAAgACAAIABcACIATgBDAF8AQgBHAGMAXAAiACwAXAAiAG4AaQB0AHIAbwBnAGUAbgAgAGMAbwBuAHQAZQBuAHQAIABvAGYAIABiAGUAbABvAHcALQBnAHIAbwB1AG4AZAAgAGMAcgBvAHAAIAByAGUAcwBpAGQAdQBlACAAbwBmACAAYwByAG8AcAAgAGMAXAAiACwAIABcACIAawBnACAATgAvAGsAZwAgAEQATQBcACIALAAgAFwAIgBDAG8AbgBzAHQAYQBuAHQAXAAiADsAXABuACAAIAAgACAAIAAgACAAIAAgACAAXAAiAGMAXAAiACwAXAAiAEMAcgBvAHAAIAB0AHkAcABlAFwAIgAsACAAXAAiAFwAIgAsACAAXAAiAEkAbgBwAHUAdABcACIAOwBcAG4AIAAgACAAIAAgACAAIAAgACAAIABcACIAUwB0AGEAdABlAFwAIgAsAFwAIgBTAHQAYQB0AGUAIABvAHIAIAB0AGUAcgByAGkAdABvAHIAeQBcACIALAAgAFwAIgBcACIALAAgAFwAIgBJAG4AcAB1AHQAXAAiAFwAbgAgACAAIAAgACAAIAAgACAAfQAsACAAcgAsACAAYwApAFwAbgAgACAAIAAgACAAIAApAFwAbgAgACAAIAAgACkAXABuACAAIAApADsAXABuAFwAbgBWAEUARQBSAEcAXwA2AF8AMQBfADEAXwAxAF8AXwAyAF8AXwBNAGEAcwBzAE8AZgBOAGkAdAByAG8AZwBlAG4ASQBuAEMAcgBvAHAAUgBlAHMAaQBkAHUAZQBzAF8AQQByAGcAdQBtAGUAbgB0AHMAXwBNAGUAdABoAG8AZAAyAFwAbgAgACAAPQBMAEEATQBCAEQAQQAoAFwAbgAgACAAIAAgAE0AQQBLAEUAQQBSAFIAQQBZACgAMQAwACwAIAA0ACwAIABcAG4AIAAgACAAIAAgACAATABBAE0AQgBEAEEAKAByACwAYwAsACAAXABuACAAIAAgACAAIAAgACAAIABJAE4ARABFAFgAKAB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SAF8AQgBHAGMAXAAiACwAXAAiAGIAZQBsAG8AdwAgAGcAcgBvAHUAbgBkAC0AcgBlAHMAaQBkAHUAZQAgAHQAbwAgAGEAYgBvAHYAZQAgAGcAcgBvAHUAbgBkACAAcgBlAHMAaQBkAHUAZQAgAHIAYQB0AGkAbwAgAGYAbwByACAAYwByAG8AcAAgAGMAXAAiACwAIABcACIAXAAiACwAIABcACIAQwBvAG4AcwB0AGEAbgB0AFwAIgA7AFwAbgAgACAAIAAgACAAIAAgACAAIAAgAFwAIgBGAF8AYwBcACIALABcACIAZgByAGEAYwB0AGkAbwBuACAAbwBmACAAYwByAG8AcAAgAHIAZQBzAGkAZAB1AGUAIAB0AGgAYQB0ACAAaQBzACAAYgB1AHIAbgB0ACAAZgBvAHIAIABjAHIAbwBwACAAYwBcACIALAAgAFwAIgBmAHIAYQBjAHQAaQBvAG4AXAAiACwAIABcACIASQBuAHAAdQB0AFwAIgA7AFwAbgAgACAAIAAgACAAIAAgACAAIAAgAFwAIgBGAEYATwBEAF8AYwBcACIALABcACIAZgByAGEAYwB0AGkAbwBuACAAbwBmACAAdABoAGUAIABjAHIAbwBwACAAcgBlAHMAaQBkAHUAZQAgAHQAaABhAHQAIABpAHMAIAByAGUAbQBvAHYAZQBkACAAZgBvAHIAIABjAHIAbwBwACAAYwBcACIALAAgAFwAIgBmAHIAYQBjAHQAaQBvAG4AXAAiACwAIABcACIAQwBhAGwAYwB1AGwAYQB0AGUAZAAgAGYAcgBvAG0AIAA2AC4AMQAuADEALgAyACAAKAAxACkAXAAiADsAXABuACAAIAAgACAAIAAgACAAIAAgACAAXAAiAEQATQBfAGMAXAAiACwAXAAiAGQAcgB5ACAAbQBhAHQAdABlAHIAIABjAG8AbgB0AGUAbgB0ACAAbwBmACAAYwByAG8AcAAgAGMAXAAiACwAIABcACIAawBnACAAZAByAHkAIAB3AGUAaQBnAGgAdAAvAGsAZwAgAGMAcgBvAHAAIAByAGUAcwBpAGQAdQBlAFwAIgAsACAAXAAiAEMAbwBuAHMAdABhAG4AdABcACIAOwBcAG4AIAAgACAAIAAgACAAIAAgACAAIABcACIATgBDAF8AQQBHAGMAXAAiACwAXAAiAG4AaQB0AHIAbwBnAGUAbgAgAGMAbwBuAHQAZQBuAHQAIABvAGYAIABhAGIAbwB2AGUALQBnAHIAbwB1AG4AZAAgAGMAcgBvAHAAIAByAGUAcwBpAGQAdQBlACAAbwBmACAAYwByAG8AcAAgAGMAXAAiACwAIABcACIAawBnACAATgAvAGsAZwAgAEQATQBcACIALAAgAFwAIgBDAG8AbgBzAHQAYQBuAHQAXAAiADsAXABuACAAIAAgACAAIAAgACAAIAAgACAAXAAiAE4AQwBfAEIARwBjAFwAIgAsAFwAIgBuAGkAdAByAG8AZwBlAG4AIABjAG8AbgB0AGUAbgB0ACAAbwBmACAAYgBlAGwAbwB3AC0AZwByAG8AdQBuAGQAIABjAHIAbwBwACAAcgBlAHMAaQBkAHUAZQAgAG8AZgAgAGMAcgBvAHAAIABjAFwAIgAsACAAXAAiAGsAZwAgAE4ALwBrAGcAIABEAE0AXAAiACwAIABcACIAQwBvAG4AcwB0AGEAbgB0AFwAIgA7AFwAbgAgACAAIAAgACAAIAAgACAAIAAgAFwAIgBjAFwAIgAsAFwAIgBDAHIAbwBwACAAdAB5AHAAZQBcACIALAAgAFwAIgBcACIALAAgAFwAIgBJAG4AcAB1AHQAXAAiADsAXABuACAAIAAgACAAIAAgACAAIAAgACAAXAAiAFMAdABhAHQAZQBcACIALABcACIAUwB0AGEAdABlACAAbwByACAAdABlAHIAcgBpAHQAbwByAHk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EAXwAxAF8AMgBfAF8AMQBfAF8ARgByAGEAYwB0AGkAbwBuAE8AZgBDAHIAbwBwAFIAZQBzAGkAZAB1AGUAUgBlAG0AbwB2AGUAZABCAGEAbABlAGQAXABuAEYAcgBhAGMAdABpAG8AbgAgAG8AZgAgAGMAcgBvAHAAIAByAGUAcwBpAGQAdQBlACAAdABoAGEAdAAgAGkAcwAgAHIAZQBtAG8AdgBlAGQAIABmAG8AcgAgAGMAcgBvAHAAIABjACwAIABjAGEAbABjAHUAbABhAHQAZQBkACAAdwBoAGUAcgBlACAAcgBlAHMAaQBkAHUAZQBzACAAYQByAGUAIABiAGEAbABlAGQAXABuAEYARgBPAEQAYwBcAG4AZABpAG0AZQBuAHMAaQBvAG4AbABlAHMAcwBcAG4ARgBGAE8ARABfAHsAYwB9AD0AXABcAGYAcgBhAGMAewBCAFwAXAB0AGkAbQBlAHMAIABNAF8AewBCAH0AfQB7AFAAXwB7AGMAfQBcAFwAdABpAG0AZQBzACAAUgBfAHsAQQBHACwAYwB9AH0AXABuAEIAIAA9ACAAbgB1AG0AYgBlAHIAIABvAGYAIABiAGEAbABlAHMAIABnAGUAbgBlAHIAYQB0AGUAZAAgACgAbgB1AG0AYgBlAHIAKQBcAG4ATQBCACAAPQAgAG0AYQBzAHMAIABvAGYAIABlAGEAYwBoACAAYgBhAGwAZQAgACgAawBnACkAXABuAFAAYwAgAD0AIABhAG4AbgB1AGEAbAAgAHAAcgBvAGQAdQBjAHQAaQBvAG4AIABvAGYAIABjAHIAbwBwACAAYwAgACgAawBnACkAXABuAFIAQQBHAGMAIAA9ACAAcgBlAHMAaQBkAHUAZQAgAHQAbwAgAGMAcgBvAHAAIAByAGEAdABpAG8AIABmAG8AcgAgAGMAcgBvAHAAIABjACAAKABmAHIAYQBjAHQAaQBvAG4AKQBcAG4AYwAgAD0AIABDAHIAbwBwACAAdAB5AHAAZQBcAG4ALQAtAC0ALQAtAC0ALQAtAC0ALQAtAC0ALQAtAC0ALQAtAC0ALQAtAC0ALQAtAC0ALQAtAC0ALQAtAC0ALQAtAC0ALQAtAC0ALQAtAFwAbgAqAC8AXABuAFwAbgBWAEUARQBSAEcAXwA2AF8AMQBfADEAXwAyAF8AXwAxAF8AXwBGAHIAYQBjAHQAaQBvAG4ATwBmAEMAcgBvAHAAUgBlAHMAaQBkAHUAZQBSAGUAbQBvAHYAZQBkAEIAYQBsAGUAZABcAG4AIAAgAD0ATABBAE0AQgBEAEEAKABcAG4AIAAgACAAIABCACwAIABNAF8AQgAsACAAUABfAGMALAAgAFIAXwBBAEcAYwAsAFwAbgAgACAAIAAgAEkARgBFAFIAUgBPAFIAKAAoAEIAIAAqACAATQBfAEIAKQAgAC8AIAAoAFAAXwBjACAAKgAgAFIAXwBBAEcAYwApACwAIAAwACkAXABuACAAIAApAFwAbgA7AFwAbgBcAG4AVgBFAEUAUgBHAF8ANgBfADEAXwAxAF8AMgBfAF8AMQBfAF8ARgByAGEAYwB0AGkAbwBuAE8AZgBDAHIAbwBwAFIAZQBzAGkAZAB1AGUAUgBlAG0AbwB2AGUAZABCAGEAbABlAGQAXwBUAGkAdABsAGUAXABuACAAIAA9AEwAQQBNAEIARABBACgAXAAiAEYAcgBhAGMAdABpAG8AbgAgAG8AZgAgAGMAcgBvAHAAIAByAGUAcwBpAGQAdQBlACAAdABoAGEAdAAgAGkAcwAgAHIAZQBtAG8AdgBlAGQAIABmAG8AcgAgAGMAcgBvAHAAIABjACwAIABjAGEAbABjAHUAbABhAHQAZQBkACAAdwBoAGUAcgBlACAAcgBlAHMAaQBkAHUAZQBzACAAYQByAGUAIABiAGEAbABlAGQAXAAiACkAOwBcAG4AXABuAFYARQBFAFIARwBfADYAXwAxAF8AMQBfADIAXwBfADEAXwBfAEYAcgBhAGMAdABpAG8AbgBPAGYAQwByAG8AcABSAGUAcwBpAGQAdQBlAFIAZQBtAG8AdgBlAGQAQgBhAGwAZQBkAF8AVgBhAHIAaQBhAGIAbABlAFwAbgAgACAAPQBMAEEATQBCAEQAQQAoAFwAIgBGAEYATwBEAF8AYwBcACIAKQA7AFwAbgBcAG4AVgBFAEUAUgBHAF8ANgBfADEAXwAxAF8AMgBfAF8AMQBfAF8ARgByAGEAYwB0AGkAbwBuAE8AZgBDAHIAbwBwAFIAZQBzAGkAZAB1AGUAUgBlAG0AbwB2AGUAZABCAGEAbABlAGQAXwBVAG4AaQB0AFwAbgAgACAAPQBMAEEATQBCAEQAQQAoAFwAIgBmAHIAYQBjAHQAaQBvAG4AXAAiACkAOwBcAG4AXABuAFYARQBFAFIARwBfADYAXwAxAF8AMQBfADIAXwBfADEAXwBfAEYAcgBhAGMAdABpAG8AbgBPAGYAQwByAG8AcABSAGUAcwBpAGQAdQBlAFIAZQBtAG8AdgBlAGQAQgBhAGwAZQBkAF8AUwBvAHUAcgBjAGUAXABuACAAIAA9AEwAQQBNAEIARABBACgAXAAiAFYARQBFAFIARwAgADIAMAAyADYAOgAgADYALgAxAC4AMQAuADIALAAgAEUAcQB1AGEAdABpAG8AbgAgACgAMQApAFwAIgApADsAXABuAFwAbgBWAEUARQBSAEcAXwA2AF8AMQBfADEAXwAyAF8AXwAxAF8AXwBGAHIAYQBjAHQAaQBvAG4ATwBmAEMAcgBvAHAAUgBlAHMAaQBkAHUAZQBSAGUAbQBvAHYAZQBkAEIAYQBsAGUAZABfAE4ASQBSAFIAZQBmAGUAcgBlAG4AYwBlAFwAbgAgACAAPQBMAEEATQBCAEQAQQAoAFwAIgBcACIAKQA7AFwAbgBcAG4AVgBFAEUAUgBHAF8ANgBfADEAXwAxAF8AMgBfAF8AMQBfAF8ARgByAGEAYwB0AGkAbwBuAE8AZgBDAHIAbwBwAFIAZQBzAGkAZAB1AGUAUgBlAG0AbwB2AGUAZABCAGEAbABlAGQAXwBMAGEAdABlAHgARQBxAHUAYQB0AGkAbwBuAFwAbgAgACAAPQBMAEEATQBCAEQAQQAoAFwAIgBGAEYATwBEAF8AewBjAH0APQBcAFwAZgByAGEAYwB7AEIAXABcAHQAaQBtAGUAcwAgAE0AXwB7AEIAfQB9AHsAUABfAHsAYwB9AFwAXAB0AGkAbQBlAHMAIABSAF8AewBBAEcALABjAH0AfQBcACIAKQA7AFwAbgBcAG4AVgBFAEUAUgBHAF8ANgBfADEAXwAxAF8AMgBfAF8AMQBfAF8ARgByAGEAYwB0AGkAbwBuAE8AZgBDAHIAbwBwAFIAZQBzAGkAZAB1AGUAUgBlAG0AbwB2AGUAZABCAGEAbABlAGQAXwBBAHIAZwB1AG0AZQBuAHQAcwBcAG4AIAAgAD0ATABBAE0AQgBEAEEAKABcAG4AIAAgACAAIABNAEEASwBFAEEAUgBSAEEAWQAoADUALAAgADQALAAgAFwAbgAgACAAIAAgACAAIABMAEEATQBCAEQAQQAoAHIALABjACwAIABcAG4AIAAgACAAIAAgACAAIAAgAEkATgBEAEUAWAAoAHsAXABuACAAIAAgACAAIAAgACAAIAAgACAAXAAiAEIAXAAiACwAXAAiAG4AdQBtAGIAZQByACAAbwBmACAAYgBhAGwAZQBzACAAZwBlAG4AZQByAGEAdABlAGQAXAAiACwAIABcACIAXAAiACwAIABcACIASQBuAHAAdQB0AFwAIgA7AFwAbgAgACAAIAAgACAAIAAgACAAIAAgAFwAIgBNAF8AQgBcACIALABcACIAbQBhAHMAcwAgAG8AZgAgAGUAYQBjAGgAIABiAGEAbABlAFwAIgAsACAAXAAiAGsAZwBcACIALAAgAFwAIgBJAG4AcAB1AHQAXAAiAD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FYARQBFAFIARwBfADYAXwAxAF8AMQBfADIAXwBfADEAXwBfAEYAcgBhAGMAdABpAG8AbgBPAGYAQwByAG8AcABSAGUAcwBpAGQAdQBlAFIAZQBtAG8AdgBlAGQAQgBhAGwAZQBkAF8AVgBhAHIAaQBhAHQAaQBvAG4AXABuACAAIAA9AEwAQQBNAEIARABBACgAXAAiAFwAIgApADsAXABuAFwAbgBcAG4AXABuAC8AKgAgAFwAbgAtAC0ALQAtAC0ALQAtAC0ALQAtAC0ALQAtAC0ALQAtAC0ALQAtAC0ALQAtAC0ALQAtAC0ALQAtAC0ALQAtAC0ALQAtAC0ALQAtAC0AXABuAFYARQBFAFIARwBfADYAXwAxAF8AMQBfADIAXwBfADEAYQBfAF8ARgByAGEAYwB0AGkAbwBuAE8AZgBDAHIAbwBwAFIAZQBzAGkAZAB1AGUAUgBlAG0AbwB2AGUAZABcAG4ARgByAGEAYwB0AGkAbwBuACAAbwBmACAAYwByAG8AcAAgAHIAZQBzAGkAZAB1AGUAIAB0AGgAYQB0ACAAaQBzACAAcgBlAG0AbwB2AGUAZAAgAGYAbwByACAAYwByAG8AcAAgAGMAXABuAEYARgBPAEQAYwBcAG4AZABpAG0AZQBuAHMAaQBvAG4AbABlAHMAcwBcAG4AXABuAC0ALQAtAC0ALQAtAC0ALQAtAC0ALQAtAC0ALQAtAC0ALQAtAC0ALQAtAC0ALQAtAC0ALQAtAC0ALQAtAC0ALQAtAC0ALQAtAC0ALQBcAG4AKgAvAFwAbgBcAG4ALwAqAFwAbgBWAEUARQBSAEcAXwA2AF8AMQBfADEAXwAyAF8AXwAxAGEAXwBfAEYAcgBhAGMAdABpAG8AbgBPAGYAQwByAG8AcABSAGUAcwBpAGQAdQBlAFIAZQBtAG8AdgBlAGQAXABuACAAIAA9AEwAQQBNAEIARABBACgAXABuACAAIAAgACAARgBGAE8ARABfAGMAYgBhAGwAZQBkACwAIABGAEYATwBEAF8AYwBvAHQAaABlAHIALABcAG4AIAAgACAAIABGAEYATwBEAF8AYwBiAGEAbABlAGQAIAArACAARgBGAE8ARABfAGMAbwB0AGgAZQByAFwAbgAgACAAKQBcAG4AOwBcAG4AXABuAFYARQBFAFIARwBfADYAXwAxAF8AMQBfADIAXwBfADEAYQBfAF8ARgByAGEAYwB0AGkAbwBuAE8AZgBDAHIAbwBwAFIAZQBzAGkAZAB1AGUAUgBlAG0AbwB2AGUAZABfAFQAaQB0AGwAZQBcAG4AIAAgAD0ATABBAE0AQgBEAEEAKABcACIARgByAGEAYwB0AGkAbwBuACAAbwBmACAAYwByAG8AcAAgAHIAZQBzAGkAZAB1AGUAIAB0AGgAYQB0ACAAaQBzACAAcgBlAG0AbwB2AGUAZAAgAGYAbwByACAAYwByAG8AcAAgAGMAXAAiACkAOwBcAG4AXABuAFYARQBFAFIARwBfADYAXwAxAF8AMQBfADIAXwBfADEAYQBfAF8ARgByAGEAYwB0AGkAbwBuAE8AZgBDAHIAbwBwAFIAZQBzAGkAZAB1AGUAUgBlAG0AbwB2AGUAZABfAFYAYQByAGkAYQBiAGwAZQBcAG4AIAAgAD0ATABBAE0AQgBEAEEAKABcACIARgBGAE8ARABfAGMAXAAiACkAOwBcAG4AXABuAFYARQBFAFIARwBfADYAXwAxAF8AMQBfADIAXwBfADEAYQBfAF8ARgByAGEAYwB0AGkAbwBuAE8AZgBDAHIAbwBwAFIAZQBzAGkAZAB1AGUAUgBlAG0AbwB2AGUAZABfAFUAbgBpAHQAXABuACAAIAA9AEwAQQBNAEIARABBACgAXAAiAGQAaQBtAGUAbgBzAGkAbwBuAGwAZQBzAHMAXAAiACkAOwBcAG4AXABuAFYARQBFAFIARwBfADYAXwAxAF8AMQBfADIAXwBfADEAYQBfAF8ARgByAGEAYwB0AGkAbwBuAE8AZgBDAHIAbwBwAFIAZQBzAGkAZAB1AGUAUgBlAG0AbwB2AGUAZABfAFMAbwB1AHIAYwBlAFwAbgAgACAAPQBMAEEATQBCAEQAQQAoAFwAIgBcACIAKQA7AFwAbgBcAG4AVgBFAEUAUgBHAF8ANgBfADEAXwAxAF8AMgBfAF8AMQBhAF8AXwBGAHIAYQBjAHQAaQBvAG4ATwBmAEMAcgBvAHAAUgBlAHMAaQBkAHUAZQBSAGUAbQBvAHYAZQBkAF8ATgBJAFIAUgBlAGYAZQByAGUAbgBjAGUAXABuACAAIAA9AEwAQQBNAEIARABBACgAXAAiAFwAIgApADsAXABuAFwAbgBWAEUARQBSAEcAXwA2AF8AMQBfADEAXwAyAF8AXwAxAGEAXwBfAEYAcgBhAGMAdABpAG8AbgBPAGYAQwByAG8AcABSAGUAcwBpAGQAdQBlAFIAZQBtAG8AdgBlAGQAXwBMAGEAdABlAHgARQBxAHUAYQB0AGkAbwBuAFwAbgAgACAAPQBMAEEATQBCAEQAQQAoAFwAIgBGAEYATwBEAF8AewBjAH0AIAA9ACAARgBGAE8ARABfAHsAYwAsAGIAYQBsAGUAZAB9ACAAKwAgAEYARgBPAEQAXwB7AGMALABvAHQAaABlAHIAfQBcACIAKQA7AFwAbgBcAG4AVgBFAEUAUgBHAF8ANgBfADEAXwAxAF8AMgBfAF8AMQBhAF8AXwBGAHIAYQBjAHQAaQBvAG4ATwBmAEMAcgBvAHAAUgBlAHMAaQBkAHUAZQBSAGUAbQBvAHYAZQBkAF8AQQByAGcAdQBtAGUAbgB0AHMAXABuACAAIAA9AEwAQQBNAEIARABBACgAXABuACAAIAAgACAATQBBAEsARQBBAFIAUgBBAFkAKAAyACwAIAA0ACwAIABcAG4AIAAgACAAIAAgACAATABBAE0AQgBEAEEAKAByACwAYwAsACAAXABuACAAIAAgACAAIAAgACAAIABJAE4ARABFAFgAKAB7AFwAbgAgACAAIAAgACAAIAAgACAAIAAgAFwAIgBGAEYATwBEAF8AYwBiAGEAbABlAGQAXAAiACwAXAAiAEYAcgBhAGMAdABpAG8AbgAgAG8AZgAgAGMAcgBvAHAAIAByAGUAcwBpAGQAdQBlACAAdABoAGEAdAAgAGkAcwAgAHIAZQBtAG8AdgBlAGQAIABmAG8AcgAgAGMAcgBvAHAAIABjACwAIABjAGEAbABjAHUAbABhAHQAZQBkACAAdwBoAGUAcgBlACAAcgBlAHMAaQBkAHUAZQBzACAAYQByAGUAIABiAGEAbABlAGQAXAAiACwAIABcACIAZgByAGEAYwB0AGkAbwBuAFwAIgAsACAAXAAiAEMAYQBsAGMAdQBsAGEAdABlAGQAIABmAHIAbwBtACAANgAuADEALgAxAC4AMgAsACAAKAAxACkAXAAiADsAXABuACAAIAAgACAAIAAgACAAIAAgACAAXAAiAEYARgBPAEQAXwBjAG8AdABoAGUAcgBcACIALABcACIARgByAGEAYwB0AGkAbwBuACAAbwBmACAAYwByAG8AcAAgAHIAZQBzAGkAZAB1AGUAIAB0AGgAYQB0ACAAaQBzACAAcgBlAG0AbwB2AGUAZAAgAGYAbwByACAAYwByAG8AcAAgAGMALAAgAGMAYQBsAGMAdQBsAGEAdABlAGQAIAB3AGgAZQByAGUAIAByAGUAcwBpAGQAdQBlAHMAIABhAHIAZQAgAHIAZQBtAG8AdgBlAGQAIABiAHkAIABvAHQAaABlAHIAIABtAGUAYQBuAHMAXAAiACwAIABcACIAZgByAGEAYwB0AGkAbwBuAFwAIgAsACAAXAAiAEkAbgBwAHUAdABcACIAXABuACAAIAAgACAAIAAgACAAIAB9ACwAIAByACwAIABjACkAXABuACAAIAAgACAAIAAgACkAXABuACAAIAAgACAAKQBcAG4AIAAgACkAOwBcAG4AXABuAFYARQBFAFIARwBfADYAXwAxAF8AMQBfADIAXwBfADEAYQBfAF8ARgByAGEAYwB0AGkAbwBuAE8AZgBDAHIAbwBwAFIAZQBzAGkAZAB1AGUAUgBlAG0AbwB2AGUAZABfAFYAYQByAGkAYQB0AGkAbwBuAFwAbgAgACAAPQBMAEEATQBCAEQAQQAoAFwAIgBWAEEAUgBJAEEAVABJAE8ATgAgAEYAUgBPAE0AIABTAE8AVQBSAEMARQA6ACAAQQBkAGQAZQBkACAAdABoAGkAcwAgAGUAcQB1AGEAdABpAG8AbgAgAHQAbwAgAGEAYwBjAG8AbQBtAG8AZABhAHQAZQAgAHUAcwBlAHIALQBkAGUAZgBpAG4AZQBkACAAcgBlAHMAaQBkAHUAZQAgAHIAZQBtAG8AdgBhAGwAIABvAHQAaABlAHIAIAB0AGgAYQBuACAAYgBhAGwAaQBuAGcALgBcACIAKQA7AFwAbgAgACAAKgAvACIAfQAsAHsAIgBwAGEAdABoACIAOgAiAC8AcAByAG8AagBlAGMAdABzAC8AQQBnAFIAZQBzAGkAZAB1AGUAXwBFAHEAdQBhAHQAaQBvAG4AcwBfAFAAYQBzAHQAdQByAGUAUgBlAHMAaQBkAHUAZQAiACwAIgB0AGUAeAB0ACIAOgAiAC8AKgAgAFwAbgAtAC0ALQAtAC0ALQAtAC0ALQAtAC0ALQAtAC0ALQAtAC0ALQAtAC0ALQAtAC0ALQAtAC0ALQAtAC0ALQAtAC0ALQAtAC0ALQAtAC0AXABuAFYARQBFAFIARwBfADYAXwAyAF8AMQBfADEAXwBfADEAXwBfAE4AaQB0AHIAbwB1AHMATwB4AGkAZABlAEUAbQBpAHMAcwBpAG8AbgBzAEYAcgBvAG0AUABhAHMAdAB1AHIAZQBSAGUAcwBpAGQAdQBlAHMAXABuAE4AaQB0AHIAbwB1AHMAIABvAHgAaQBkAGUAIABlAG0AaQBzAHMAaQBvAG4AcwAgAGYAcgBvAG0AIAB0AGgAZQAgAHIAZQB0AHUAcgBuACAAbwBmACAAcABhAHMAdAB1AHIAZQAgAHIAZQBzAGkAZAB1AGUAcwAgAGYAcgBvAG0AIABhAGwAbAAgAHAAYQBzAHQAdQByAGUAIAB0AHkAcABlAHMAIAB0AG8AIAB0AGgAZQAgAHMAbwBpAGwAXABuAEUATgAyAE8AXABuAHQAIABOADIATwBcAG4ARQBfAHsATgAyAE8AfQA9AFwAXABzAHUAbQBfAHsAcAB9AFwAXABsAGUAZgB0ACgATQBfAHAAXABcAHQAaQBtAGUAcwAgAEUARgBfAHsATgBpAH0AXABcAHQAaQBtAGUAcwAgAEMAXwB7AE4AMgBPAH0AXABcAHQAaQBtAGUAcwB7ADEAMAB9AF4AewAtADMAfQBcAFwAcgBpAGcAaAB0ACkAXABuAE0AcAAgAD0AIABtAGEAcwBzACAAbwBmACAAbgBpAHQAcgBvAGcAZQBuACAAaQBuACAAcABhAHMAdAB1AHIAZQAgAHAAIAByAGUAcwBpAGQAdQBlAHMAIAByAGUAdAB1AHIAbgBlAGQAIAB0AG8AIAB0AGgAZQAgAHMAbwBpAGwAIAAoAGsAZwAgAE4AKQBcAG4ARQBGAE4AaQAgAD0AIABlAG0AaQBzAHMAaQBvAG4AIABmAGEAYwB0AG8AcgAgAGYAbwByACAAYwByAG8AcAAgAHIAZQBzAGkAZAB1AGUAcwAgAHIAZQB0AHUAcgBuAGUAZAAgAHQAbwAgAHQAaABlACAAcwBvAGkAbAAgAGkAbgAgAGMAbABpAG0AYQB0AGUAIAB6AG8AbgBlACAAaQ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cAAgAD0AIABQAGEAcwB0AHUAcgBlACAAdAB5AHAAZQBcAG4AaQAgAD0AIABDAGwAaQBtAGEAdABlACAAegBvAG4AZQBcAG4ALQAtAC0ALQAtAC0ALQAtAC0ALQAtAC0ALQAtAC0ALQAtAC0ALQAtAC0ALQAtAC0ALQAtAC0ALQAtAC0ALQAtAC0ALQAtAC0ALQAtAFwAbgAqAC8AXABuAFwAbgBWAEUARQBSAEcAXwA2AF8AMgBfADEAXwAxAF8AXwAxAF8AXwBOAGkAdAByAG8AdQBzAE8AeABpAGQAZQBFAG0AaQBzAHMAaQBvAG4AcwBGAHIAbwBtAFAAYQBzAHQAdQByAGUAUgBlAHMAaQBkAHUAZQBzAFwAbgAgACAAPQBMAEEATQBCAEQAQQAoAFwAbgAgACAAIAAgAE0AXwBwACwAIABFAEYAXwBOAGkALAAgAEMAXwBOADIATwAsAFwAbgAgACAAIAAgACgATQBfAHAAIAAqACAARQBGAF8ATgBpACkAIAAqACAAQwBfAE4AMgBPACAAKgAgADEAMABeACgALQAzACkAXABuACAAIAApADsAXABuAFwAbgBWAEUARQBSAEcAXwA2AF8AMgBfADEAXwAxAF8AXwAxAF8AXwBOAGkAdAByAG8AdQBzAE8AeABpAGQAZQBFAG0AaQBzAHMAaQBvAG4AcwBGAHIAbwBtAFAAYQBzAHQAdQByAGUAUgBlAHMAaQBkAHUAZQBzAF8AVABpAHQAbABlAFwAbgAgACAAPQBMAEEATQBCAEQAQQAoAFwAIgBOAGkAdAByAG8AdQBzACAAbwB4AGkAZABlACAAZQBtAGkAcwBzAGkAbwBuAHMAIABmAHIAbwBtACAAdABoAGUAIAByAGUAdAB1AHIAbgAgAG8AZgAgAHAAYQBzAHQAdQByAGUAIAByAGUAcwBpAGQAdQBlAHMAIABmAHIAbwBtACAAYQBsAGwAIABwAGEAcwB0AHUAcgBlACAAdAB5AHAAZQBzACAAdABvACAAdABoAGUAIABzAG8AaQBsAFwAIgApADsAXABuAFwAbgBWAEUARQBSAEcAXwA2AF8AMgBfADEAXwAxAF8AXwAxAF8AXwBOAGkAdAByAG8AdQBzAE8AeABpAGQAZQBFAG0AaQBzAHMAaQBvAG4AcwBGAHIAbwBtAFAAYQBzAHQAdQByAGUAUgBlAHMAaQBkAHUAZQBzAF8AVgBhAHIAaQBhAGIAbABlAFwAbgAgACAAPQBMAEEATQBCAEQAQQAoAFwAIgBFAE4AMgBPAFwAIgApADsAXABuAFwAbgBWAEUARQBSAEcAXwA2AF8AMgBfADEAXwAxAF8AXwAxAF8AXwBOAGkAdAByAG8AdQBzAE8AeABpAGQAZQBFAG0AaQBzAHMAaQBvAG4AcwBGAHIAbwBtAFAAYQBzAHQAdQByAGUAUgBlAHMAaQBkAHUAZQBzAF8AVQBuAGkAdABcAG4AIAAgAD0ATABBAE0AQgBEAEEAKABcACIAdAAgAE4AMgBPAFwAIgApADsAXABuAFwAbgBWAEUARQBSAEcAXwA2AF8AMgBfADEAXwAxAF8AXwAxAF8AXwBOAGkAdAByAG8AdQBzAE8AeABpAGQAZQBFAG0AaQBzAHMAaQBvAG4AcwBGAHIAbwBtAFAAYQBzAHQAdQByAGUAUgBlAHMAaQBkAHUAZQBzAF8AUwBvAHUAcgBjAGUAXABuACAAIAA9AEwAQQBNAEIARABBACgAXAAiAFYARQBFAFIARwAgADIAMAAyADYAOgAgADYALgAyAC4AMQAuADEALAAgAEUAcQB1AGEAdABpAG8AbgAgACgAMQApAFwAIgApADsAXABuAFwAbgBWAEUARQBSAEcAXwA2AF8AMgBfADEAXwAxAF8AXwAxAF8AXwBOAGkAdAByAG8AdQBzAE8AeABpAGQAZQBFAG0AaQBzAHMAaQBvAG4AcwBGAHIAbwBtAFAAYQBzAHQAdQByAGUAUgBlAHMAaQBkAHUAZQBzAF8ATgBJAFIAUgBlAGYAZQByAGUAbgBjAGUAXABuACAAIAA9AEwAQQBNAEIARABBACgAXAAiAFwAIgApADsAXABuAFwAbgBWAEUARQBSAEcAXwA2AF8AMgBfADEAXwAxAF8AXwAxAF8AXwBOAGkAdAByAG8AdQBzAE8AeABpAGQAZQBFAG0AaQBzAHMAaQBvAG4AcwBGAHIAbwBtAFAAYQBzAHQAdQByAGUAUgBlAHMAaQBkAHUAZQBzAF8ATABhAHQAZQB4AEUAcQB1AGEAdABpAG8AbgBcAG4AIAAgAD0ATABBAE0AQgBEAEEAKABcACIARQBfAHsATgAyAE8AfQA9AFwAXABzAHUAbQBcAFwAbgBvAGwAaQBtAGkAdABzAF8AcABcAFwAbABlAGYAdAAoAE0AXwBwAFwAXAB0AGkAbQBlAHMAIABFAEYAXwB7AE4AaQB9AFwAXAByAGkAZwBoAHQAKQBcAFwAdABpAG0AZQBzACAAQwBfAHsATgAyAE8AfQBcAFwAdABpAG0AZQBzAHsAMQAwAH0AXgB7AC0AMwB9AFwAIgApADsAXABuAFwAbgBWAEUARQBSAEcAXwA2AF8AMgBfADEAXwAxAF8AXwAxAF8AXwBOAGkAdAByAG8AdQBzAE8AeABpAGQAZQBFAG0AaQBzAHMAaQBvAG4AcwBGAHIAbwBtAFAAYQBzAHQAdQByAGUAUgBlAHMAaQBkAHUAZQBzAF8AQQByAGcAdQBtAGUAbgB0AHMAXABuACAAIAA9AEwAQQBNAEIARABBACgAXABuACAAIAAgACAATQBBAEsARQBBAFIAUgBBAFkAKAA1ACwAIAA0ACwAIABcAG4AIAAgACAAIAAgACAATABBAE0AQgBEAEEAKAByACwAYwAsACAAXABuACAAIAAgACAAIAAgACAAIABJAE4ARABFAFgAKAB7AFwAbgAgACAAIAAgACAAIAAgACAAIAAgAFwAIgBNAF8AcABcACIALABcACIAbQBhAHMAcwAgAG8AZgAgAG4AaQB0AHIAbwBnAGUAbgAgAGkAbgAgAHAAYQBzAHQAdQByAGUAIABwACAAcgBlAHMAaQBkAHUAZQBzACAAcgBlAHQAdQByAG4AZQBkACAAdABvACAAdABoAGUAIABzAG8AaQBsAFwAIgAsACAAXAAiAGsAZwAgAE4AXAAiACwAIABcACIAQwBhAGwAYwB1AGwAYQB0AGUAZAAgAGYAcgBvAG0AIAA2AC4AMgAuADEALgAxACAAKAAyACkAXAAiADsAXABuACAAIAAgACAAIAAgACAAIAAgACAAXAAiAEUARgBfAE4AaQBcACIALABcACIAZQBtAGkAcwBzAGkAbwBuACAAZgBhAGMAdABvAHIAIABmAG8AcgAgAGMAcgBvAHAAIAByAGUAcwBpAGQAdQBlAHMAIAByAGUAdAB1AHIAbgBlAGQAIAB0AG8AIAB0AGgAZQAgAHMAbwBpAGwAIABpAG4AIABjAGwAaQBtAGEAdABlACAAegBvAG4AZQAgAGk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cABcACIALABcACIAUABhAHMAdAB1AHIAZQAgAHQAeQBwAGU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IAXwAxAF8AMQBfAF8AMgBfAF8ATQBhAHMAcwBPAGYATgBpAHQAcgBvAGcAZQBuAEkAbgBQAGEAcwB0AHUAcgBlAFIAZQBzAGkAZAB1AGUAcwBcAG4ATQBhAHMAcwAgAG8AZgAgAG4AaQB0AHIAbwBnAGUAbgAgAGkAbgAgAHAAYQBzAHQAdQByAGUAIAByAGUAcwBpAGQAdQBlAHMAIAByAGUAdAB1AHIAbgBlAGQAIAB0AG8AIAB0AGgAZQAgAHMAbwBpAGwAXABuAE0AcABcAG4AawBnACAATgBcAG4ATQBfAHAAIAA9ACAAKABBAF8AcAAgANcAKABZAF8AcAAgAFwAXAB0AGkAbQBlAHMAIAAxADAAXgB7AC0AMwB9ACkAIABcAFwAdABpAG0AZQBzACAAKAAxAC0AIABGAEYATwBEAF8AcAApACAAXABcAHQAaQBtAGUAcwAgAE4AQwBfAHsAQQBHAHAAfQApACAAKwAgACgAQQBfAHAAIABcAFwAdABpAG0AZQBzACAAKABZAF8AcAAgAFwAXAB0AGkAbQBlAHMAIAAxADAAXgB7AC0AMwB9ACkAXABcAHQAaQBtAGUAcwAgAFIAXwB7AEIARwBwAH0AIABcAFwAdABpAG0AZQBzACAATgBDAF8AewBCAEcAcAB9ACkAXABuAEEAXwBwACAAPQAgAGEAcgBlAGEAIABvAGYAIABwAGEAcwB0AHUAcgBlACAAcgBlAG4AZQB3AGUAZAAgAG8AcgAgAHIAZQBtAG8AdgBlAGQAIAAoAGgAYQApAFwAbgBZAHAAIAA9ACAAYQB2AGUAcgBhAGcAZQAgAHkAaQBlAGwAZAAgAG8AZgAgAHAAYQBzAHQAdQByAGUAIABjAHIAbwBwACAAKAB0ACAARABNAC8AaABhACkAXABuAE4AQwBBAEcAcAAgAD0AIABOACAAYwBvAG4AdABlAG4AdAAgAG8AZgAgAGEAYgBvAHYAZQAtAGcAcgBvAHUAbgBkACAAcABhAHMAdAB1AHIAZQAgAHIAZQBzAGkAZAB1AGUAIAAoAGsAZwAgAE4ALwBrAGcAIABEAE0AKQBcAG4AUgBfAEIARwBwACAAPQAgAGIAZQBsAG8AdwAtAGcAcgBvAHUAbgBkACAAcgBlAHMAaQBkAHUAZQAgAHQAbwAgAGEAYgBvAHYAZQAtAGcAcgBvAHUAbgBkACAAcgBlAHMAaQBkAHUAZQAgAHIAYQB0AGkAbwAgAGYAbwByACAAcABhAHMAdAB1AHIAZQAgAGMAcgBvAHAAIAAoAGQAaQBtAGUAbgBzAGkAbwBuAGwAZQBzAHMAKQBcAG4ATgBDAF8AQgBHAHAAIAA9ACAATgAgAGMAbwBuAHQAZQBuAHQAIABvAGYAIABiAGUAbABvAHcALQBnAHIAbwB1AG4AZAAgAHAAYQBzAHQAdQByAGUAIABjAHIAbwBwACAAcgBlAHMAaQBkAHUAZQAgACgAawBnACAATgAvAGsAZwAgAEQATQApAFwAbgBGAEYATwBEAHAAIAA9ACAAZgByAGEAYwB0AGkAbwBuACAAbwBmACAAcABhAHMAdAB1AHIAZQAgAHkAaQBlAGwAZAAgAHQAaABhAHQAIABpAHMAIAByAGUAbQBvAHYAZQBkACAAKABkAGkAbQBlAG4AcwBpAG8AbgBsAGUAcwBzACkAXABuAHAAIAA9ACAAUABhAHMAdAB1AHIAZQAgAHQAeQBwAGUAXABuAC0ALQAtAC0ALQAtAC0ALQAtAC0ALQAtAC0ALQAtAC0ALQAtAC0ALQAtAC0ALQAtAC0ALQAtAC0ALQAtAC0ALQAtAC0ALQAtAC0ALQBcAG4AKgAvAFwAbgBcAG4AVgBFAEUAUgBHAF8ANgBfADIAXwAxAF8AMQBfAF8AMgBfAF8ATQBhAHMAcwBPAGYATgBpAHQAcgBvAGcAZQBuAEkAbgBQAGEAcwB0AHUAcgBlAFIAZQBzAGkAZAB1AGUAcwBcAG4AIAAgAD0ATABBAE0AQgBEAEEAKABcAG4AIAAgACAAIABBAF8AcAAsACAAWQBfAHAALAAgAEYARgBPAEQAXwBwACwAIABOAEMAXwBBAEcAcAAsACAAUgBfAEIARwBwACwAIABOAEMAXwBCAEcAcAAsAFwAbgAgACAAIAAgACgAQQBfAHAAIAAqACAAKABZAF8AcAAgACoAIAAxADAAXgAoAC0AMwApACkAIAAqACAAKAAxACAALQAgAEYARgBPAEQAXwBwACkAIAAqACAATgBDAF8AQQBHAHAAKQAgACsAIAAoAEEAXwBwACAAKgAgACgAWQBfAHAAIAAqACAAMQAwAF4AKAAtADMAKQApACAAKgAgAFIAXwBCAEcAcAAgACoAIABOAEMAXwBCAEcAcAApAFwAbgAgACAAKQA7AFwAbgBcAG4AVgBFAEUAUgBHAF8ANgBfADIAXwAxAF8AMQBfAF8AMgBfAF8ATQBhAHMAcwBPAGYATgBpAHQAcgBvAGcAZQBuAEkAbgBQAGEAcwB0AHUAcgBlAFIAZQBzAGkAZAB1AGUAcwBfAFQAaQB0AGwAZQBcAG4AIAAgAD0ATABBAE0AQgBEAEEAKABcACIATQBhAHMAcwAgAG8AZgAgAG4AaQB0AHIAbwBnAGUAbgAgAGkAbgAgAHAAYQBzAHQAdQByAGUAIAByAGUAcwBpAGQAdQBlAHMAIAByAGUAdAB1AHIAbgBlAGQAIAB0AG8AIAB0AGgAZQAgAHMAbwBpAGwAXAAiACkAOwBcAG4AXABuAFYARQBFAFIARwBfADYAXwAyAF8AMQBfADEAXwBfADIAXwBfAE0AYQBzAHMATwBmAE4AaQB0AHIAbwBnAGUAbgBJAG4AUABhAHMAdAB1AHIAZQBSAGUAcwBpAGQAdQBlAHMAXwBWAGEAcgBpAGEAYgBsAGUAXABuACAAIAA9AEwAQQBNAEIARABBACgAXAAiAE0AcABcACIAKQA7AFwAbgBcAG4AVgBFAEUAUgBHAF8ANgBfADIAXwAxAF8AMQBfAF8AMgBfAF8ATQBhAHMAcwBPAGYATgBpAHQAcgBvAGcAZQBuAEkAbgBQAGEAcwB0AHUAcgBlAFIAZQBzAGkAZAB1AGUAcwBfAFUAbgBpAHQAXABuACAAIAA9AEwAQQBNAEIARABBACgAXAAiAGsAZwAgAE4AXAAiACkAOwBcAG4AXABuAFYARQBFAFIARwBfADYAXwAyAF8AMQBfADEAXwBfADIAXwBfAE0AYQBzAHMATwBmAE4AaQB0AHIAbwBnAGUAbgBJAG4AUABhAHMAdAB1AHIAZQBSAGUAcwBpAGQAdQBlAHMAXwBTAG8AdQByAGMAZQBcAG4AIAAgAD0ATABBAE0AQgBEAEEAKABcACIAVgBFAEUAUgBHACAAMgAwADIANgA6ACAANgAuADIALgAxAC4AMQAsACAARQBxAHUAYQB0AGkAbwBuACAAKAAyACkAXAAiACkAOwBcAG4AXABuAFYARQBFAFIARwBfADYAXwAyAF8AMQBfADEAXwBfADIAXwBfAE0AYQBzAHMATwBmAE4AaQB0AHIAbwBnAGUAbgBJAG4AUABhAHMAdAB1AHIAZQBSAGUAcwBpAGQAdQBlAHMAXwBOAEkAUgBSAGUAZgBlAHIAZQBuAGMAZQBcAG4AIAAgAD0ATABBAE0AQgBEAEEAKABcACIAXAAiACkAOwBcAG4AXABuAFYARQBFAFIARwBfADYAXwAyAF8AMQBfADEAXwBfADIAXwBfAE0AYQBzAHMATwBmAE4AaQB0AHIAbwBnAGUAbgBJAG4AUABhAHMAdAB1AHIAZQBSAGUAcwBpAGQAdQBlAHMAXwBMAGEAdABlAHgARQBxAHUAYQB0AGkAbwBuAFwAbgAgACAAPQBMAEEATQBCAEQAQQAoAFwAIgBNAF8AcAAgAD0AIAAoAEEAXwBwACAAXABcAHQAaQBtAGUAcwAg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IgApADsAXABuAFwAbgBWAEUARQBSAEcAXwA2AF8AMgBfADEAXwAxAF8AXwAyAF8AXwBNAGEAcwBzAE8AZgBOAGkAdAByAG8AZwBlAG4ASQBuAFAAYQBzAHQAdQByAGUAUgBlAHMAaQBkAHUAZQBzAF8AQQByAGcAdQBtAGUAbgB0AHM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QwBvAG4AcwB0AGEAbg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mAHIAYQBjAHQAaQBvAG4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VgBFAEUAUgBHAF8ANgBfADIAXwAxAF8AMQBfAF8AMgBfAF8ATQBhAHMAcwBPAGYATgBpAHQAcgBvAGcAZQBuAEkAbgBQAGEAcwB0AHUAcgBlAFIAZQBzAGkAZAB1AGUAcwBfAEEAcgBnAHUAbQBlAG4AdABzAF8ATQBlAHQAaABvAGQAMgBcAG4AIAAgAD0ATABBAE0AQgBEAEEAKABcAG4AIAAgACAAIABNAEEASwBFAEEAUgBSAEEAWQAoADcALAAgADQALAAgAFwAbgAgACAAIAAgACAAIABMAEEATQBCAEQAQQAoAHIALABjACwAIABcAG4AIAAgACAAIAAgACAAIAAgAEkATgBEAEUAWAAoAHsAXABuACAAIAAgACAAIAAgACAAIAAgACAAXAAiAEEAXwBwAFwAIgAsAFwAIgBhAHIAZQBhACAAbwBmACAAcABhAHMAdAB1AHIAZQAgAHIAZQBuAGUAdwBlAGQAIABvAHIAIAByAGUAbQBvAHYAZQBkAFwAIgAsACAAXAAiAGgAYQBcACIALAAgAFwAIgBJAG4AcAB1AHQAXAAiADsAXABuACAAIAAgACAAIAAgACAAIAAgACAAXAAiAFkAXwBwAFwAIgAsAFwAIgBhAHYAZQByAGEAZwBlACAAeQBpAGUAbABkACAAbwBmACAAcABhAHMAdAB1AHIAZQAgAGMAcgBvAHAAXAAiACwAIABcACIAdAAgAEQATQAvAGgAYQBcACIALAAgAFwAIgBJAG4AcAB1AHQAXAAiADsAXABuACAAIAAgACAAIAAgACAAIAAgACAAXAAiAE4AQwBfAEEARwBwAFwAIgAsAFwAIgBOACAAYwBvAG4AdABlAG4AdAAgAG8AZgAgAGEAYgBvAHYAZQAtAGcAcgBvAHUAbgBkACAAcABhAHMAdAB1AHIAZQAgAHIAZQBzAGkAZAB1AGUAXAAiACwAIABcACIAawBnACAATgAvAGsAZwAgAEQATQBcACIALAAgAFwAIgBDAG8AbgBzAHQAYQBuAHQAXAAiADsAXABuACAAIAAgACAAIAAgACAAIAAgACAAXAAiAFIAXwBCAEcAcABcACIALABcACIAYgBlAGwAbwB3AC0AZwByAG8AdQBuAGQAIAByAGUAcwBpAGQAdQBlACAAdABvACAAYQBiAG8AdgBlAC0AZwByAG8AdQBuAGQAIAByAGUAcwBpAGQAdQBlACAAcgBhAHQAaQBvACAAZgBvAHIAIABwAGEAcwB0AHUAcgBlACAAYwByAG8AcABcACIALAAgAFwAIgBcACIALAAgAFwAIgBDAG8AbgBzAHQAYQBuAHQAXAAiADsAXABuACAAIAAgACAAIAAgACAAIAAgACAAXAAiAE4AQwBfAEIARwBwAFwAIgAsAFwAIgBOACAAYwBvAG4AdABlAG4AdAAgAG8AZgAgAGIAZQBsAG8AdwAtAGcAcgBvAHUAbgBkACAAcABhAHMAdAB1AHIAZQAgAGMAcgBvAHAAIAByAGUAcwBpAGQAdQBlAFwAIgAsACAAXAAiAGsAZwAgAE4ALwBrAGcAIABEAE0AXAAiACwAIABcACIAQwBvAG4AcwB0AGEAbgB0AFwAIgA7AFwAbgAgACAAIAAgACAAIAAgACAAIAAgAFwAIgBGAEYATwBEAF8AcABcACIALABcACIAZgByAGEAYwB0AGkAbwBuACAAbwBmACAAcABhAHMAdAB1AHIAZQAgAHkAaQBlAGwAZAAgAHQAaABhAHQAIABpAHMAIAByAGUAbQBvAHYAZQBkAFwAIgAsACAAXAAiAGYAcgBhAGMAdABpAG8AbgBcACIALAAgAFwAIgBDAG8AbgBzAHQAYQBuAHQAXAAiADsAXABuACAAIAAgACAAIAAgACAAIAAgACAAXAAiAHAAXAAiACwAXAAiAFAAYQBzAHQAdQByAGUAIAB0AHkAcABlAFwAIgAsACAAXAAiAFwAIgAsACAAXAAiAEkAbgBwAHUAdABcACIAXABuACAAIAAgACAAIAAgACAAIAB9ACwAIAByACwAIABjACkAXABuACAAIAAgACAAIAAgACkAXABuACAAIAAgACAAKQBcAG4AIAAgACkAOwBcAG4AXABuAFwAbgBcAG4AXABuACIAfQAsAHsAIgBwAGEAdABoACIAOgAiAC8AcAByAG8AagBlAGMAdABzAC8AQQBnAFIAZQBzAGkAZAB1AGUAXwBFAHEAdQBhAHQAaQBvAG4AcwBfAEwAZQBhAGMAaABpAG4AZwAiACwAIgB0AGUAeAB0ACIAOgAiAC8AKgAgAFwAbgAtAC0ALQAtAC0ALQAtAC0ALQAtAC0ALQAtAC0ALQAtAC0ALQAtAC0ALQAtAC0ALQAtAC0ALQAtAC0ALQAtAC0ALQAtAC0ALQAtAC0AXABuAFYARQBFAFIARwBfADYAXwAzAF8AMQBfADEAXwBfADEAXwBfAEwAZQBhAGMAaABpAG4AZwBBAG4AZABSAHUAbgBvAGYAZgBFAG0AaQBzAHMAaQBvAG4AcwBDAHIAbwBwAEEAbgBkAFAAYQBzAHQAdQByAGUAUgBlAHMAaQBkAHUAZQBcAG4ATgBpAHQAcgBvAHUAcwAgAG8AeABpAGQAZQAgAGwAZQBhAGMAaABpAG4AZwAgAGEAbgBkACAAcgB1AG4AbwBmAGYAIABlAG0AaQBzAHMAaQBvAG4AcwAgAGYAcgBvAG0AIABjAHIAbwBwACAAYQBuAGQAIABwAGEAcwB0AHUAcgBlACAAcgBlAHMAaQBkAHUAZQBzACAAcgBlAHQAdQByAG4AZQBkACAAdABvACAAdABoAGUAIABzAG8AaQBsACwAIABhAGMAcgBvAHMAcwAgAGEAbABsACAAYwByAG8AcAAgAHIAZQBzAGkAZAB1AGUAcwAgAGMAIABhAG4AZAAgAHAAYQBzAHQAdQByAGUAIAByAGUAcwBpAGQAdQBlAHMAIABwAFwAbgBFAE4AMgBPAFwAbgB0ACAATgAyAE8AXABuAEUAXwB7AE4AMgBPAH0APQBcAFwAcwB1AG0AXwB7AGMAfQBcAFwAcwB1AG0AXwB7AHAAfQAoAE0AXwB7AGwAZQBhAGMAaAAsAGMAcAB9AFwAXAB0AGkAbQBlAHMAIABFAEYAXwB7AGwAZQBhAGMAaAB9AFwAXAB0AGkAbQBlAHMAIABDAF8AewBOADIATwB9AFwAXAB0AGkAbQBlAHMAIAAxADAAXgB7AC0AMwB9ACkAXABuAE0AXwBsAGUAYQBjAGgAYwBwACAAPQAgAG0AYQBzAHMAIABvAGYAIABuAGkAdAByAG8AZwBlAG4AIABsAG8AcwB0ACAAdABoAHIAbwB1AGcAaAAgAGwAZQBhAGMAaABpAG4AZwAgAGEAbgBkACAAcgB1AG4AbwBmAGYAIABmAHIAbwBtACAAdABoAGUAIABjAHIAbwBwACAAcgBlAHMAaQBkAHUAZQAgAGMAIABvAHIAIABwAGEAcwB0AHUAcgBlACAAcgBlAHMAaQBkAHUAZQAgAHAAIAAoAGsAZwAgAE4AKQBcAG4ARQBGAF8AbABlAGEAYwBoACAAPQAgAGUAbQBpAHMAcwBpAG8AbgAgAGYAYQBjAHQAbwByACAAZgBvAHIAIABsAGUAYQBjAGgAaQBuAGcAIABhAG4AZAAgAHIAdQBuAG8AZgBmACAAKABrAGcAIABOADIATwAtAE4ALwBrAGcAIABOACkAXABuAEMATgAyAE8AIAA9ACAAZgBhAGMAdABvAHIAIAB0AG8AIABjAG8AbgB2AGUAcgB0ACAAZQBsAGUAbQBlAG4AdABhAGwAIABtAGEAcwBzACAAbwBmACAAbgBpAHQAcgBvAHUAcwAgAG8AeABpAGQAZQAgAHQAbwAgAG0AbwBsAGUAYwB1AGwAYQByACAAbQBhAHMAcwAgACgAZABpAG0AZQBuAHMAaQBvAG4AbABlAHMAcwApAFwAbgBjACAAPQAgAEMAcgBvAHAAIAByAGUAcwBpAGQAdQBlACAAdAB5AHAAZQBcAG4AcAAgAD0AIABQAGEAcwB0AHUAcgBlACAAcgBlAHMAaQBkAHUAZQAgAHQAeQBwAGUAXABuAC0ALQAtAC0ALQAtAC0ALQAtAC0ALQAtAC0ALQAtAC0ALQAtAC0ALQAtAC0ALQAtAC0ALQAtAC0ALQAtAC0ALQAtAC0ALQAtAC0ALQBcAG4AKgAvAFwAbgBcAG4AVgBFAEUAUgBHAF8ANgBfADMAXwAxAF8AMQBfAF8AMQBfAF8ATABlAGEAYwBoAGkAbgBnAEEAbgBkAFIAdQBuAG8AZgBmAEUAbQBpAHMAcwBpAG8AbgBzAEMAcgBvAHAAQQBuAGQAUABhAHMAdAB1AHIAZQBSAGUAcwBpAGQAdQBlAFwAbgAgACAAPQBMAEEATQBCAEQAQQAoAFwAbgAgACAAIAAgAE0AXwBsAGUAYQBjAGgAYwBwACwAIABFAEYAXwBsAGUAYQBjAGgALAAgAEMAXwBOADIATwAsAFwAbgAgACAAIAAgACgATQBfAGwAZQBhAGMAaABjAHAAIAAqACAARQBGAF8AbABlAGEAYwBoACkAIAAqACAAQwBfAE4AMgBPACAAKgAgADEAMABeACgALQAzACkAXABuACAAIAApAFwAbgA7AFwAbgBcAG4AVgBFAEUAUgBHAF8ANgBfADMAXwAxAF8AMQBfAF8AMQBfAF8ATABlAGEAYwBoAGkAbgBnAEEAbgBkAFIAdQBuAG8AZgBmAEUAbQBpAHMAcwBpAG8AbgBzAEMAcgBvAHAAQQBuAGQAUABhAHMAdAB1AHIAZQBSAGUAcwBpAGQAdQBlAF8AVABpAHQAbABlAFwAbgAgACAAPQBMAEEATQBCAEQAQQAoAFwAIgBOAGkAdAByAG8AdQBzACAAbwB4AGkAZABlACAAbABlAGEAYwBoAGkAbgBnACAAYQBuAGQAIAByAHUAbgBvAGYAZgAgAGUAbQBpAHMAcwBpAG8AbgBzACAAZgByAG8AbQAgAGMAcgBvAHAAIABhAG4AZAAgAHAAYQBzAHQAdQByAGUAIAByAGUAcwBpAGQAdQBlAHMAIAByAGUAdAB1AHIAbgBlAGQAIAB0AG8AIAB0AGgAZQAgAHMAbwBpAGwAXAAiACkAOwBcAG4AXABuAFYARQBFAFIARwBfADYAXwAzAF8AMQBfADEAXwBfADEAXwBfAEwAZQBhAGMAaABpAG4AZwBBAG4AZABSAHUAbgBvAGYAZgBFAG0AaQBzAHMAaQBvAG4AcwBDAHIAbwBwAEEAbgBkAFAAYQBzAHQAdQByAGUAUgBlAHMAaQBkAHUAZQBfAFYAYQByAGkAYQBiAGwAZQBcAG4AIAAgAD0ATABBAE0AQgBEAEEAKABcACIARQBOADIATwBcACIAKQA7AFwAbgBcAG4AVgBFAEUAUgBHAF8ANgBfADMAXwAxAF8AMQBfAF8AMQBfAF8ATABlAGEAYwBoAGkAbgBnAEEAbgBkAFIAdQBuAG8AZgBmAEUAbQBpAHMAcwBpAG8AbgBzAEMAcgBvAHAAQQBuAGQAUABhAHMAdAB1AHIAZQBSAGUAcwBpAGQAdQBlAF8AVQBuAGkAdABcAG4AIAAgAD0ATABBAE0AQgBEAEEAKABcACIAdAAgAE4AMgBPAFwAIgApADsAXABuAFwAbgBWAEUARQBSAEcAXwA2AF8AMwBfADEAXwAxAF8AXwAxAF8AXwBMAGUAYQBjAGgAaQBuAGcAQQBuAGQAUgB1AG4AbwBmAGYARQBtAGkAcwBzAGkAbwBuAHMAQwByAG8AcABBAG4AZABQAGEAcwB0AHUAcgBlAFIAZQBzAGkAZAB1AGUAXwBTAG8AdQByAGMAZQBcAG4AIAAgAD0ATABBAE0AQgBEAEEAKABcACIAVgBFAEUAUgBHACAAMgAwADIANgA6ACAANgAuADMALgAxAC4AMQAsACAARQBxAHUAYQB0AGkAbwBuACAAKAAxACkAXAAiACkAOwBcAG4AXABuAFYARQBFAFIARwBfADYAXwAzAF8AMQBfADEAXwBfADEAXwBfAEwAZQBhAGMAaABpAG4AZwBBAG4AZABSAHUAbgBvAGYAZgBFAG0AaQBzAHMAaQBvAG4AcwBDAHIAbwBwAEEAbgBkAFAAYQBzAHQAdQByAGUAUgBlAHMAaQBkAHUAZQBfAE4ASQBSAFIAZQBmAGUAcgBlAG4AYwBlAFwAbgAgACAAPQBMAEEATQBCAEQAQQAoAFwAIgBcACIAKQA7AFwAbgBcAG4AVgBFAEUAUgBHAF8ANgBfADMAXwAxAF8AMQBfAF8AMQBfAF8ATABlAGEAYwBoAGkAbgBnAEEAbgBkAFIAdQBuAG8AZgBmAEUAbQBpAHMAcwBpAG8AbgBzAEMAcgBvAHAAQQBuAGQAUABhAHMAdAB1AHIAZQBSAGUAcwBpAGQAdQBlAF8ATABhAHQAZQB4AEUAcQB1AGEAdABpAG8AbgBcAG4AIAAgAD0ATABBAE0AQgBEAEEAKABcACIARQBfAHsATgAyAE8AfQA9AFwAXABzAHUAbQBcAFwAbgBvAGwAaQBtAGkAdABzAF8AYwBcAFwAcwB1AG0AXABcAG4AbwBsAGkAbQBpAHQAcwBfAHAAKABNAF8AewBsAGUAYQBjAGgALABjAHAAfQBcAFwAdABpAG0AZQBzACAARQBGAF8AewBsAGUAYQBjAGgAfQBcAFwAdABpAG0AZQBzACAAQwBfAHsATgAyAE8AfQBcAFwAdABpAG0AZQBzACAAMQAwAF4AewAtADMAfQApAFwAIgApADsAXABuAFwAbgBWAEUARQBSAEcAXwA2AF8AMwBfADEAXwAxAF8AXwAxAF8AXwBMAGUAYQBjAGgAaQBuAGcAQQBuAGQAUgB1AG4AbwBmAGYARQBtAGkAcwBzAGkAbwBuAHMAQwByAG8AcABBAG4AZABQAGEAcwB0AHUAcgBlAFIAZQBzAGkAZAB1AGUAXwBBAHIAZwB1AG0AZQBuAHQAcwBcAG4AIAAgAD0ATABBAE0AQgBEAEEAKABcAG4AIAAgACAAIABNAEEASwBFAEEAUgBSAEEAWQAoADUALAAgADQALAAgAFwAbgAgACAAIAAgACAAIABMAEEATQBCAEQAQQAoAHIALABjACwAIABcAG4AIAAgACAAIAAgACAAIAAgAEkATgBEAEUAWAAoAHsAXABuACAAIAAgACAAIAAgACAAIAAgACAAXAAiAE0AXwBsAGUAYQBjAGgAYwBwAFwAIgAsAFwAIgBtAGEAcwBzACAAbwBmACAAbgBpAHQAcgBvAGcAZQBuACAAbABvAHMAdAAgAHQAaAByAG8AdQBnAGgAIABsAGUAYQBjAGgAaQBuAGcAIABhAG4AZAAgAHIAdQBuAG8AZgBmACAAZgByAG8AbQAgAHQAaABlACAAYwByAG8AcAAgAHIAZQBzAGkAZAB1AGUAIABjACAAbwByACAAcABhAHMAdAB1AHIAZQAgAHIAZQBzAGkAZAB1AGUAIABwAFwAIgAsACAAXAAiAGsAZwAgAE4AXAAiACwAIABcACIAQwBhAGwAYwB1AGwAYQB0AGUAZAAgAGYAcgBvAG0AIAA2AC4AMwAuADEALgAxACAAKAAyACkAXAAiADsAXABuACAAIAAgACAAIAAgACAAIAAgACAAXAAiAEUARgBfAGwAZQBhAGMAaABcACIALABcACIAZQBtAGkAcwBzAGkAbwBuACAAZgBhAGMAdABvAHIAIABmAG8Ac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IAZQBzAGkAZAB1AGUAIAB0AHkAcABlAFwAIgAsACAAXAAiAFwAIgAsACAAXAAiAEkAbgBwAHUAdABcACIAOwBcAG4AIAAgACAAIAAgACAAIAAgACAAIABcACIAcABcACIALABcACIAUABhAHMAdAB1AHIAZQAgAHIAZQBzAGkAZAB1AGU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zAF8AMQBfADEAXwBfADIAXwBfAE0AYQBzAHMATwBmAE4AaQB0AHIAbwBnAGUAbgBMAG8AcwB0AFQAaAByAG8AdQBnAGgATABlAGEAYwBoAGkAbgBnAEEAbgBkAFIAdQBuAG8AZgBmAFwAbgBNAGEAcwBzACAAbwBmACAAbgBpAHQAcgBvAGcAZQBuACAAbABvAHMAdAAgAHQAaAByAG8AdQBnAGgAIABsAGUAYQBjAGgAaQBuAGcAIABhAG4AZAAgAHIAdQBuAG8AZgBmAFwAbgBNAF8AbABlAGEAYwBoAGMAcABcAG4AawBnACAATgBcAG4ATQBfAHsAbABlAGEAYwBoACwAYwBwAH0APQBNAF8AewBjAHAAfQBcAFwAdABpAG0AZQBzACAARgByAGEAYwBXAEUAVABfAHsAagB9AFwAXAB0AGkAbQBlAHMAIABGAHIAYQBjAEwARQBBAEMASABcAG4ATQBfAGMAcAAgAD0AIABtAGEAcwBzACAAbwBmACAAbgBpAHQAcgBvAGcAZQBuACAAaQBuACAAYwByAG8AcAAgAHIAZQBzAGkAZAB1AGUAcwAgAGMAIABvAHIAIABwAGEAcwB0AHUAcgBlACAAcgBlAHMAaQBkAHUAZQBzACAAcAAgAGEAcABwAGwAaQBlAGQAIAB0AG8AIABzAG8AaQBsAHMAIAAoAGsAZwAgAE4AKQBcAG4ARgByAGEAYwBXAEUAVABqACAAPQAgAGYAcgBhAGMAdABpAG8AbgAgAG8AZgAgAE4AIAB0AGgAYQB0ACAAaQBzACAAYQB2AGEAaQBsAGEAYgBsAGUAIABmAG8AcgAgAGwAZQBhAGMAaABpAG4AZwAgAGEAbgBkACAAcgB1AG4AbwBmAGYAIABmAHIAbwBtACAAcAByAG8AZAB1AGMAdABpAG8AbgAgAHMAeQBzAHQAZQBtACAAagAgACgAZABpAG0AZQBuAHMAaQBvAG4AbABlAHMAcwApAFwAbgBGAHIAYQBjAEwARQBBAEMASAAgAD0AIABmAHIAYQBjAHQAaQBvAG4AIABvAGYAIABOACAAdABoAGEAdAAgAGkAcwAgAGwAbwBzAHQAIAB0AGgAcgBvAHUAZwBoACAAbABlAGEAYwBoAGkAbgBnACAAYQBuAGQAIAByAHUAbgBvAGYAZgAgACgAZABpAG0AZQBuAHMAaQBvAG4AbABlAHMAcwApAFwAbgBjACAAPQAgAEMAcgBvAHAAIAByAGUAcwBpAGQAdQBlACAAdAB5AHAAZQBcAG4AcAAgAD0AIABQAGEAcwB0AHUAcgBlACAAcgBlAHMAaQBkAHUAZQAgAHQAeQBwAGUAXABuAGkAcgAgAD0AIABpAHIAcgBpAGcAYQB0AGkAbwBuACAAdAB5AHAAZQBcAG4ALQAtAC0ALQAtAC0ALQAtAC0ALQAtAC0ALQAtAC0ALQAtAC0ALQAtAC0ALQAtAC0ALQAtAC0ALQAtAC0ALQAtAC0ALQAtAC0ALQAtAFwAbgAqAC8AXABuAFwAbgBWAEUARQBSAEcAXwA2AF8AMwBfADEAXwAxAF8AXwAyAF8AXwBNAGEAcwBzAE8AZgBOAGkAdAByAG8AZwBlAG4ATABvAHMAdABUAGgAcgBvAHUAZwBoAEwAZQBhAGMAaABpAG4AZwBBAG4AZABSAHUAbgBvAGYAZgBcAG4AIAAgAD0ATABBAE0AQgBEAEEAKABcAG4AIAAgACAAIABNAF8AYwBwACwAIABGAHIAYQBjAFcARQBUAF8AagAsACAARgByAGEAYwBMAEUAQQBDAEgALABcAG4AIAAgACAAIABNAF8AYwBwACAAKgAgAEYAcgBhAGMAVwBFAFQAXwBqACAAKgAgAEYAcgBhAGMATABFAEEAQwBIAFwAbgAgACAAKQBcAG4AOwBcAG4AXABuAFYARQBFAFIARwBfADYAXwAzAF8AMQBfADEAXwBfADIAXwBfAE0AYQBzAHMATwBmAE4AaQB0AHIAbwBnAGUAbgBMAG8AcwB0AFQAaAByAG8AdQBnAGgATABlAGEAYwBoAGkAbgBnAEEAbgBkAFIAdQBuAG8AZgBmAF8AVABpAHQAbABlAFwAbgAgACAAPQBMAEEATQBCAEQAQQAoAFwAIgBNAGEAcwBzACAAbwBmACAAbgBpAHQAcgBvAGcAZQBuACAAbABvAHMAdAAgAHQAaAByAG8AdQBnAGgAIABsAGUAYQBjAGgAaQBuAGcAIABhAG4AZAAgAHIAdQBuAG8AZgBmAFwAIgApADsAXABuAFwAbgBWAEUARQBSAEcAXwA2AF8AMwBfADEAXwAxAF8AXwAyAF8AXwBNAGEAcwBzAE8AZgBOAGkAdAByAG8AZwBlAG4ATABvAHMAdABUAGgAcgBvAHUAZwBoAEwAZQBhAGMAaABpAG4AZwBBAG4AZABSAHUAbgBvAGYAZgBfAFYAYQByAGkAYQBiAGwAZQBcAG4AIAAgAD0ATABBAE0AQgBEAEEAKABcACIATQBfAGwAZQBhAGMAaABjAHAAXAAiACkAOwBcAG4AXABuAFYARQBFAFIARwBfADYAXwAzAF8AMQBfADEAXwBfADIAXwBfAE0AYQBzAHMATwBmAE4AaQB0AHIAbwBnAGUAbgBMAG8AcwB0AFQAaAByAG8AdQBnAGgATABlAGEAYwBoAGkAbgBnAEEAbgBkAFIAdQBuAG8AZgBmAF8AVQBuAGkAdABcAG4AIAAgAD0ATABBAE0AQgBEAEEAKABcACIAawBnACAATgBcACIAKQA7AFwAbgBcAG4AVgBFAEUAUgBHAF8ANgBfADMAXwAxAF8AMQBfAF8AMgBfAF8ATQBhAHMAcwBPAGYATgBpAHQAcgBvAGcAZQBuAEwAbwBzAHQAVABoAHIAbwB1AGcAaABMAGUAYQBjAGgAaQBuAGcAQQBuAGQAUgB1AG4AbwBmAGYAXwBTAG8AdQByAGMAZQBcAG4AIAAgAD0ATABBAE0AQgBEAEEAKABcACIAVgBFAEUAUgBHACAAMgAwADIANgA6ACAANgAuADMALgAxAC4AMQAsACAARQBxAHUAYQB0AGkAbwBuACAAKAAyACkAXAAiACkAOwBcAG4AXABuAFYARQBFAFIARwBfADYAXwAzAF8AMQBfADEAXwBfADIAXwBfAE0AYQBzAHMATwBmAE4AaQB0AHIAbwBnAGUAbgBMAG8AcwB0AFQAaAByAG8AdQBnAGgATABlAGEAYwBoAGkAbgBnAEEAbgBkAFIAdQBuAG8AZgBmAF8ATgBJAFIAUgBlAGYAZQByAGUAbgBjAGUAXABuACAAIAA9AEwAQQBNAEIARABBACgAXAAiAFwAIgApADsAXABuAFwAbgBWAEUARQBSAEcAXwA2AF8AMwBfADEAXwAxAF8AXwAyAF8AXwBNAGEAcwBzAE8AZgBOAGkAdAByAG8AZwBlAG4ATABvAHMAdABUAGgAcgBvAHUAZwBoAEwAZQBhAGMAaABpAG4AZwBBAG4AZABSAHUAbgBvAGYAZgBfAEwAYQB0AGUAeABFAHEAdQBhAHQAaQBvAG4AXABuACAAIAA9AEwAQQBNAEIARABBACgAXAAiAE0AXwB7AGwAZQBhAGMAaAAsAGMAcAB9AD0ATQBfAHsAYwBwAH0AXABcAHQAaQBtAGUAcwAgAEYAcgBhAGMAVwBFAFQAXwB7AGoAfQBcAFwAdABpAG0AZQBzACAARgByAGEAYwBMAEUAQQBDAEgAXAAiACkAOwBcAG4AXABuAFYARQBFAFIARwBfADYAXwAzAF8AMQBfADEAXwBfADIAXwBfAE0AYQBzAHMATwBmAE4AaQB0AHIAbwBnAGUAbgBMAG8AcwB0AFQAaAByAG8AdQBnAGgATABlAGEAYwBoAGkAbgBnAEEAbgBkAFIAdQBuAG8AZgBmAF8AQQByAGcAdQBtAGUAbgB0AHMAXABuACAAIAA9AEwAQQBNAEIARABBACgAXABuACAAIAAgACAATQBBAEsARQBBAFIAUgBBAFkAKAA3ACwAIAA0ACwAIABcAG4AIAAgACAAIAAgACAATABBAE0AQgBEAEEAKAByACwAYwAsACAAXABuACAAIAAgACAAIAAgACAAIABJAE4ARABFAFgAKAB7AFwAbgAgACAAIAAgACAAIAAgACAAIAAgAFwAIgBNAF8AYwBwAFwAIgAsAFwAIgBtAGEAcwBzACAAbwBmACAAbgBpAHQAcgBvAGcAZQBuACAAaQBuACAAYwByAG8AcAAgAHIAZQBzAGkAZAB1AGUAcwAgAGMAIABvAHIAIABwAGEAcwB0AHUAcgBlACAAcgBlAHMAaQBkAHUAZQBzACAAcAAgAGEAcABwAGwAaQBlAGQAIAB0AG8AIABzAG8AaQBsAHMAXAAiACwAIABcACIAawBnACAATgBcACIALAAgAFwAIgBDAGEAbABjACAAZgByAG8AbQAgADYALgAxAC4AMQAuADEAIAAoADIAKQAgAGEAbgBkACAANgAuADIALgAxAC4AMQAgACgAMgApAFwAIgA7AFwAbgAgACAAIAAgACAAIAAgACAAIAAgAFwAIgBGAHIAYQBjAFcARQBUAF8AagBcACIALABcACIAZgByAGEAYwB0AGkAbwBuACAAbwBmACAATgAgAHQAaABhAHQAIABpAHMAIABhAHYAYQBpAGwAYQBiAGwAZQAgAGYAbwByACAAbABlAGEAYwBoAGkAbgBnACAAYQBuAGQAIAByAHUAbgBvAGYAZgAgAGYAcgBvAG0AIAB0AGgAZQAgAGwAZQBhAGMAaABpAG4AZwAgAHoAbwBuAGUAIAB6ACAAYQBuAGQAIABpAHIAcgBpAGcAYQB0AGkAbwBuACAAdAB5AHAAZQAgAGkAcgBcACIALAAgAFwAIgBmAHIAYQBjAHQAaQBvAG4AXAAiACwAIABcACIAQwBvAG4AcwB0AGEAbgB0AFwAIgA7AFwAbgAgACAAIAAgACAAIAAgACAAIAAgAFwAIgBGAHIAYQBjAEwARQBBAEMASABcACIAL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MAG8AYwBhAHQAaQBvAG4AIABpAG4AIABsAGUAYQBjAGgAaQBuAGcAIAB6AG8AbgBlAFwAIgAsACAAXAAiAFwAIgAsACAAXAAiAEkAbgBwAHUAdABcACIAOwBcAG4AIAAgACAAIAAgACAAIAAgACAAIABcACIAYwBcACIALABcACIAQwByAG8AcAAgAHIAZQBzAGkAZAB1AGUAIAB0AHkAcABlAFwAIgAsACAAXAAiAFwAIgAsACAAXAAiAEkAbgBwAHUAdABcACIAOwBcAG4AIAAgACAAIAAgACAAIAAgACAAIABcACIAcABcACIALABcACIAUABhAHMAdAB1AHIAZQAgAHIAZQBzAGkAZAB1AGUAIAB0AHkAcABlAFwAIgAsACAAXAAiAFwAIgAsACAAXAAiAEkAbgBwAHUAdABcACIAOwBcAG4AIAAgACAAIAAgACAAIAAgACAAIABcACIAaQByAFwAIgAsACAAXAAiAEkAcgByAGkAZwBhAHQAaQBvAG4AIAB0AHkAcABlAFwAIgAsACAAXAAiAFwAIgAsACAAXAAiAEkAbgBwAHUAdABcACIAXABuACAAIAAgACAAIAAgACAAIAB9ACwAIAByACwAIABjACkAXABuACAAIAAgACAAIAAgACkAXABuACAAIAAgACAAKQBcAG4AIAAgACkAOwBcAG4AXABuACAAIABWAEUARQBSAEcAXwA2AF8AMwBfADEAXwAxAF8AXwAyAF8AXwBNAGEAcwBzAE8AZgBOAGkAdAByAG8AZwBlAG4ATABvAHMAdABUAGgAcgBvAHUAZwBoAEwAZQBhAGMAaABpAG4AZwBBAG4AZABSAHUAbgBvAGYAZgBfAFYAYQByAGkAYQB0AGkAbwBuAFwAbgAgACAAPQBMAEEATQBCAEQAQQAoAFwAIgBcACIAKQA7AFwAbgBcAG4AXABuAFwAbgAiAH0ALAB7ACIAcABhAHQAaAAiADoAIgAvAHAAcgBvAGoAZQBjAHQAcwAvAEEAZwBSAGUAcwBpAGQAdQBlAF8ARQBxAHUAYQB0AGkAbwBuAHMAXwBGAGkAZQBsAGQAQgB1AHIAbgBpAG4AZwAiACwAIgB0AGUAeAB0ACIAOgAiAC8AKgAgAFwAbgAtAC0ALQAtAC0ALQAtAC0ALQAtAC0ALQAtAC0ALQAtAC0ALQAtAC0ALQAtAC0ALQAtAC0ALQAtAC0ALQAtAC0ALQAtAC0ALQAtAC0AXABuAFYARQBFAFIARwBfADYAXwA0AF8AMQBfADEAXwBfADEAXwBfAE0AZQB0AGgAYQBuAGUARQBtAGkAcwBzAGkAbwBuAHMARgByAG8AbQBCAHUAcgBuAGkAbgBnAE8AZgBDAHIAbwBwAFIAZQBzAGkAZAB1AGUAcwBcAG4ATQBlAHQAaABhAG4AZQAgAGUAbQBpAHMAcwBpAG8AbgBzACAAZgByAG8AbQAgAHQAaABlACAAYgB1AHIAbgBpAG4AZwAgAG8AZgAgAGMAcgBvAHAAIAByAGUAcwBpAGQAdQBlAHMAXABuAEUAQwBIADQAXABuAHQAIABDAEgANABcAG4ARQBfAHsAQwBIADQAfQA9AFwAbgBcAFwAcwB1AG0AXwB7AGMAfQAoAE0AXwB7AGIAdQByAG4ALABjAH0AXABcAHQAaQBtAGUAcwAgAEMAQwBfAHsAYwB9AFwAXAB0AGkAbQBlAHMAIABFAEYAXwB7AEMASAA0AH0AXABcAHQAaQBtAGUAcwAgAEMAXwB7AEMASAA0AH0AXABcAHQAaQBtAGUAcwAgADEAMABeAHsALQAzAH0AKQBcAG4ATQBfAGIAdQByAG4AYwAgAD0AIABtAGEAcwBzACAAbwBmACAAcgBlAHMAaQBkAHUAZQAgAGIAdQByAG4AdAAgAGYAbwByACAAYwByAG8AcAAgAHQAeQBwAGUAIABjACAAKABrAGcAKQBcAG4AQwBDAF8AYwAgAD0AIABjAGEAcgBiAG8AbgAgAG0AYQBzAHMAIABmAHIAYQBjAHQAaQBvAG4AIABpAG4AIAB0AGgAZQAgAHIAZQBzAGkAZAB1AGUAcwAgAG8AZgAgAGMAcgBvAHAAIAB0AHkAcABlACAAYwAgACgAZABpAG0AZQBuAHMAaQBvAG4AbABlAHMAcwApAFwAbgBFAEYAXwBDAEgANAAgAD0AIABlAG0AaQBzAHMAaQBvAG4AIABmAGEAYwB0AG8AcgAgAGYAbwByACAAbQBlAHQAaABhAG4AZQAgAGYAcgBvAG0AIABiAHUAcgBuAGkAbgBnACAAbwBmACAAYwByAG8AcAAgAHIAZQBzAGkAZAB1AGUAcwAgACgAawBnACAAQwBIADQALwBrAGcAIABDAEgANAAgAGIAdQByAG4AdAApAFwAbgBDAEMASAA0ACAAPQAgAGYAYQBjAHQAbwByACAAdABvACAAYwBvAG4AdgBlAHIAdAAgAGUAbABlAG0AZQBuAHQAYQBsACAAbQBhAHMAcwAgAG8AZgAgAG0AZQB0AGgAYQBu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NABfADEAXwAxAF8AXwAxAF8AXwBNAGUAdABoAGEAbgBlAEUAbQBpAHMAcwBpAG8AbgBzAEYAcgBvAG0AQgB1AHIAbgBpAG4AZwBPAGYAQwByAG8AcABSAGUAcwBpAGQAdQBlAHMAXABuACAAIAA9AEwAQQBNAEIARABBACgAXABuACAAIAAgACAATQBfAGIAdQByAG4AYwAsACAAQwBDAF8AYwAsACAARQBGAF8AQwBIADQALAAgAEMAXwBDAEgANAAsAFwAbgAgACAAIAAgACgATQBfAGIAdQByAG4AYwAgACoAIABDAEMAXwBjACkAIAAqACAARQBGAF8AQwBIADQAIAAqACAAQwBfAEMASAA0ACAAKgAgADEAMABeACgALQAzACkAXABuACAAIAApADsAXABuAFwAbgBWAEUARQBSAEcAXwA2AF8ANABfADEAXwAxAF8AXwAxAF8AXwBNAGUAdABoAGEAbgBlAEUAbQBpAHMAcwBpAG8AbgBzAEYAcgBvAG0AQgB1AHIAbgBpAG4AZwBPAGYAQwByAG8AcABSAGUAcwBpAGQAdQBlAHMAXwBGAHUAbgBjAHQAaQBvAG4ATgBhAG0AZQBcAG4AIAAgAD0ATABBAE0AQgBEAEEAKABcACIAVgBFAEUAUgBHAF8ANgBfADQAXwAxAF8AMQBfAF8AMQBfAF8ATQBlAHQAaABhAG4AZQBFAG0AaQBzAHMAaQBvAG4AcwBGAHIAbwBtAEIAdQByAG4AaQBuAGcATwBmAEMAcgBvAHAAUgBlAHMAaQBkAHUAZQBzAFwAIgApADsAXABuAFwAbgBWAEUARQBSAEcAXwA2AF8ANABfADEAXwAxAF8AXwAxAF8AXwBNAGUAdABoAGEAbgBlAEUAbQBpAHMAcwBpAG8AbgBzAEYAcgBvAG0AQgB1AHIAbgBpAG4AZwBPAGYAQwByAG8AcABSAGUAcwBpAGQAdQBlAHMAXwBUAGkAdABsAGUAXABuACAAIAA9AEwAQQBNAEIARABBACgAXAAiAE0AZQB0AGgAYQBuAGUAIABlAG0AaQBzAHMAaQBvAG4AcwAgAGYAcgBvAG0AIAB0AGgAZQAgAGIAdQByAG4AaQBuAGcAIABvAGYAIABjAHIAbwBwACAAcgBlAHMAaQBkAHUAZQBzAFwAIgApADsAXABuAFwAbgBWAEUARQBSAEcAXwA2AF8ANABfADEAXwAxAF8AXwAxAF8AXwBNAGUAdABoAGEAbgBlAEUAbQBpAHMAcwBpAG8AbgBzAEYAcgBvAG0AQgB1AHIAbgBpAG4AZwBPAGYAQwByAG8AcABSAGUAcwBpAGQAdQBlAHMAXwBWAGEAcgBpAGEAYgBsAGUAXABuACAAIAA9AEwAQQBNAEIARABBACgAXAAiAEUAQwBIADQAXAAiACkAOwBcAG4AXABuAFYARQBFAFIARwBfADYAXwA0AF8AMQBfADEAXwBfADEAXwBfAE0AZQB0AGgAYQBuAGUARQBtAGkAcwBzAGkAbwBuAHMARgByAG8AbQBCAHUAcgBuAGkAbgBnAE8AZgBDAHIAbwBwAFIAZQBzAGkAZAB1AGUAcwBfAFUAbgBpAHQAXABuACAAIAA9AEwAQQBNAEIARABBACgAXAAiAHQAIABDAEgANABcACIAKQA7AFwAbgBcAG4AVgBFAEUAUgBHAF8ANgBfADQAXwAxAF8AMQBfAF8AMQBfAF8ATQBlAHQAaABhAG4AZQBFAG0AaQBzAHMAaQBvAG4AcwBGAHIAbwBtAEIAdQByAG4AaQBuAGcATwBmAEMAcgBvAHAAUgBlAHMAaQBkAHUAZQBzAF8AUwBvAHUAcgBjAGUAXABuACAAIAA9AEwAQQBNAEIARABBACgAXAAiAFYARQBFAFIARwAgADIAMAAyADYAOgAgADYALgA0AC4AMQAuADEALAAgAEUAcQB1AGEAdABpAG8AbgAgACgAMQApAFwAIgApADsAXABuAFwAbgBWAEUARQBSAEcAXwA2AF8ANABfADEAXwAxAF8AXwAxAF8AXwBNAGUAdABoAGEAbgBlAEUAbQBpAHMAcwBpAG8AbgBzAEYAcgBvAG0AQgB1AHIAbgBpAG4AZwBPAGYAQwByAG8AcABSAGUAcwBpAGQAdQBlAHMAXwBOAEkAUgBSAGUAZgBlAHIAZQBuAGMAZQBcAG4AIAAgAD0ATABBAE0AQgBEAEEAKABcACIAXAAiACkAOwBcAG4AXABuAFYARQBFAFIARwBfADYAXwA0AF8AMQBfADEAXwBfADEAXwBfAE0AZQB0AGgAYQBuAGUARQBtAGkAcwBzAGkAbwBuAHMARgByAG8AbQBCAHUAcgBuAGkAbgBnAE8AZgBDAHIAbwBwAFIAZQBzAGkAZAB1AGUAcwBfAEwAYQB0AGUAeABFAHEAdQBhAHQAaQBvAG4AXABuACAAIAA9AEwAQQBNAEIARABBACgAXAAiAEUAXwB7AEMASAA0AH0APQBcAFwAcwB1AG0AXABcAG4AbwBsAGkAbQBpAHQAcwBfAGMAKABNAF8AewBiAHUAcgBuACwAYwB9AFwAXAB0AGkAbQBlAHMAIABDAEMAXwB7AGMAfQApAFwAXAB0AGkAbQBlAHMAIABFAEYAXwB7AEMASAA0AH0AXABcAHQAaQBtAGUAcwAgAEMAXwB7AEMASAA0AH0AXABcAHQAaQBtAGUAcwAgADEAMABeAHsALQAzAH0AXAAiACkAOwBcAG4AXABuAFYARQBFAFIARwBfADYAXwA0AF8AMQBfADEAXwBfADEAXwBfAE0AZQB0AGgAYQBuAGUARQBtAGkAcwBzAGkAbwBuAHMARgByAG8AbQBCAHUAcgBuAGkAbgBnAE8AZgBDAHIAbwBwAFIAZQBzAGkAZAB1AGUAcwBfAEEAcgBnAHUAbQBlAG4AdABzAFwAbgAgACAAPQBMAEEATQBCAEQAQQAoAFwAbgAgACAAIAAgAE0AQQBLAEUAQQBSAFIAQQBZACgANQAsACAANAAsAFwAbgAgACAAIAAgACAAIABMAEEATQBCAEQAQQAoAHIALABjACwAXABuACAAIAAgACAAIAAgACAAIABJAE4ARABFAFgAKAB7AFwAbgAgACAAIAAgACAAIAAgACAAIAAgAFwAIgBNAF8AYgB1AHIAbgBjAFwAIgAsAFwAIgBtAGEAcwBzACAAbwBmACAAcgBlAHMAaQBkAHUAZQAgAGIAdQByAG4AdAAgAGYAbwByACAAYwByAG8AcAAgAHQAeQBwAGUAIABjAFwAIgAsACAAXAAiAGsAZwBcACIALAAgAFwAIgBDAGEAbABjAHUAbABhAHQAZQBkACAAZgByAG8AbQAgADYALgA0AC4AMQAuADEAIAAoADMAKQBcACIAOwBcAG4AIAAgACAAIAAgACAAIAAgACAAIABcACIAQwBDAF8AYwBcACIALABcACIAYwBhAHIAYgBvAG4AIABtAGEAcwBzACAAZgByAGEAYwB0AGkAbwBuACAAaQBuACAAdABoAGUAIAByAGUAcwBpAGQAdQBlAHMAIABvAGYAIABjAHIAbwBwACAAdAB5AHAAZQAgAGMAXAAiACwAIABcACIAZgByAGEAYwB0AGkAbwBuAFwAIgAsACAAXAAiAEMAbwBuAHMAdABhAG4AdABcACIAOwBcAG4AIAAgACAAIAAgACAAIAAgACAAIABcACIARQBGAF8AQwBIADQAXAAiACwAXAAiAGUAbQBpAHMAcwBpAG8AbgAgAGYAYQBjAHQAbwByACAAZgBvAHIAIABtAGUAdABoAGEAbgBlACAAZgByAG8AbQAgAGIAdQByAG4AaQBuAGcAIABvAGYAIABjAHIAbwBwACAAcgBlAHMAaQBkAHUAZQBzAFwAIgAsACAAXAAiAGsAZwAgAEMASAA0ACAALwAgAGsAZwAgAEMASAA0ACAAYgB1AHIAbgB0AFwAIgAsACAAXAAiAEMAbwBuAHMAdABhAG4AdABcACIAOwBcAG4AIAAgACAAIAAgACAAIAAgACAAIABcACIAQwBfAEMASAA0AFwAIgAsAFwAIgBmAGEAYwB0AG8AcgAgAHQAbwAgAGMAbwBuAHYAZQByAHQAIABlAGwAZQBtAGUAbgB0AGEAbAAgAG0AYQBzAHMAIABvAGYAIABtAGUAdABoAGEAbgBlACAAdABvACAAbQBvAGwAZQBjAHUAbABhAHIAIABtAGEAcwBzAFwAIgAsACAAXAAiAGQAaQBtAGUAbgBzAGkAbwBuAGwAZQBzAHM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NABfADEAXwAxAF8AXwAyAF8AXwBOAGkAdAByAG8AdQBzAE8AeABpAGQAZQBFAG0AaQBzAHMAaQBvAG4AcwBGAHIAbwBtAEIAdQByAG4AaQBuAGcATwBmAEMAcgBvAHAAUgBlAHMAaQBkAHUAZQBzAFwAbgBOAGkAdAByAG8AdQBzACAAbwB4AGkAZABlACAAZQBtAGkAcwBzAGkAbwBuAHMAIABmAHIAbwBtACAAdABoAGUAIABiAHUAcgBuAGkAbgBnACAAbwBmACAAYwByAG8AcAAgAHIAZQBzAGkAZAB1AGUAcwBcAG4ARQBOADIATwBcAG4AdAAgAE4AMgBPAFwAbgBFAF8AewBOADIATwB9AD0AXABcAHMAdQBtAF8AewBjAH0AKABNAF8AewBiAHUAcgBuACwAYwB9AFwAXAB0AGkAbQBlAHMAIABOAEMAXwB7AEEARwBjAH0AXABcAHQAaQBtAGUAcwAgAEUARgBfAHsATgAyAE8AfQBcAFwAdABpAG0AZQBzACAAQwBfAHsATgAyAE8AfQBcAFwAdABpAG0AZQBzACAAMQAwAF4AewAtADMAfQApAFwAbgBNAF8AYgB1AHIAbgBjACAAPQAgAG0AYQBzAHMAIABvAGYAIAByAGUAcwBpAGQAdQBlACAAYgB1AHIAbgB0ACAAZgBvAHIAIABjAHIAbwBwACAAdAB5AHAAZQAgAGMAIAAoAGsAZwApAFwAbgBOAEMAXwBBAEcAYwAgAD0AIABuAGkAdAByAG8AZwBlAG4AIABjAG8AbgB0AGUAbgB0ACAAaQBuACAAdABoAGUAIABhAGIAbwB2AGUALQBnAHIAbwB1AG4AZAAgAHIAZQBzAGkAZAB1AGUAIABvAGYAIABjAHIAbwBwACAAdAB5AHAAZQAgAGMAIAAoAGsAZwAgAE4ALwBrAGcAIABEAE0AKQBcAG4ARQBGAF8ATgAyAE8AIAA9ACAAZQBtAGkAcwBzAGkAbwBuACAAZgBhAGMAdABvAHIAIABmAG8AcgAgAG4AaQB0AHIAbwB1AHMAIABvAHgAaQBkAGUAIABmAHIAbwBtACAAYgB1AHIAbgBpAG4AZwAgAG8AZgAgAGMAcgBvAHAAIAByAGUAcwBpAGQAdQBlAHMAIAAoAGsAZwAgAE4AMgBPAC8AawBnACAATgAyAE8AIABiAHUAcgBuAHQAKQBcAG4AQwBf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NABfADEAXwAxAF8AXwAyAF8AXwBOAGkAdAByAG8AdQBzAE8AeABpAGQAZQBFAG0AaQBzAHMAaQBvAG4AcwBGAHIAbwBtAEIAdQByAG4AaQBuAGcATwBmAEMAcgBvAHAAUgBlAHMAaQBkAHUAZQBzAFwAbgAgACAAPQBMAEEATQBCAEQAQQAoAFwAbgAgACAAIAAgAE0AXwBiAHUAcgBuAGMALAAgAE4AQwBfAEEARwBjACwAIABFAEYAXwBOADIATwAsACAAQwBfAE4AMgBPACwAXABuACAAIAAgACAAKABNAF8AYgB1AHIAbgBjACAAKgAgAE4AQwBfAEEARwBjACkAIAAqACAARQBGAF8ATgAyAE8AIAAqACAAQwBfAE4AMgBPACAAKgAgADEAMABeACgALQAzACkAXABuACAAIAApADsAXABuAFwAbgBWAEUARQBSAEcAXwA2AF8ANABfADEAXwAxAF8AXwAyAF8AXwBOAGkAdAByAG8AdQBzAE8AeABpAGQAZQBFAG0AaQBzAHMAaQBvAG4AcwBGAHIAbwBtAEIAdQByAG4AaQBuAGcATwBmAEMAcgBvAHAAUgBlAHMAaQBkAHUAZQBzAF8ARgB1AG4AYwB0AGkAbwBuAE4AYQBtAGUAXABuACAAIAA9AEwAQQBNAEIARABBACgAXAAiAFYARQBFAFIARwBfADYAXwA0AF8AMQBfADEAXwBfADIAXwBfAE4AaQB0AHIAbwB1AHMATwB4AGkAZABlAEUAbQBpAHMAcwBpAG8AbgBzAEYAcgBvAG0AQgB1AHIAbgBpAG4AZwBPAGYAQwByAG8AcABSAGUAcwBpAGQAdQBlAHMAXAAiACkAOwBcAG4AXABuAFYARQBFAFIARwBfADYAXwA0AF8AMQBfADEAXwBfADIAXwBfAE4AaQB0AHIAbwB1AHMATwB4AGkAZABlAEUAbQBpAHMAcwBpAG8AbgBzAEYAcgBvAG0AQgB1AHIAbgBpAG4AZwBPAGYAQwByAG8AcABSAGUAcwBpAGQAdQBlAHMAXwBUAGkAdABsAGUAXABuACAAIAA9AEwAQQBNAEIARABBACgAXAAiAE4AaQB0AHIAbwB1AHMAIABvAHgAaQBkAGUAIABlAG0AaQBzAHMAaQBvAG4AcwAgAGYAcgBvAG0AIAB0AGgAZQAgAGIAdQByAG4AaQBuAGcAIABvAGYAIABjAHIAbwBwACAAcgBlAHMAaQBkAHUAZQBzAFwAIgApADsAXABuAFwAbgBWAEUARQBSAEcAXwA2AF8ANABfADEAXwAxAF8AXwAyAF8AXwBOAGkAdAByAG8AdQBzAE8AeABpAGQAZQBFAG0AaQBzAHMAaQBvAG4AcwBGAHIAbwBtAEIAdQByAG4AaQBuAGcATwBmAEMAcgBvAHAAUgBlAHMAaQBkAHUAZQBzAF8AVgBhAHIAaQBhAGIAbABlAFwAbgAgACAAPQBMAEEATQBCAEQAQQAoAFwAIgBFAE4AMgBPAFwAIgApADsAXABuAFwAbgBWAEUARQBSAEcAXwA2AF8ANABfADEAXwAxAF8AXwAyAF8AXwBOAGkAdAByAG8AdQBzAE8AeABpAGQAZQBFAG0AaQBzAHMAaQBvAG4AcwBGAHIAbwBtAEIAdQByAG4AaQBuAGcATwBmAEMAcgBvAHAAUgBlAHMAaQBkAHUAZQBzAF8AVQBuAGkAdABcAG4AIAAgAD0ATABBAE0AQgBEAEEAKABcACIAdAAgAE4AMgBPAFwAIgApADsAXABuAFwAbgBWAEUARQBSAEcAXwA2AF8ANABfADEAXwAxAF8AXwAyAF8AXwBOAGkAdAByAG8AdQBzAE8AeABpAGQAZQBFAG0AaQBzAHMAaQBvAG4AcwBGAHIAbwBtAEIAdQByAG4AaQBuAGcATwBmAEMAcgBvAHAAUgBlAHMAaQBkAHUAZQBzAF8AUwBvAHUAcgBjAGUAXABuACAAIAA9AEwAQQBNAEIARABBACgAXAAiAFYARQBFAFIARwAgADIAMAAyADYAOgAgADYALgA0AC4AMQAuADEALAAgAEUAcQB1AGEAdABpAG8AbgAgACgAMgApAFwAIgApADsAXABuAFwAbgBWAEUARQBSAEcAXwA2AF8ANABfADEAXwAxAF8AXwAyAF8AXwBOAGkAdAByAG8AdQBzAE8AeABpAGQAZQBFAG0AaQBzAHMAaQBvAG4AcwBGAHIAbwBtAEIAdQByAG4AaQBuAGcATwBmAEMAcgBvAHAAUgBlAHMAaQBkAHUAZQBzAF8ATgBJAFIAUgBlAGYAZQByAGUAbgBjAGUAXABuACAAIAA9AEwAQQBNAEIARABBACgAXAAiAFwAIgApADsAXABuAFwAbgBWAEUARQBSAEcAXwA2AF8ANABfADEAXwAxAF8AXwAyAF8AXwBOAGkAdAByAG8AdQBzAE8AeABpAGQAZQBFAG0AaQBzAHMAaQBvAG4AcwBGAHIAbwBtAEIAdQByAG4AaQBuAGcATwBmAEMAcgBvAHAAUgBlAHMAaQBkAHUAZQBzAF8ATABhAHQAZQB4AEUAcQB1AGEAdABpAG8AbgBcAG4AIAAgAD0ATABBAE0AQgBEAEEAKABcACIARQBfAHsATgAyAE8AfQA9AFwAXABzAHUAbQBcAFwAbgBvAGwAaQBtAGkAdABzAF8AYwAoAE0AXwB7AGIAdQByAG4ALABjAH0AXABcAHQAaQBtAGUAcwAgAE4AQwBfAHsAQQBHAGMAfQApAFwAXAB0AGkAbQBlAHMAIABFAEYAXwB7AE4AMgBPAH0AXABcAHQAaQBtAGUAcwAgAEMAXwB7AE4AMgBPAH0AXABcAHQAaQBtAGUAcwAgADEAMABeAHsALQAzAH0AXAAiACkAOwBcAG4AXABuAFYARQBFAFIARwBfADYAXwA0AF8AMQBfADEAXwBfADIAXwBfAE4AaQB0AHIAbwB1AHMATwB4AGkAZA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4AQwBfAEEARwBjAFwAIgAsAFwAIgBuAGkAdAByAG8AZwBlAG4AIABjAG8AbgB0AGUAbgB0ACAAaQBuACAAdABoAGUAIABhAGIAbwB2AGUALQBnAHIAbwB1AG4AZAAgAHIAZQBzAGkAZAB1AGUAIABvAGYAIABjAHIAbwBwACAAdAB5AHAAZQAgAGMAXAAiACwAIABcACIAawBnACAATgAvAGsAZwAgAEQATQBcACIALAAgAFwAIgBDAG8AbgBzAHQAYQBuAHQAXAAiADsAXABuACAAIAAgACAAIAAgACAAIAAgACAAXAAiAEUARgBfAE4AMgBPAFwAIgAsAFwAIgBlAG0AaQBzAHMAaQBvAG4AIABmAGEAYwB0AG8AcgAgAGYAbwByACAAbgBpAHQAcgBvAHUAcwAgAG8AeABpAGQAZQAgAGYAcgBvAG0AIABiAHUAcgBuAGkAbgBnACAAbwBmACAAYwByAG8AcAAgAHIAZQBzAGkAZAB1AGUAcwBcACIALAAgAFwAIgBrAGcAIABOADIATwAvAGsAZwAgAE4AMgBPACAAYgB1AHIAbgB0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NABfADEAXwAxAF8AXwAzAF8AXwBNAGEAcwBzAE8AZgBDAHIAbwBwAFIAZQBzAGkAZAB1AGUAQgB1AHIAbgB0AFwAbgBNAGEAcwBzACAAbwBmACAAcgBlAHMAaQBkAHUAZQAgAG8AZgAgAGMAcgBvAHAAIABjACAAYgB1AHIAbgB0AFwAbgBNAF8AYgB1AHIAbgBjAFwAbgBrAGcAXABuAE0AXwB7AGIAdQByAG4ALABjAH0APQBQAF8AewBjAH0AXABcAHQAaQBtAGUAcwAgAFIAXwB7AEEARwBjAH0AXABcAHQAaQBtAGUAcwAgAFMAXwB7AGMAfQBcAFwAdABpAG0AZQBzACAARABNAF8AewBjAH0AXABcAHQAaQBtAGUAcwAgAFoAXwB7AGMAfQBcAFwAdABpAG0AZQBzACAARgBfAHsAYwB9AFwAbgBQAF8AYwAgAD0AIABhAG4AbgB1AGEAbAAgAHAAcgBvAGQAdQBjAHQAaQBvAG4AIABvAGYAIABjAHIAbwBwACAAdAB5AHAAZQAgAGMAIAAoAGsAZwApAFwAbgBSAF8AQQBHAGMAIAA9ACAAcgBlAHMAaQBkAHUAZQAgAHQAbwAgAGMAcgBvAHAAIAByAGEAdABpAG8AIABvAGYAIABjAHIAbwBwACAAdAB5AHAAZQAgAGMAIAAoAGsAZwAgAGMAcgBvAHAAIAByAGUAcwBpAGQAdQBlAC8AawBnACAAYwByAG8AcAApAFwAbgBTAF8AYwAgAD0AIABmAHIAYQBjAHQAaQBvAG4AIABvAGYAIAByAGUAcwBpAGQAdQBlAHMAIABvAGYAIABjAHIAbwBwACAAdAB5AHAAZQAgAGMAIAByAGUAbQBhAGkAbgBpAG4AZwAgAGEAdAAgAGIAdQByAG4AaQBuAGcAIAAoAGQAaQBtAGUAbgBzAGkAbwBuAGwAZQBzAHMAKQBcAG4ARABNAF8AYwAgAD0AIABkAHIAeQAgAG0AYQB0AHQAZQByACAAYwBvAG4AdABlAG4AdAAgAG8AZgAgAGMAcgBvAHAAIAB0AHkAcABlACAAYwAgACgAawBnACAAZAByAHkAIAB3AGUAaQBnAGgAdAAvAGsAZwAgAGMAcgBvAHAAIAByAGUAcwBpAGQAdQBlACkAXABuAFoAXwBjACAAPQAgAGIAdQByAG4AaQBuAGcAIABlAGYAZgBpAGMAaQBlAG4AYwB5ACAAKAByAGEAdABpAG8AIABvAGYAIABmAHUAZQBsACAAYgB1AHIAbgB0ACAAdABvACAAZgB1AGUAbAAgAGwAbwBhAGQAKQAgAG8AZgAgAGMAcgBvAHAAIAB0AHkAcABlACAAYwAgACgAZABpAG0AZQBuAHMAaQBvAG4AbABlAHMAcwApAFwAbgBGAF8AYwAgAD0AIABmAHIAYQBjAHQAaQBvAG4AIABvAGYAIAB0AGgAZQAgAGEAbgBuAHUAYQBsACAAcAByAG8AZAB1AGMAdABpAG8AbgAgAG8AZgAgAGMAcgBvAHAAIAB0AHkAcABlACAAYwAgAHQAaABhAHQAIABpAHMAIABiAHUAcgBuAHQAIAAoAGQAaQBtAGUAbgBzAGkAbwBuAGwAZQBzAHMAKQBcAG4AYwAgAD0AIABDAHIAbwBwACAAdAB5AHAAZQBcAG4ALQAtAC0ALQAtAC0ALQAtAC0ALQAtAC0ALQAtAC0ALQAtAC0ALQAtAC0ALQAtAC0ALQAtAC0ALQAtAC0ALQAtAC0ALQAtAC0ALQAtAFwAbgAqAC8AXABuAFwAbgBWAEUARQBSAEcAXwA2AF8ANABfADEAXwAxAF8AXwAzAF8AXwBNAGEAcwBzAE8AZgBDAHIAbwBwAFIAZQBzAGkAZAB1AGUAQgB1AHIAbgB0AFwAbgAgACAAPQBMAEEATQBCAEQAQQAoAFwAbgAgACAAIAAgAFAAXwBjACwAIABSAF8AQQBHAGMALAAgAFMAXwBjACwAIABEAE0AXwBjACwAIABaAF8AYwAsACAARgBfAGMALABcAG4AIAAgACAAIABQAF8AYwAgACoAIABSAF8AQQBHAGMAIAAqACAAUwBfAGMAIAAqACAARABNAF8AYwAgACoAIABaAF8AYwAgACoAIABGAF8AYwBcAG4AIAAgACkAOwBcAG4AXABuAFYARQBFAFIARwBfADYAXwA0AF8AMQBfADEAXwBfADMAXwBfAE0AYQBzAHMATwBmAEMAcgBvAHAAUgBlAHMAaQBkAHUAZQBCAHUAcgBuAHQAXwBGAHUAbgBjAHQAaQBvAG4ATgBhAG0AZQBcAG4AIAAgAD0ATABBAE0AQgBEAEEAKABcACIAVgBFAEUAUgBHAF8ANgBfADQAXwAxAF8AMQBfAF8AMwBfAF8ATQBhAHMAcwBPAGYAQwByAG8AcABSAGUAcwBpAGQAdQBlAEIAdQByAG4AdABcACIAKQA7AFwAbgBcAG4AVgBFAEUAUgBHAF8ANgBfADQAXwAxAF8AMQBfAF8AMwBfAF8ATQBhAHMAcwBPAGYAQwByAG8AcABSAGUAcwBpAGQAdQBlAEIAdQByAG4AdABfAFQAaQB0AGwAZQBcAG4AIAAgAD0ATABBAE0AQgBEAEEAKABcACIATQBhAHMAcwAgAG8AZgAgAHIAZQBzAGkAZAB1AGUAIABvAGYAIABjAHIAbwBwACAAYwAgAGIAdQByAG4AdABcACIAKQA7AFwAbgBcAG4AVgBFAEUAUgBHAF8ANgBfADQAXwAxAF8AMQBfAF8AMwBfAF8ATQBhAHMAcwBPAGYAQwByAG8AcABSAGUAcwBpAGQAdQBlAEIAdQByAG4AdABfAFYAYQByAGkAYQBiAGwAZQBcAG4AIAAgAD0ATABBAE0AQgBEAEEAKABcACIATQBfAGIAdQByAG4AYwBcACIAKQA7AFwAbgBcAG4AVgBFAEUAUgBHAF8ANgBfADQAXwAxAF8AMQBfAF8AMwBfAF8ATQBhAHMAcwBPAGYAQwByAG8AcABSAGUAcwBpAGQAdQBlAEIAdQByAG4AdABfAFUAbgBpAHQAXABuACAAIAA9AEwAQQBNAEIARABBACgAXAAiAGsAZwBcACIAKQA7AFwAbgBcAG4AVgBFAEUAUgBHAF8ANgBfADQAXwAxAF8AMQBfAF8AMwBfAF8ATQBhAHMAcwBPAGYAQwByAG8AcABSAGUAcwBpAGQAdQBlAEIAdQByAG4AdABfAFMAbwB1AHIAYwBlAFwAbgAgACAAPQBMAEEATQBCAEQAQQAoAFwAIgBWAEUARQBSAEcAIAAyADAAMgA2ADoAIAA2AC4ANAAuADEALgAxACwAIABFAHEAdQBhAHQAaQBvAG4AIAAoADMAKQBcACIAKQA7AFwAbgBcAG4AVgBFAEUAUgBHAF8ANgBfADQAXwAxAF8AMQBfAF8AMwBfAF8ATQBhAHMAcwBPAGYAQwByAG8AcABSAGUAcwBpAGQAdQBlAEIAdQByAG4AdABfAE4ASQBSAFIAZQBmAGUAcgBlAG4AYwBlAFwAbgAgACAAPQBMAEEATQBCAEQAQQAoAFwAIgBcACIAKQA7AFwAbgBcAG4AVgBFAEUAUgBHAF8ANgBfADQAXwAxAF8AMQBfAF8AMwBfAF8ATQBhAHMAcwBPAGYAQwByAG8AcABSAGUAcwBpAGQAdQBlAEIAdQByAG4AdABfAEwAYQB0AGUAeABFAHEAdQBhAHQAaQBvAG4AXABuACAAIAA9AEwAQQBNAEIARABBACgAXAAiAE0AXwB7AGIAdQByAG4ALABjAH0APQBQAF8AewBjAH0AXABcAHQAaQBtAGUAcwAgAFIAXwB7AEEARwBjAH0AXABcAHQAaQBtAGUAcwAgAFMAXwB7AGMAfQBcAFwAdABpAG0AZQBzACAARABNAF8AewBjAH0AXABcAHQAaQBtAGUAcwAgAFoAXwB7AGMAfQBcAFwAdABpAG0AZQBzACAARgBfAHsAYwB9AFwAIgApADsAXABuAFwAbgBWAEUARQBSAEcAXwA2AF8ANABfADEAXwAxAF8AXwAzAF8AXwBNAGEAcwBzAE8AZgBDAHIAbwBwAFIAZQBzAGkAZAB1AGUAQgB1AHIAbgB0AF8AQQByAGcAdQBtAGUAbgB0AHMAXABuACAAIAA9AEwAQQBNAEIARABBACgAXABuACAAIAAgACAATQBBAEsARQBBAFIAUgBBAFkAKAA3ACwAIAA0ACwAXABuACAAIAAgACAAIAAgAEwAQQBNAEIARABBACgAcgAsAGMALABcAG4AIAAgACAAIAAgACAAIAAgAEkATgBEAEUAWAAoAHsAXABuACAAIAAgACAAIAAgACAAIAAgACAAXAAiAFAAXwBjAFwAIgAsAFwAIgBhAG4AbgB1AGEAbAAgAHAAcgBvAGQAdQBjAHQAaQBvAG4AIABvAGYAIABjAHIAbwBwACAAdAB5AHAAZQAgAGMAXAAiACwAIABcACIAawBnAFwAIgAsACAAXAAiAEkAbgBwAHUAdABcACIAOwBcAG4AIAAgACAAIAAgACAAIAAgACAAIABcACIAUgBfAEEARwBjAFwAIgAsAFwAIgByAGUAcwBpAGQAdQBlACAAdABvACAAYwByAG8AcAAgAHIAYQB0AGkAbwAgAG8AZgAgAGMAcgBvAHAAIAB0AHkAcABlACAAYwBcACIALAAgAFwAIgBrAGcAIABjAHIAbwBwACAAcgBlAHMAaQBkAHUAZQAvAGsAZwAgAGMAcgBvAHAAXAAiACwAIABcACIAQwBvAG4AcwB0AGEAbgB0AFwAIgA7AFwAbgAgACAAIAAgACAAIAAgACAAIAAgAFwAIgBTAF8AYwBcACIALABcACIAZgByAGEAYwB0AGkAbwBuACAAbwBmACAAcgBlAHMAaQBkAHUAZQBzACAAbwBmACAAYwByAG8AcAAgAHQAeQBwAGUAIABjACAAcgBlAG0AYQBpAG4AaQBuAGcAIABhAHQAIABiAHUAcgBuAGkAbgBnAFwAIgAsACAAXAAiAGYAcgBhAGMAdABpAG8AbgBcACIALAAgAFwAIgBDAG8AbgBzAHQAYQBuAHQAXAAiADsAXABuACAAIAAgACAAIAAgACAAIAAgACAAXAAiAEQATQBfAGMAXAAiACwAXAAiAGQAcgB5ACAAbQBhAHQAdABlAHIAIABjAG8AbgB0AGUAbgB0ACAAbwBmACAAYwByAG8AcAAgAHQAeQBwAGUAIABjAFwAIgAsACAAXAAiAGsAZwAgAGQAcgB5ACAAdwBlAGkAZwBoAHQALwBrAGcAIABjAHIAbwBwACAAcgBlAHMAaQBkAHUAZQBcACIALAAgAFwAIgBDAG8AbgBzAHQAYQBuAHQAXAAiADsAXABuACAAIAAgACAAIAAgACAAIAAgACAAXAAiAFoAXwBjAFwAIgAsAFwAIgBiAHUAcgBuAGkAbgBnACAAZQBmAGYAaQBjAGkAZQBuAGMAeQAgACgAcgBhAHQAaQBvACAAbwBmACAAZgB1AGUAbAAgAGIAdQByAG4AdAAgAHQAbwAgAGYAdQBlAGwAIABsAG8AYQBkACkAIABvAGYAIABjAHIAbwBwACAAdAB5AHAAZQAgAGMAXAAiACwAIABcACIAXAAiACwAIABcACIAQwBvAG4AcwB0AGEAbgB0AFwAIgA7AFwAbgAgACAAIAAgACAAIAAgACAAIAAgAFwAIgBGAF8AYwBcACIALABcACIAZgByAGEAYwB0AGkAbwBuACAAbwBmACAAdABoAGUAIABhAG4AbgB1AGEAbAAgAHAAcgBvAGQAdQBjAHQAaQBvAG4AIABvAGYAIABjAHIAbwBwACAAdAB5AHAAZQAgAGMAIAB0AGgAYQB0ACAAaQBzACAAYgB1AHIAbgB0AFwAIgAsACAAXAAiAGYAcgBhAGMAdABpAG8Abg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AiAH0ALAB7ACIAcABhAHQAaAAiADoAIgAvAHAAcgBvAGoAZQBjAHQAcwAvAEEAZwByAGUAcwBpAGQAdQBlAF8AUwBvAHUAcgBjAGUARABhAHQAYQAiACwAIgB0AGUAeAB0ACIAOgAiAC8AKgBcAG4APQA9AD0APQA9AD0APQA9AD0APQA9AD0APQA9AD0APQA9AD0APQA9AD0APQA9AD0APQA9AD0APQA9AD0APQA9AD0APQA9AD0APQA9AD0APQA9AD0APQA9AD0APQA9AD0APQA9AD0APQA9AD0APQA9AD0APQA9AD0APQA9AD0APQA9AD0APQA9AD0APQA9AD0APQA9AD0APQBcAG4AQwByAG8AcAAgAHAAdQByAHAAbwBzAGUAIABhAG4AZAAgAHkAaQBlAGwAZABcAG4APQA9AD0APQA9AD0APQA9AD0APQA9AD0APQA9AD0APQA9AD0APQA9AD0APQA9AD0APQA9AD0APQA9AD0APQA9AD0APQA9AD0APQA9AD0APQA9AD0APQA9AD0APQA9AD0APQA9AD0APQA9AD0APQA9AD0APQA9AD0APQA9AD0APQA9AD0APQA9AD0APQA9AD0APQA9AD0APQBcAG4AKgAvAFwAbgBcAG4AQwByAG8AcABQAHUAcgBwAG8AcwBlAEEAbgBkAFkAaQBlAGwAZABfAFQAaQB0AGwAZQBcAG4APQBMAEEATQBCAEQAQQAoACgAXAAiAEMAcgBvAHAAIABwAHUAcgBwAG8AcwBlACAAYQBuAGQAIAB5AGkAZQBsAGQAXAAiACkAKQA7AFwAbgBcAG4AQwByAG8AcABQAHUAcgBwAG8AcwBlAEEAbgBkAFkAaQBlAGwAZABfAEQAYQB0AGEAXABuAD0ATABBAE0AQgBEAEEAKABcAG4AIAAgAE0AQQBLAEUAQQBSAFIAQQBZACgANAAsACAAOAAsAFwAbgAgACAAIAAgAEwAQQBNAEIARABBACgAcgAsAGMALABcAG4AIAAgACAAIAAgACAASQBOAEQARQBYACgAewBcAG4AIAAgACAAIAAgACAAIAAgAFwAIgBQAHUAcgBwAG8AcwBlAFwAIgAsACAAXAAiAFAAZQByACAAaABlAGMAdABhAHIAZQAgAHUAbgBpAHQAXAAiACwAIABcACIAaABhAHIAdgBlAHMAdAAgAHQAZQByAG0AXAAiACwAIABcACIAaABhAHIAdgBlAHMAdAAgAGUAbgBkAHAAbwBpAG4AdABcACIALAAgAFwAIgBIAGEAcgB2AGUAcwB0ACAAdQBpAHQAXAAiACwAIABcACIAWQBpAGUAbABkACAAbgBvAHQAZQBcACIALAAgAFwAIgBSAGUAcwBpAGQAdQBlACAAYwByAG8AcAAgAHIAYQB0AGkAbwAgAG4AbwB0AGUAXAAiACwAIABcACIAVABvAHQAYQBsACAAcAByAG8AZAB1AGMAdABpAG8AbgAgAG4AbwB0AGUAXAAiADsAXABuACAAIAAgACAAIAAgACAAIABcACIAQwBhAHMAaAAgAGcAcgBhAGkAbgAgAGMAcgBvAHAAXAAiACwAIABcACIAZwByAGEAaQBuAFwAIgAsACAAXAAiAHkAaQBlAGwAZABcACIALAAgAFwAIgBoAGEAcgB2AGUAcwB0AFwAIgAsACAAXAAiAGcAcgBhAGkAbgBcACIALAAgAFwAIgBZAGkAZQBsAGQAIABpAHMAIAB0AGgAZQAgAGcAcgBhAGkAbgAgAGgAYQByAHYAZQBzAHQAZQBkACAAZgByAG8AbQAgAHQAaABlACAAcABsAGEAbgB0AFwAIgAsACAAXAAiAFIAZQBzAGkAZAB1AGUAIAB0AG8AIABjAHIAbwBwACAAcgBhAHQAaQBvACAAaQBzACAAcAByAG8AdgBpAGQAZQBkACAAZgByAG8AbQAgAGQAZQBmAGEAdQBsAHQAIAB2AGEAbAB1AGUAcwBcACIALAAgAFwAIgBUAG8AdABhAGwAIABwAHIAbwBkAHUAYwB0AGkAbwBuACAAaQBzACAAdABoAGUAIAB0AG8AdABhAGwAIABnAHIAYQBpAG4AIABoAGEAcgB2AGUAcwB0AGUAZABcACIAOwBcAG4AIAAgACAAIAAgACAAIAAgAFwAIgBDAGEAcwBoACAAYwByAG8AcAAgAGYAbwByACAAaABhAHkALwBzAGkAbABhAGcAZQBcACIALAAgAFwAIgBhAGIAbwB2AGUAIABnAHIAbwB1AG4AZAAgAGIAaQBvAG0AYQBzAHMAXAAiACwAIABcACIAeQBpAGUAbABkAFwAIgAsACAAXAAiAGgAYQByAHYAZQBzAHQAXAAiACwAIABcACIAcABsAGEAbgB0ACAAYgBpAG8AbQBhAHMAcwBcACIALAAgAFwAIgBZAGkAZQBsAGQAIABpAHMAIAB0AGgAZQAgAHcAaABvAGwAZQAgAHAAbABhAG4AdAAgAGgAYQByAHYAZQBzAHQAZQBkACAAZgBvAHIAIABoAGEAeQAvAHMAaQBsAGEAZwBlAFwAIgAsACAAXAAiAFIAZQBzAGkAZAB1AGUAIAB0AG8AIABjAHIAbwBwACAAcgBhAHQAaQBvACAAaQBzACAAMAAgAGEAcwBzAHUAbQBpAG4AZwAgAHQAaABlACAAdwBoAG8AbABlACAAcABsAGEAbgB0ACAAaQBzACAAaABhAHIAdgBlAHMAdABlAGQAIABmAG8AcgAgAGgAYQB5AC8AcwBpAGwAYQBnAGUAXAAiACwAIABcACIAVABvAHQAYQBsACAAcAByAG8AZAB1AGMAdABpAG8AbgAgAGkAcwAgAHQAaABlACAAdABvAHQAYQBsACAAdwBoAG8AbABlACAAcABsAGEAbgB0ACAAYgBpAG8AbQBhAHMAcwAgAGgAYQByAHYAZQBzAHQAZQBkACAAYQBzACAAaABhAHkALwBzAGkAbABhAGcAZQBcACIAOwBcAG4AIAAgACAAIAAgACAAIAAgAFwAIgBDAG8AdgBlAHIAIABjAHIAbwBwAFwAIgAsACAAXAAiAGEAYgBvAHYAZQAgAGcAcgBvAHUAbgBkACAAYgBpAG8AbQBhAHMAcwBcACIALAAgAFwAIgBtAGEAcwBzAFwAIgAsACAAXAAiAGUAbgBkACAAbwBmACAAYwByAG8AcAAgAGMAeQBjAGwAZQBcACIALAAgAFwAIgBhAGIAbwB2AGUAIABnAHIAbwB1AG4AZAAgAGIAaQBvAG0AYQBzAHMAXAAiACwAIABcACIAWQBpAGUAbABkACAAaQBzACAAdABoAGUAIAB3AGgAbwBsAGUAIABwAGwAYQBuAHQAIABrAGUAcAB0ACAAYQBzACAAYwBvAHYAZQByACAAYwByAG8AcABcACIALAAgAFwAIgBSAGUAcwBpAGQAdQBlACAAdABvACAAYwByAG8AcAAgAHIAYQB0AGkAbwAgAGkAcwAgADEAIABhAHMAcwB1AG0AaQBuAGcAIAB0AGgAZQAgAHcAaABvAGwAZQAgAHAAbABhAG4AdAAgAGkAcwAgAGsAZQBwAHQAIABhAHMAIABjAG8AdgBlAHIAIABjAHIAbwBwAFwAIgAsACAAXAAiAFQAbwB0AGEAbAAgAHAAcgBvAGQAdQBjAHQAaQBvAG4AIABpAHMAIAB0AGgAZQAgAHQAbwB0AGEAbAAgAHcAaABvAGwAZQAgAHAAbABhAG4AdAAgAGIAaQBvAG0AYQBzAHMAIABrAGUAcAB0ACAAYQBzACAAYwBvAHYAZQByACAAYwByAG8Ac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QwByAG8AcAAgAGEAdAB0AHIAaQBiAHUAdABlAHMAXABuAD0APQA9AD0APQA9AD0APQA9AD0APQA9AD0APQA9AD0APQA9AD0APQA9AD0APQA9AD0APQA9AD0APQA9AD0APQA9AD0APQA9AD0APQA9AD0APQA9AD0APQA9AD0APQA9AD0APQA9AD0APQA9AD0APQA9AD0APQA9AD0APQA9AD0APQA9AD0APQA9AD0APQA9AD0APQA9AD0AXABuACoALwBcAG4AXABuAEMAcgBvAHAAQQB0AHQAcgBpAGIAdQB0AGUAcwBfAFQAaQB0AGwAZQBcAG4APQBMAEEATQBCAEQAQQAoACgAXAAiAFQAYQBiAGwAZQAgAEEALgAyAC4AMQAuADEAOgAgAEMAcgBvAHAAIABhAHQAdAByAGkAYgB1AHQAZQBzAFwAIgApACkAOwBcAG4AXABuAEMAcgBvAHAAQQB0AHQAcgBpAGIAdQB0AGUAcwBfAEQAZQBzAGMAcgBpAHAAdABpAG8AbgBcAG4APQBMAEEATQBCAEQAQQAoACgAXAAiAEMAcgBvAHAAIABhAHQAdAByAGkAYgB1AHQAZQBzAFwAIgApACkAOwBcAG4AXABuAEMAcgBvAHAAQQB0AHQAcgBpAGIAdQB0AGUAcwBfAFMAbwB1AHIAYwBlAFwAbgA9AEwAQQBNAEIARABBACgAKABcACIAVgBFAEUAUgBHACAAMgAwADIANgA6ACAAVABhAGIAbABlACAAQQAuADIALgAxAC4AMQA6ACAAQwByAG8AcAAgAGEAdAB0AHIAaQBiAHUAdABlAHMAXAAiACkAKQA7AFwAbgBcAG4AQwByAG8AcABBAHQAdAByAGkAYgB1AHQAZQBzAF8ARABhAHQAYQBcAG4APQBMAEEATQBCAEQAQQAoAFwAbgAgACAATQBBAEsARQBBAFIAUgBBAFkAKAAyADAALAAgADkALABcAG4AIAAgACAAIABMAEEATQBCAEQAQQAoAHIALABjACwAXABuACAAIAAgACAAIAAgAEkATgBEAEUAWAAoAHsAXABuACAAIAAgACAAIAAgACAAIABcACIAQwByAG8AcAAgAHQAeQBwAGUAXAAiACwAIABcACIAUgBlAHMAaQBkAHUAZQA6ACAAQwByAG8AcAAgAHIAYQB0AGkAbwBcACIALAAgAFwAIgBCAGUAbABvAHcALQBnAHIAbwB1AG4AZAA6ACAAYQBiAG8AdgBlAC0AZwByAG8AdQBuAGQAIAByAGUAcwBpAGQAdQBlACAAcgBhAHQAaQBvAFwAIgAsACAAXAAiAEQAcgB5ACAAbQBhAHQAdABlAHIAIABjAG8AbgB0AGUAbgB0AFwAIgAsACAAXAAiAEMAYQByAGIAbwBuACAAZgByAGEAYwB0AGkAbwBuACAAaQBuACAAZAByAHkAIABtAGEAdAB0AGUAcgBcACIALAAgAFwAIgBOACAAYwBvAG4AdABlAG4AdAAgAGEAYgBvAHYAZQAtAGcAcgBvAHUAbgBkAFwAIgAsACAAXAAiAE4AIABjAG8AbgB0AGUAbgB0ACAAYgBlAGwAbwB3AC0AZwByAG8AdQBuAGQAXAAiACwAIABcACIARgByAGEAYwB0AGkAbwBuACAAbwBmACAAcgBlAHMAaQBkAHUAZQAgAHIAZQBtAGEAaQBuAGkAbgBnACAAYQB0ACAAdABpAG0AZQAgAG8AZgAgAGIAdQByAG4AaQBuAGcAXAAiACwAIABcACIAQgB1AHIAbgBpAG4AZwAgAGUAZgBmAGkAYwBpAGUAbgBjAHkAdABcACIAOwBcAG4AIAAgACAAIAAgACAAIAAgAFwAIgBjAFwAIgAsACAAXAAiAFIAQQBHAGMAXAAiACwAIABcACIAUgBCAEcAYwBcACIALAAgAFwAIgBEAE0AYwBcACIALAAgAFwAIgBDAEMAYwBcACIALAAgAFwAIgBOAEMAQQBHAGMAXAAiACwAIABcACIATgBDAEIARwBjAFwAIgAsACAAXAAiAFMAYwBcACIALAAgAFwAIgBaAGMAXAAiADsAXABuACAAIAAgACAAIAAgACAAIABcACIAVwBoAGUAYQB0AFwAIgAsACAAMQAuADUAMAAsACAAMAAuADIAOQAsACAAMAAuADgAOAAsACAAMAAuADQAMAAsACAAMAAuADAAMAA2ACwAIAAwAC4AMAAxADAALAAgADAALgA1ACwAIAAwAC4AOQAwADsAXABuACAAIAAgACAAIAAgACAAIABcACIAQgBhAHIAbABlAHkAXAAiACwAIAAxAC4AMgA0ACwAIAAwAC4AMwAyACwAIAAwAC4AOAA4ACwAIAAwAC4ANAAwACwAIAAwAC4AMAAwADcALAAgADAALgAwADEAMAAsACAAMAAuADUALAAgADAALgA4ADUAOwBcAG4AIAAgACAAIAAgACAAIAAgAFwAIgBNAGEAaQB6AGUAXAAiACwAIAAwAC4AOAAxACwAIAAwAC4AMwA5ACwAIAAwAC4AOAA1ACwAIAAwAC4ANAAyACwAIAAwAC4AMAAwADUALAAgADAALgAwADAANwAsACAAMQAuADAALAAgADAALgA4ADAAOwBcAG4AIAAgACAAIAAgACAAIAAgAFwAIgBPAGEAdABzAFwAIgAsACAAMQAuADQAMgAsACAAMAAuADQAMwAsACAAMAAuADgAOAAsACAAMAAuADQAMAAsACAAMAAuADAAMAA2ACwAIAAwAC4AMAAxADAALAAgADAALgA1ACwAIAAwAC4AOAA1ADsAXABuACAAIAAgACAAIAAgACAAIABcACIAUgBpAGMAZQBcACIALAAgADEALgAzADEALAAgADAALgAxADYALAAgADAALgA4ADAALAAgADAALgA0ADIALAAgADAALgAwADAANwAsACAAMAAuADAAMQAwACwAIAAxAC4AMAAsACAAMAAuADgAMAA7AFwAbgAgACAAIAAgACAAIAAgACAAXAAiAFMAbwByAGcAaAB1AG0AXAAiACwAIAAxAC4ANQAwACwAIAAwAC4AMgAyACwAIAAwAC4AOAAwACwAIAAwAC4ANAAwACwAIAAwAC4AMAAwADgALAAgADAALgAwADAANwAsACAAMAAuADUALAAgADAALgA4ADUAOwBcAG4AIAAgACAAIAAgACAAIAAgAFwAIgBUAHIAaQB0AGkAYwBhAGwAZQBcACIALAAgADEALgA1ADAALAAgADAALgA0ADIALAAgADAALgA4ADgALAAgADAALgA0ADAALAAgADAALgAwADAANgAsACAAMAAuADAAMQAwACwAIAAwAC4ANQAsACAAMAAuADgANQA7AFwAbgAgACAAIAAgACAAIAAgACAAXAAiAE8AdABoAGUAcgAgAGMAZQByAGUAYQBsAHMAXAAiACwAIAAxAC4ANAA2ACwAIAAwAC4AMwA2ACwAIAAwAC4AOAA4ACwAIAAwAC4ANAAwACwAIAAwAC4AMAAwADYALAAgADAALgAwADEAMAAsACAAMAAuADUALAAgADAALgA4ADUAOwBcAG4AIAAgACAAIAAgACAAIAAgAFwAIgBQAHUAbABzAGUAcwBcACIALAAgADEALgAzADcALAAgADAALgA1ADEALAAgADAALgA4ADcALAAgADAALgA0ADAALAAgADAALgAwADAAOQAsACAAMAAuADAAMQAwACwAIAAwAC4ANQAsACAAMAAuADgANQA7AFwAbgAgACAAIAAgACAAIAAgACAAXAAiAFQAdQBiAGUAcgBzACAAYQBuAGQAIAByAG8AbwB0AHMAXAAiACwAIAAwAC4AMwA0ACwAIAAwAC4ANAAzACwAIAAwAC4AMgA1ACwAIAAwAC4ANAAwACwAIAAwAC4AMAAyADAALAAgADAALgAwADEAMAAsACAAXAAiAG4ALwBhAFwAIgAsACAAMAAuADgANQA7AFwAbgAgACAAIAAgACAAIAAgACAAXAAiAFAAZQBhAG4AdQB0AHMAXAAiACwAIAAxAC4AMAA3ACwAIAAwAC4AMgAwACwAIAAwAC4AOAAwACwAIAAwAC4ANAAyACwAIAAwAC4AMAAxADYALAAgADAALgAwADEANAAsACAAMAAuADUALAAgADAALgA4ADUAOwBcAG4AIAAgACAAIAAgACAAIAAgAFwAIgBTAHUAZwBhAHIAIABjAGEAbgBlAFwAIgAsACAAMAAuADIANQAsACAAMAAuADQANQAsACAAMAAuADIAMAAsACAAMAAuADQAMAAsACAAMAAuADAAMAA1ACwAIAAwAC4AMAAwADcALAAgADEALgAwACwAIAAwAC4AOAAwADsAXABuACAAIAAgACAAIAAgACAAIABcACIAQwBvAHQAdABvAG4AXAAiACwAIAAxAC4AOQAwACwAIAAwAC4AMwAwACwAIAAwAC4AOQAwACwAIAAwAC4ANAAwACwAIAAwAC4AMAAxACwAIAAwAC4AMAAxACwAIABcACIAbgAvAGEAXAAiACwAIAAwAC4AOAA1ADsAXABuACAAIAAgACAAIAAgACAAIABcACIASABvAHAAcwBcACIALAAgADEALgA1ADAALAAgADAALgAyADkALAAgADAALgA4ADgALAAgADAALgA0ADAALAAgADAALgAwADAANgAsACAAXAAiAG4ALwBhAFwAIgAsACAAXAAiAG4ALwBhAFwAIgAsACAAMAAuADgANQA7AFwAbgAgACAAIAAgACAAIAAgACAAXAAiAE8AaQBsAHMAZQBlAGQAcwBcACIALAAgADIALgAwADgALAAgADAALgAzADMALAAgADAALgA5ADYALAAgADAALgA0ADAALAAgADAALgAwADAAOQAsACAAMAAuADAAMQAwACwAIAAwAC4ANQAsACAAMAAuADgANQA7AFwAbgAgACAAIAAgACAAIAAgACAAXAAiAEYAbwByAGEAZwBlACAAYwByAG8AcABzAFwAIgAsACAAMQAuADMANAAsACAAMAAuADMANwAsACAAMAAuADgAOAAsACAAMAAuADQAMAAsACAAMAAuADAAMAA2ACwAIAAwAC4AMAAxADAALAAgAFwAIgBuAC8AYQBcACIALAAgADAALgA4ADUAOwBcAG4AIAAgACAAIAAgACAAIAAgAFwAIgBPAHQAaABlAHIAIABhAG4AbgB1AGEAbAAgAGMAcgBvAHAAcwBcACIALAAgADEALgAwADAALAAgADAALgAyADIALAAgADAALgA4ADUALAAgADAALgA0ADAALAAgADAALgAwADAAOAAsACAAMAAuADAAMAA5ACwAIABcACIAbgAvAGEAXAAiACwAIABcACIAbgAvAGEAXAAiADsAXABuACAAIAAgACAAIAAgACAAIABcACIATwB0AGgAZQByACAAcABlAHIAZQBuAG4AaQBhAGwAIABjAHIAbwBwAHMAXAAiACwAIAAxAC4ANQAsACAAMAAuADIAOQAsACAAMAAuADgAOAAsACAAMAAuADQALAAgADAALgAwADAANgAsACAAXAAiAG4ALwBhAFwAIgAsACAAXAAiAG4ALwBhAFwAIgAsACAAXAAiAG4ALwBhAFwAIgBcAG4AIAAgACAAIAAgACAAfQAsACAAcgAsACAAYwApAFwAbgApACkAKQA7AFwAbgBcAG4AQwByAG8AcABBAHQAdAByAGkAYgB1AHQAZQBzAF8AVgBhAHIAaQBhAHQAaQBvAG4AXABuAD0ATABBAE0AQgBEAEEAKAAoAFwAIgBWAEEAUgBJAEEAVABJAE8ATgAgAEYAUgBPAE0AIABTAE8AVQBSAEMARQA6ACAAXAB1ADAAMAAyADcATgAvAEEAXAB1ADAAMAAyADcAIAB2AGEAbAB1AGUAcwAgAHAAYQBzAHMAZQBkACAAYQBzACAAegBlAHIAbwAgAGYAbwByACAAYwBhAGwAYwB1AGwAYQB0AGkAbwBuAHMALgBcACIAKQApADsAXABuAFwAbgAvACoAXABuAD0APQA9AD0APQA9AD0APQA9AD0APQA9AD0APQA9AD0APQA9AD0APQA9AD0APQA9AD0APQA9AD0APQA9AD0APQA9AD0APQA9AD0APQA9AD0APQA9AD0APQA9AD0APQA9AD0APQA9AD0APQA9AD0APQA9AD0APQA9AD0APQA9AD0APQA9AD0APQA9AD0APQA9AD0APQA9AD0AXABuAEMAcgBvAHAAIABhAHQAdAByAGkAYgB1AHQAZQBzACAALQAgAEYAcgBhAGMAdABpAG8AbgAgAHIAZQBtAG8AdgBlAGQAIAAoAEYARgBPAEQAYwApAFwAbgA9AD0APQA9AD0APQA9AD0APQA9AD0APQA9AD0APQA9AD0APQA9AD0APQA9AD0APQA9AD0APQA9AD0APQA9AD0APQA9AD0APQA9AD0APQA9AD0APQA9AD0APQA9AD0APQA9AD0APQA9AD0APQA9AD0APQA9AD0APQA9AD0APQA9AD0APQA9AD0APQA9AD0APQA9AD0APQA9AFwAbgAqAC8AXABuAFwAbgBDAHIAbwBwAEYAcgBhAGMAdABpAG8AbgBSAGUAbQBvAHYAZQBkAF8AVABpAHQAbABlAFwAbgA9AEwAQQBNAEIARABBACgAKABcACIAVABhAGIAbABlACAAQQAuADIALgAxAC4AMgA6ACAAQwByAG8AcAAgAGEAdAB0AHIAaQBiAHUAdABlAHMAIAAtACAARgByAGEAYwB0AGkAbwBuACAAcgBlAG0AbwB2AGUAZAAgACgARgBGAE8ARABjACkAXAAiACkAKQA7AFwAbgBcAG4AQwByAG8AcABGAHIAYQBjAHQAaQBvAG4AUgBlAG0AbwB2AGUAZABfAEQAZQBzAGMAcgBpAHAAdABpAG8AbgBcAG4APQBMAEEATQBCAEQAQQAoACgAXAAiAEMAcgBvAHAAIABhAHQAdAByAGkAYgB1AHQAZQBzACAALQAgAEYAcgBhAGMAdABpAG8AbgAgAHIAZQBtAG8AdgBlAGQAIAAoAEYARgBPAEQAYwApAFwAIgApACkAOwBcAG4AXABuAEMAcgBvAHAARgByAGEAYwB0AGkAbwBuAFIAZQBtAG8AdgBlAGQAXwBTAG8AdQByAGMAZQBcAG4APQBMAEEATQBCAEQAQQAoACgAXAAiAFYARQBFAFIARwAgADIAMAAyADYAOgAgAFQAYQBiAGwAZQAgAEEALgAyAC4AMQAuADIAOgAgAEMAcgBvAHAAIABhAHQAdAByAGkAYgB1AHQAZQBzACAALQAgAEYAcgBhAGMAdABpAG8AbgAgAHIAZQBtAG8AdgBlAGQAIAAoAEYARgBPAEQAYwApAFwAIgApACkAOwBcAG4AXABuAEMAcgBvAHAARgByAGEAYwB0AGkAbwBuAFIAZQBtAG8AdgBlAGQAXwBEAGEAdABhAFwAbgA9AEwAQQBNAEIARABBACgAXABuACAAIABNAEEASwBFAEEAUgBSAEEAWQAoADEANw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BAGwAbAAgAHMAdABhAHQAZQBzAFwAIgAsACAAMAAuADAANgA7AFwAbgAgACAAIAAgACAAIAAgACAAXAAiAFQAdQBiAGUAcgBzACAAYQBuAGQAIAByAG8AbwB0AHMAXAAiACwAIABcACIAQQBsAGwAIABzAHQAYQB0AGUAcwBcACIALAAgADEAOwBcAG4AIAAgACAAIAAgACAAIAAgAFwAIgBDAG8AdAB0AG8AbgBcACIALAAgAFwAIgBBAGwAbAAgAHMAdABhAHQAZQBzAFwAIgAsACAAMAA7AFwAbgAgACAAIAAgACAAIAAgACAAXAAiAEgAbwBwAHMAXAAiACwAIABcACIAQQBsAGwAIABzAHQAYQB0AGUAcwBcACIALAAgADAAOwBcAG4AIAAgACAAIAAgACAAIAAgAFwAIgBGAG8AcgBhAGcAZQAgAGMAcgBvAHAAcwBcACIALAAgAFwAIgBBAGwAbAAgAHMAdABhAHQAZQBzAFwAIgAsACAAMAAuADgAOwBcAG4AIAAgACAAIAAgACAAIAAgAFwAIgBTAHUAZwBhAHIAIABDAGEAbgBlAFwAIgAsACAAXAAiAE4AUwBXAFwAIgAsACAAMAA7AFwAbgAgACAAIAAgACAAIAAgACAAXAAiAFMAdQBnAGEAcgAgAEMAYQBuAGUAXAAiACwAIABcACIAUQBMAEQAXAAiACwAIAAwAC4AMAAzADsAXABuACAAIAAgACAAIAAgACAAIABcACIAUwB1AGcAYQByACAAQwBhAG4AZQBcACIALAAgAFwAIgBXAEEAXAAiACwAIAAwADsAXABuACAAIAAgACAAIAAgACAAIABcACIAQQBsAGwAIABvAHQAaABlAHIAIABjAHIAbwBwACAAdAB5AHAAZQBzAFwAIgAsACAAXAAiAE4AUwBXAFwAIgAsACAAMAAuADAANQA7AFwAbgAgACAAIAAgACAAIAAgACAAXAAiAEEAbABsACAAbwB0AGgAZQByACAAYwByAG8AcAAgAHQAeQBwAGUAcwBcACIALAAgAFwAIgBWAEkAQwBcACIALAAgADAALgAwADcAOwBcAG4AIAAgACAAIAAgACAAIAAgAFwAIgBBAGwAbAAgAG8AdABoAGUAcgAgAGMAcgBvAHAAIAB0AHkAcABlAHMAXAAiACwAIABcACIAUQBMAEQAXAAiACwAIAAwAC4AMAA0ADsAXABuACAAIAAgACAAIAAgACAAIABcACIAQQBsAGwAIABvAHQAaABlAHIAIABjAHIAbwBwACAAdAB5AHAAZQBzAFwAIgAsACAAXAAiAFMAQQBcACIALAAgADAALgAwADkAOwBcAG4AIAAgACAAIAAgACAAIAAgAFwAIgBBAGwAbAAgAG8AdABoAGUAcgAgAGMAcgBvAHAAIAB0AHkAcABlAHMAXAAiACwAIABcACIAVwBBAFwAIgAsACAAMAAuADEAMQA7AFwAbgAgACAAIAAgACAAIAAgACAAXAAiAEEAbABsACAAbwB0AGgAZQByACAAYwByAG8AcAAgAHQAeQBwAGUAcwBcACIALAAgAFwAIgBUAEEAUwBcACIALAAgADAALgAxADYAOwBcAG4AIAAgACAAIAAgACAAIAAgAFwAIgBBAGwAbAAgAG8AdABoAGUAcgAgAGMAcgBvAHAAIAB0AHkAcABlAHMAXAAiACwAIABcACIATgBUAFwAIgAsACAAMAAuADAAMQA7AFwAbgAgACAAIAAgACAAIAAgACAAXAAiAEEAbABsACAAbwB0AGgAZQByACAAYwByAG8AcAAgAHQAeQBwAGUAcwBcACIALAAgAFwAIgBBAEMAVABcACIALAAgADAALgAwADAAXABuACAAIAAgACAAIAAgAH0ALAAgAHIALAAgAGMAKQBcAG4AKQApACkAOwBcAG4AXABuAEMAcgBvAHAARgByAGEAYwB0AGkAbwBuAFIAZQBtAG8AdgBlAGQAXwBDAHUAcwB0AG8AbQBpAHMAZQBkAEQAYQB0AGEAXABuAD0ATABBAE0AQgBEAEEAKABcAG4AIAAgAE0AQQBLAEUAQQBSAFIAQQBZACgAMQA0ADQ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TgBTAFcAXAAiACwAIAAwAC4AMAA2ADsAXABuACAAIAAgACAAIAAgACAAIABcACIAUgBpAGMAZQBcACIALAAgAFwAIgBWAEkAQwBcACIALAAgADAALgAwADYAOwBcAG4AIAAgACAAIAAgACAAIAAgAFwAIgBSAGkAYwBlAFwAIgAsACAAXAAiAFEATABEAFwAIgAsACAAMAAuADAANgA7AFwAbgAgACAAIAAgACAAIAAgACAAXAAiAFIAaQBjAGUAXAAiACwAIABcACIAUwBBAFwAIgAsACAAMAAuADAANgA7AFwAbgAgACAAIAAgACAAIAAgACAAXAAiAFIAaQBjAGUAXAAiACwAIABcACIAVwBBAFwAIgAsACAAMAAuADAANgA7AFwAbgAgACAAIAAgACAAIAAgACAAXAAiAFIAaQBjAGUAXAAiACwAIABcACIAVABBAFMAXAAiACwAIAAwAC4AMAA2ADsAXABuACAAIAAgACAAIAAgACAAIABcACIAUgBpAGMAZQBcACIALAAgAFwAIgBOAFQAXAAiACwAIAAwAC4AMAA2ADsAXABuACAAIAAgACAAIAAgACAAIABcACIAUgBpAGMAZQBcACIALAAgAFwAIgBBAEMAVABcACIALAAgADAALgAwADYAOwBcAG4AIAAgACAAIAAgACAAIAAgAFwAIgBUAHUAYgBlAHIAcwAgAGEAbgBkACAAcgBvAG8AdABzAFwAIgAsACAAXAAiAE4AUwBXAFwAIgAsACAAMQA7AFwAbgAgACAAIAAgACAAIAAgACAAXAAiAFQAdQBiAGUAcgBzACAAYQBuAGQAIAByAG8AbwB0AHMAXAAiACwAIABcACIAVgBJAEMAXAAiACwAIAAxADsAXABuACAAIAAgACAAIAAgACAAIABcACIAVAB1AGIAZQByAHMAIABhAG4AZAAgAHIAbwBvAHQAcwBcACIALAAgAFwAIgBRAEwARABcACIALAAgADEAOwBcAG4AIAAgACAAIAAgACAAIAAgAFwAIgBUAHUAYgBlAHIAcwAgAGEAbgBkACAAcgBvAG8AdABzAFwAIgAsACAAXAAiAFMAQQBcACIALAAgADEAOwBcAG4AIAAgACAAIAAgACAAIAAgAFwAIgBUAHUAYgBlAHIAcwAgAGEAbgBkACAAcgBvAG8AdABzAFwAIgAsACAAXAAiAFcAQQBcACIALAAgADEAOwBcAG4AIAAgACAAIAAgACAAIAAgAFwAIgBUAHUAYgBlAHIAcwAgAGEAbgBkACAAcgBvAG8AdABzAFwAIgAsACAAXAAiAFQAQQBTAFwAIgAsACAAMQA7AFwAbgAgACAAIAAgACAAIAAgACAAXAAiAFQAdQBiAGUAcgBzACAAYQBuAGQAIAByAG8AbwB0AHMAXAAiACwAIABcACIATgBUAFwAIgAsACAAMQA7AFwAbgAgACAAIAAgACAAIAAgACAAXAAiAFQAdQBiAGUAcgBzACAAYQBuAGQAIAByAG8AbwB0AHMAXAAiACwAIABcACIAQQBDAFQAXAAiACwAIAAxADsAXABuACAAIAAgACAAIAAgACAAIABcACIAQwBvAHQAdABvAG4AXAAiACwAIABcACIATgBTAFcAXAAiACwAIAAwADsAXABuACAAIAAgACAAIAAgACAAIABcACIAQwBvAHQAdABvAG4AXAAiACwAIABcACIAVgBJAEMAXAAiACwAIAAwADsAXABuACAAIAAgACAAIAAgACAAIABcACIAQwBvAHQAdABvAG4AXAAiACwAIABcACIAUQBMAEQAXAAiACwAIAAwADsAXABuACAAIAAgACAAIAAgACAAIABcACIAQwBvAHQAdABvAG4AXAAiACwAIABcACIAUwBBAFwAIgAsACAAMAA7AFwAbgAgACAAIAAgACAAIAAgACAAXAAiAEMAbwB0AHQAbwBuAFwAIgAsACAAXAAiAFcAQQBcACIALAAgADAAOwBcAG4AIAAgACAAIAAgACAAIAAgAFwAIgBDAG8AdAB0AG8AbgBcACIALAAgAFwAIgBUAEEAUwBcACIALAAgADAAOwBcAG4AIAAgACAAIAAgACAAIAAgAFwAIgBDAG8AdAB0AG8AbgBcACIALAAgAFwAIgBOAFQAXAAiACwAIAAwADsAXABuACAAIAAgACAAIAAgACAAIABcACIAQwBvAHQAdABvAG4AXAAiACwAIABcACIAQQBDAFQAXAAiACwAIAAwADsAXABuACAAIAAgACAAIAAgACAAIABcACIASABvAHAAcwBcACIALAAgAFwAIgBOAFMAVwBcACIALAAgADAAOwBcAG4AIAAgACAAIAAgACAAIAAgAFwAIgBIAG8AcABzAFwAIgAsACAAXAAiAFYASQBDAFwAIgAsACAAMAA7AFwAbgAgACAAIAAgACAAIAAgACAAXAAiAEgAbwBwAHMAXAAiACwAIABcACIAUQBMAEQAXAAiACwAIAAwADsAXABuACAAIAAgACAAIAAgACAAIABcACIASABvAHAAcwBcACIALAAgAFwAIgBTAEEAXAAiACwAIAAwADsAXABuACAAIAAgACAAIAAgACAAIABcACIASABvAHAAcwBcACIALAAgAFwAIgBXAEEAXAAiACwAIAAwADsAXABuACAAIAAgACAAIAAgACAAIABcACIASABvAHAAcwBcACIALAAgAFwAIgBUAEEAUwBcACIALAAgADAAOwBcAG4AIAAgACAAIAAgACAAIAAgAFwAIgBIAG8AcABzAFwAIgAsACAAXAAiAE4AVABcACIALAAgADAAOwBcAG4AIAAgACAAIAAgACAAIAAgAFwAIgBIAG8AcABzAFwAIgAsACAAXAAiAEEAQwBUAFwAIgAsACAAMAA7AFwAbgAgACAAIAAgACAAIAAgACAAXAAiAEYAbwByAGEAZwBlACAAYwByAG8AcABzAFwAIgAsACAAXAAiAE4AUwBXAFwAIgAsACAAMAAuADgAOwBcAG4AIAAgACAAIAAgACAAIAAgAFwAIgBGAG8AcgBhAGcAZQAgAGMAcgBvAHAAcwBcACIALAAgAFwAIgBWAEkAQwBcACIALAAgADAALgA4ADsAXABuACAAIAAgACAAIAAgACAAIABcACIARgBvAHIAYQBnAGUAIABjAHIAbwBwAHMAXAAiACwAIABcACIAUQBMAEQAXAAiACwAIAAwAC4AOAA7AFwAbgAgACAAIAAgACAAIAAgACAAXAAiAEYAbwByAGEAZwBlACAAYwByAG8AcABzAFwAIgAsACAAXAAiAFMAQQBcACIALAAgADAALgA4ADsAXABuACAAIAAgACAAIAAgACAAIABcACIARgBvAHIAYQBnAGUAIABjAHIAbwBwAHMAXAAiACwAIABcACIAVwBBAFwAIgAsACAAMAAuADgAOwBcAG4AIAAgACAAIAAgACAAIAAgAFwAIgBGAG8AcgBhAGcAZQAgAGMAcgBvAHAAcwBcACIALAAgAFwAIgBUAEEAUwBcACIALAAgADAALgA4ADsAXABuACAAIAAgACAAIAAgACAAIABcACIARgBvAHIAYQBnAGUAIABjAHIAbwBwAHMAXAAiACwAIABcACIATgBUAFwAIgAsACAAMAAuADgAOwBcAG4AIAAgACAAIAAgACAAIAAgAFwAIgBGAG8AcgBhAGcAZQAgAGMAcgBvAHAAcwBcACIALAAgAFwAIgBBAEMAVABcACIALAAgADAALgA4ADsAXABuACAAIAAgACAAIAAgACAAIABcACIAUwB1AGcAYQByACAAQwBhAG4AZQBcACIALAAgAFwAIgBOAFMAVwBcACIALAAgADAAOwBcAG4AIAAgACAAIAAgACAAIAAgAFwAIgBTAHUAZwBhAHIAIABDAGEAbgBlAFwAIgAsACAAXAAiAFYASQBDAFwAIgAsACAAXAAiAE4ALwBBAFwAIgA7AFwAbgAgACAAIAAgACAAIAAgACAAXAAiAFMAdQBnAGEAcgAgAEMAYQBuAGUAXAAiACwAIABcACIAUQBMAEQAXAAiACwAIAAwAC4AMAAzADsAXABuACAAIAAgACAAIAAgACAAIABcACIAUwB1AGcAYQByACAAQwBhAG4AZQBcACIALAAgAFwAIgBTAEEAXAAiACwAIABcACIATgAvAEEAXAAiADsAXABuACAAIAAgACAAIAAgACAAIABcACIAUwB1AGcAYQByACAAQwBhAG4AZQBcACIALAAgAFwAIgBXAEEAXAAiACwAIAAwADsAXABuACAAIAAgACAAIAAgACAAIABcACIAUwB1AGcAYQByACAAQwBhAG4AZQBcACIALAAgAFwAIgBUAEEAUwBcACIALAAgAFwAIgBOAC8AQQBcACIAOwBcAG4AIAAgACAAIAAgACAAIAAgAFwAIgBTAHUAZwBhAHIAIABDAGEAbgBlAFwAIgAsACAAXAAiAE4AVABcACIALAAgAFwAIgBOAC8AQQBcACIAOwBcAG4AIAAgACAAIAAgACAAIAAgAFwAIgBTAHUAZwBhAHIAIABDAGEAbgBlAFwAIgAsACAAXAAiAEEAQwBUAFwAIgAsACAAXAAiAE4ALwBBAFwAIgA7AFwAbgAgACAAIAAgACAAIAAgACAAXAAiAFcAaABlAGEAdABcACIALAAgAFwAIgBOAFMAVwBcACIALAAgADAALgAwADUAOwBcAG4AIAAgACAAIAAgACAAIAAgAFwAIgBXAGgAZQBhAHQAXAAiACwAIABcACIAVgBJAEMAXAAiACwAIAAwAC4AMAA3ADsAXABuACAAIAAgACAAIAAgACAAIABcACIAVwBoAGUAYQB0AFwAIgAsACAAXAAiAFEATABEAFwAIgAsACAAMAAuADAANAA7AFwAbgAgACAAIAAgACAAIAAgACAAXAAiAFcAaABlAGEAdABcACIALAAgAFwAIgBTAEEAXAAiACwAIAAwAC4AMAA5ADsAXABuACAAIAAgACAAIAAgACAAIABcACIAVwBoAGUAYQB0AFwAIgAsACAAXAAiAFcAQQBcACIALAAgADAALgAxADEAOwBcAG4AIAAgACAAIAAgACAAIAAgAFwAIgBXAGgAZQBhAHQAXAAiACwAIABcACIAVABBAFMAXAAiACwAIAAwAC4AMQA2ADsAXABuACAAIAAgACAAIAAgACAAIABcACIAVwBoAGUAYQB0AFwAIgAsACAAXAAiAE4AVABcACIALAAgADAALgAwADEAOwBcAG4AIAAgACAAIAAgACAAIAAgAFwAIgBXAGgAZQBhAHQAXAAiACwAIABcACIAQQBDAFQAXAAiACwAIAAwAC4AMAAwADsAXABuACAAIAAgACAAIAAgACAAIABcACIAQgBhAHIAbABlAHkAXAAiACwAIABcACIATgBTAFcAXAAiACwAIAAwAC4AMAA1ADsAXABuACAAIAAgACAAIAAgACAAIABcACIAQgBhAHIAbABlAHkAXAAiACwAIABcACIAVgBJAEMAXAAiACwAIAAwAC4AMAA3ADsAXABuACAAIAAgACAAIAAgACAAIABcACIAQgBhAHIAbABlAHkAXAAiACwAIABcACIAUQBMAEQAXAAiACwAIAAwAC4AMAA0ADsAXABuACAAIAAgACAAIAAgACAAIABcACIAQgBhAHIAbABlAHkAXAAiACwAIABcACIAUwBBAFwAIgAsACAAMAAuADAAOQA7AFwAbgAgACAAIAAgACAAIAAgACAAXAAiAEIAYQByAGwAZQB5AFwAIgAsACAAXAAiAFcAQQBcACIALAAgADAALgAxADEAOwBcAG4AIAAgACAAIAAgACAAIAAgAFwAIgBCAGEAcgBsAGUAeQBcACIALAAgAFwAIgBUAEEAUwBcACIALAAgADAALgAxADYAOwBcAG4AIAAgACAAIAAgACAAIAAgAFwAIgBCAGEAcgBsAGUAeQBcACIALAAgAFwAIgBOAFQAXAAiACwAIAAwAC4AMAAxADsAXABuACAAIAAgACAAIAAgACAAIABcACIAQgBhAHIAbABlAHkAXAAiACwAIABcACIAQQBDAFQAXAAiACwAIAAwAC4AMAAwADsAXABuACAAIAAgACAAIAAgACAAIABcACIATQBhAGkAegBlAFwAIgAsACAAXAAiAE4AUwBXAFwAIgAsACAAMAAuADAANQA7AFwAbgAgACAAIAAgACAAIAAgACAAXAAiAE0AYQBpAHoAZQBcACIALAAgAFwAIgBWAEkAQwBcACIALAAgADAALgAwADcAOwBcAG4AIAAgACAAIAAgACAAIAAgAFwAIgBNAGEAaQB6AGUAXAAiACwAIABcACIAUQBMAEQAXAAiACwAIAAwAC4AMAA0ADsAXABuACAAIAAgACAAIAAgACAAIABcACIATQBhAGkAegBlAFwAIgAsACAAXAAiAFMAQQBcACIALAAgADAALgAwADkAOwBcAG4AIAAgACAAIAAgACAAIAAgAFwAIgBNAGEAaQB6AGUAXAAiACwAIABcACIAVwBBAFwAIgAsACAAMAAuADEAMQA7AFwAbgAgACAAIAAgACAAIAAgACAAXAAiAE0AYQBpAHoAZQBcACIALAAgAFwAIgBUAEEAUwBcACIALAAgADAALgAxADYAOwBcAG4AIAAgACAAIAAgACAAIAAgAFwAIgBNAGEAaQB6AGUAXAAiACwAIABcACIATgBUAFwAIgAsACAAMAAuADAAMQA7AFwAbgAgACAAIAAgACAAIAAgACAAXAAiAE0AYQBpAHoAZQBcACIALAAgAFwAIgBBAEMAVABcACIALAAgADAALgAwADAAOwBcAG4AIAAgACAAIAAgACAAIAAgAFwAIgBPAGEAdABzAFwAIgAsACAAXAAiAE4AUwBXAFwAIgAsACAAMAAuADAANQA7AFwAbgAgACAAIAAgACAAIAAgACAAXAAiAE8AYQB0AHMAXAAiACwAIABcACIAVgBJAEMAXAAiACwAIAAwAC4AMAA3ADsAXABuACAAIAAgACAAIAAgACAAIABcACIATwBhAHQAcwBcACIALAAgAFwAIgBRAEwARABcACIALAAgADAALgAwADQAOwBcAG4AIAAgACAAIAAgACAAIAAgAFwAIgBPAGEAdABzAFwAIgAsACAAXAAiAFMAQQBcACIALAAgADAALgAwADkAOwBcAG4AIAAgACAAIAAgACAAIAAgAFwAIgBPAGEAdABzAFwAIgAsACAAXAAiAFcAQQBcACIALAAgADAALgAxADEAOwBcAG4AIAAgACAAIAAgACAAIAAgAFwAIgBPAGEAdABzAFwAIgAsACAAXAAiAFQAQQBTAFwAIgAsACAAMAAuADEANgA7AFwAbgAgACAAIAAgACAAIAAgACAAXAAiAE8AYQB0AHMAXAAiACwAIABcACIATgBUAFwAIgAsACAAMAAuADAAMQA7AFwAbgAgACAAIAAgACAAIAAgACAAXAAiAE8AYQB0AHMAXAAiACwAIABcACIAQQBDAFQAXAAiACwAIAAwAC4AMAAwADsAXABuACAAIAAgACAAIAAgACAAIABcACIAUwBvAHIAZwBoAHUAbQBcACIALAAgAFwAIgBOAFMAVwBcACIALAAgADAALgAwADUAOwBcAG4AIAAgACAAIAAgACAAIAAgAFwAIgBTAG8AcgBnAGgAdQBtAFwAIgAsACAAXAAiAFYASQBDAFwAIgAsACAAMAAuADAANwA7AFwAbgAgACAAIAAgACAAIAAgACAAXAAiAFMAbwByAGcAaAB1AG0AXAAiACwAIABcACIAUQBMAEQAXAAiACwAIAAwAC4AMAA0ADsAXABuACAAIAAgACAAIAAgACAAIABcACIAUwBvAHIAZwBoAHUAbQBcACIALAAgAFwAIgBTAEEAXAAiACwAIAAwAC4AMAA5ADsAXABuACAAIAAgACAAIAAgACAAIABcACIAUwBvAHIAZwBoAHUAbQBcACIALAAgAFwAIgBXAEEAXAAiACwAIAAwAC4AMQAxADsAXABuACAAIAAgACAAIAAgACAAIABcACIAUwBvAHIAZwBoAHUAbQBcACIALAAgAFwAIgBUAEEAUwBcACIALAAgADAALgAxADYAOwBcAG4AIAAgACAAIAAgACAAIAAgAFwAIgBTAG8AcgBnAGgAdQBtAFwAIgAsACAAXAAiAE4AVABcACIALAAgADAALgAwADEAOwBcAG4AIAAgACAAIAAgACAAIAAgAFwAIgBTAG8AcgBnAGgAdQBtAFwAIgAsACAAXAAiAEEAQwBUAFwAIgAsACAAMAAuADAAMAA7AFwAbgAgACAAIAAgACAAIAAgACAAXAAiAFQAcgBpAHQAaQBjAGEAbABlAFwAIgAsACAAXAAiAE4AUwBXAFwAIgAsACAAMAAuADAANQA7AFwAbgAgACAAIAAgACAAIAAgACAAXAAiAFQAcgBpAHQAaQBjAGEAbABlAFwAIgAsACAAXAAiAFYASQBDAFwAIgAsACAAMAAuADAANwA7AFwAbgAgACAAIAAgACAAIAAgACAAXAAiAFQAcgBpAHQAaQBjAGEAbABlAFwAIgAsACAAXAAiAFEATABEAFwAIgAsACAAMAAuADAANAA7AFwAbgAgACAAIAAgACAAIAAgACAAXAAiAFQAcgBpAHQAaQBjAGEAbABlAFwAIgAsACAAXAAiAFMAQQBcACIALAAgADAALgAwADkAOwBcAG4AIAAgACAAIAAgACAAIAAgAFwAIgBUAHIAaQB0AGkAYwBhAGwAZQBcACIALAAgAFwAIgBXAEEAXAAiACwAIAAwAC4AMQAxADsAXABuACAAIAAgACAAIAAgACAAIABcACIAVAByAGkAdABpAGMAYQBsAGUAXAAiACwAIABcACIAVABBAFMAXAAiACwAIAAwAC4AMQA2ADsAXABuACAAIAAgACAAIAAgACAAIABcACIAVAByAGkAdABpAGMAYQBsAGUAXAAiACwAIABcACIATgBUAFwAIgAsACAAMAAuADAAMQA7AFwAbgAgACAAIAAgACAAIAAgACAAXAAiAFQAcgBpAHQAaQBjAGEAbABlAFwAIgAsACAAXAAiAEEAQwBUAFwAIgAsACAAMAAuADAAMAA7AFwAbgAgACAAIAAgACAAIAAgACAAXAAiAE8AdABoAGUAcgAgAGMAZQByAGUAYQBsAHMAXAAiACwAIABcACIATgBTAFcAXAAiACwAIAAwAC4AMAA1ADsAXABuACAAIAAgACAAIAAgACAAIABcACIATwB0AGgAZQByACAAYwBlAHIAZQBhAGwAcwBcACIALAAgAFwAIgBWAEkAQwBcACIALAAgADAALgAwADcAOwBcAG4AIAAgACAAIAAgACAAIAAgAFwAIgBPAHQAaABlAHIAIABjAGUAcgBlAGEAbABzAFwAIgAsACAAXAAiAFEATABEAFwAIgAsACAAMAAuADAANAA7AFwAbgAgACAAIAAgACAAIAAgACAAXAAiAE8AdABoAGUAcgAgAGMAZQByAGUAYQBsAHMAXAAiACwAIABcACIAUwBBAFwAIgAsACAAMAAuADAAOQA7AFwAbgAgACAAIAAgACAAIAAgACAAXAAiAE8AdABoAGUAcgAgAGMAZQByAGUAYQBsAHMAXAAiACwAIABcACIAVwBBAFwAIgAsACAAMAAuADEAMQA7AFwAbgAgACAAIAAgACAAIAAgACAAXAAiAE8AdABoAGUAcgAgAGMAZQByAGUAYQBsAHMAXAAiACwAIABcACIAVABBAFMAXAAiACwAIAAwAC4AMQA2ADsAXABuACAAIAAgACAAIAAgACAAIABcACIATwB0AGgAZQByACAAYwBlAHIAZQBhAGwAcwBcACIALAAgAFwAIgBOAFQAXAAiACwAIAAwAC4AMAAxADsAXABuACAAIAAgACAAIAAgACAAIABcACIATwB0AGgAZQByACAAYwBlAHIAZQBhAGwAcwBcACIALAAgAFwAIgBBAEMAVABcACIALAAgADAALgAwADAAOwBcAG4AIAAgACAAIAAgACAAIAAgAFwAIgBQAHUAbABzAGUAcwBcACIALAAgAFwAIgBOAFMAVwBcACIALAAgADAALgAwADUAOwBcAG4AIAAgACAAIAAgACAAIAAgAFwAIgBQAHUAbABzAGUAcwBcACIALAAgAFwAIgBWAEkAQwBcACIALAAgADAALgAwADcAOwBcAG4AIAAgACAAIAAgACAAIAAgAFwAIgBQAHUAbABzAGUAcwBcACIALAAgAFwAIgBRAEwARABcACIALAAgADAALgAwADQAOwBcAG4AIAAgACAAIAAgACAAIAAgAFwAIgBQAHUAbABzAGUAcwBcACIALAAgAFwAIgBTAEEAXAAiACwAIAAwAC4AMAA5ADsAXABuACAAIAAgACAAIAAgACAAIABcACIAUAB1AGwAcwBlAHMAXAAiACwAIABcACIAVwBBAFwAIgAsACAAMAAuADEAMQA7AFwAbgAgACAAIAAgACAAIAAgACAAXAAiAFAAdQBsAHMAZQBzAFwAIgAsACAAXAAiAFQAQQBTAFwAIgAsACAAMAAuADEANgA7AFwAbgAgACAAIAAgACAAIAAgACAAXAAiAFAAdQBsAHMAZQBzAFwAIgAsACAAXAAiAE4AVABcACIALAAgADAALgAwADEAOwBcAG4AIAAgACAAIAAgACAAIAAgAFwAIgBQAHUAbABzAGUAcwBcACIALAAgAFwAIgBBAEMAVABcACIALAAgADAALgAwADAAOwBcAG4AIAAgACAAIAAgACAAIAAgAFwAIgBQAGUAYQBuAHUAdABzAFwAIgAsACAAXAAiAE4AUwBXAFwAIgAsACAAMAAuADAANQA7AFwAbgAgACAAIAAgACAAIAAgACAAXAAiAFAAZQBhAG4AdQB0AHMAXAAiACwAIABcACIAVgBJAEMAXAAiACwAIAAwAC4AMAA3ADsAXABuACAAIAAgACAAIAAgACAAIABcACIAUABlAGEAbgB1AHQAcwBcACIALAAgAFwAIgBRAEwARABcACIALAAgADAALgAwADQAOwBcAG4AIAAgACAAIAAgACAAIAAgAFwAIgBQAGUAYQBuAHUAdABzAFwAIgAsACAAXAAiAFMAQQBcACIALAAgADAALgAwADkAOwBcAG4AIAAgACAAIAAgACAAIAAgAFwAIgBQAGUAYQBuAHUAdABzAFwAIgAsACAAXAAiAFcAQQBcACIALAAgADAALgAxADEAOwBcAG4AIAAgACAAIAAgACAAIAAgAFwAIgBQAGUAYQBuAHUAdABzAFwAIgAsACAAXAAiAFQAQQBTAFwAIgAsACAAMAAuADEANgA7AFwAbgAgACAAIAAgACAAIAAgACAAXAAiAFAAZQBhAG4AdQB0AHMAXAAiACwAIABcACIATgBUAFwAIgAsACAAMAAuADAAMQA7AFwAbgAgACAAIAAgACAAIAAgACAAXAAiAFAAZQBhAG4AdQB0AHMAXAAiACwAIABcACIAQQBDAFQAXAAiACwAIAAwAC4AMAAwADsAXABuACAAIAAgACAAIAAgACAAIABcACIATwBpAGwAcwBlAGUAZABzAFwAIgAsACAAXAAiAE4AUwBXAFwAIgAsACAAMAAuADAANQA7AFwAbgAgACAAIAAgACAAIAAgACAAXAAiAE8AaQBsAHMAZQBlAGQAcwBcACIALAAgAFwAIgBWAEkAQwBcACIALAAgADAALgAwADcAOwBcAG4AIAAgACAAIAAgACAAIAAgAFwAIgBPAGkAbABzAGUAZQBkAHMAXAAiACwAIABcACIAUQBMAEQAXAAiACwAIAAwAC4AMAA0ADsAXABuACAAIAAgACAAIAAgACAAIABcACIATwBpAGwAcwBlAGUAZABzAFwAIgAsACAAXAAiAFMAQQBcACIALAAgADAALgAwADkAOwBcAG4AIAAgACAAIAAgACAAIAAgAFwAIgBPAGkAbABzAGUAZQBkAHMAXAAiACwAIABcACIAVwBBAFwAIgAsACAAMAAuADEAMQA7AFwAbgAgACAAIAAgACAAIAAgACAAXAAiAE8AaQBsAHMAZQBlAGQAcwBcACIALAAgAFwAIgBUAEEAUwBcACIALAAgADAALgAxADYAOwBcAG4AIAAgACAAIAAgACAAIAAgAFwAIgBPAGkAbABzAGUAZQBkAHMAXAAiACwAIABcACIATgBUAFwAIgAsACAAMAAuADAAMQA7AFwAbgAgACAAIAAgACAAIAAgACAAXAAiAE8AaQBsAHMAZQBlAGQAcwBcACIALAAgAFwAIgBBAEMAVABcACIALAAgADAALgAwADAAOwBcAG4AIAAgACAAIAAgACAAIAAgAFwAIgBPAHQAaABlAHIAIABhAG4AbgB1AGEAbAAgAGMAcgBvAHAAcwBcACIALAAgAFwAIgBOAFMAVwBcACIALAAgADAALgAwADUAOwBcAG4AIAAgACAAIAAgACAAIAAgAFwAIgBPAHQAaABlAHIAIABhAG4AbgB1AGEAbAAgAGMAcgBvAHAAcwBcACIALAAgAFwAIgBWAEkAQwBcACIALAAgADAALgAwADcAOwBcAG4AIAAgACAAIAAgACAAIAAgAFwAIgBPAHQAaABlAHIAIABhAG4AbgB1AGEAbAAgAGMAcgBvAHAAcwBcACIALAAgAFwAIgBRAEwARABcACIALAAgADAALgAwADQAOwBcAG4AIAAgACAAIAAgACAAIAAgAFwAIgBPAHQAaABlAHIAIABhAG4AbgB1AGEAbAAgAGMAcgBvAHAAcwBcACIALAAgAFwAIgBTAEEAXAAiACwAIAAwAC4AMAA5ADsAXABuACAAIAAgACAAIAAgACAAIABcACIATwB0AGgAZQByACAAYQBuAG4AdQBhAGwAIABjAHIAbwBwAHMAXAAiACwAIABcACIAVwBBAFwAIgAsACAAMAAuADEAMQA7AFwAbgAgACAAIAAgACAAIAAgACAAXAAiAE8AdABoAGUAcgAgAGEAbgBuAHUAYQBsACAAYwByAG8AcABzAFwAIgAsACAAXAAiAFQAQQBTAFwAIgAsACAAMAAuADEANgA7AFwAbgAgACAAIAAgACAAIAAgACAAXAAiAE8AdABoAGUAcgAgAGEAbgBuAHUAYQBsACAAYwByAG8AcABzAFwAIgAsACAAXAAiAE4AVABcACIALAAgADAALgAwADEAOwBcAG4AIAAgACAAIAAgACAAIAAgAFwAIgBPAHQAaABlAHIAIABhAG4AbgB1AGEAbAAgAGMAcgBvAHAAcwBcACIALAAgAFwAIgBBAEMAVABcACIALAAgADAALgAwADAAOwBcAG4AIAAgACAAIAAgACAAIAAgAFwAIgBPAHQAaABlAHIAIABwAGUAcgBlAG4AbgBpAGEAbAAgAGMAcgBvAHAAcwBcACIALAAgAFwAIgBOAFMAVwBcACIALAAgADAALgAwADUAOwBcAG4AIAAgACAAIAAgACAAIAAgAFwAIgBPAHQAaABlAHIAIABwAGUAcgBlAG4AbgBpAGEAbAAgAGMAcgBvAHAAcwBcACIALAAgAFwAIgBWAEkAQwBcACIALAAgADAALgAwADcAOwBcAG4AIAAgACAAIAAgACAAIAAgAFwAIgBPAHQAaABlAHIAIABwAGUAcgBlAG4AbgBpAGEAbAAgAGMAcgBvAHAAcwBcACIALAAgAFwAIgBRAEwARABcACIALAAgADAALgAwADQAOwBcAG4AIAAgACAAIAAgACAAIAAgAFwAIgBPAHQAaABlAHIAIABwAGUAcgBlAG4AbgBpAGEAbAAgAGMAcgBvAHAAcwBcACIALAAgAFwAIgBTAEEAXAAiACwAIAAwAC4AMAA5ADsAXABuACAAIAAgACAAIAAgACAAIABcACIATwB0AGgAZQByACAAcABlAHIAZQBuAG4AaQBhAGwAIABjAHIAbwBwAHMAXAAiACwAIABcACIAVwBBAFwAIgAsACAAMAAuADEAMQA7AFwAbgAgACAAIAAgACAAIAAgACAAXAAiAE8AdABoAGUAcgAgAHAAZQByAGUAbgBuAGkAYQBsACAAYwByAG8AcABzAFwAIgAsACAAXAAiAFQAQQBTAFwAIgAsACAAMAAuADEANgA7AFwAbgAgACAAIAAgACAAIAAgACAAXAAiAE8AdABoAGUAcgAgAHAAZQByAGUAbgBuAGkAYQBsACAAYwByAG8AcABzAFwAIgAsACAAXAAiAE4AVABcACIALAAgADAALgAwADEAOwBcAG4AIAAgACAAIAAgACAAIAAgAFwAIgBPAHQAaABlAHIAIABwAGUAcgBlAG4AbgBpAGEAbAAgAGMAcgBvAHAAcwBcACIALAAgAFwAIgBBAEMAVABcACIALAAgADAALgAwADAAXABuACAAIAAgACAAIAAgAH0ALAAgAHIALAAgAGMAKQBcAG4AKQApACkAOwBcAG4AXABuAEMAcgBvAHAARgByAGEAYwB0AGkAbwBuAFIAZQBtAG8AdgBlAGQAXwBWAGEAcgBpAGEAdABpAG8AbgBcAG4APQBMAEEATQBCAEQAQQAoACgAXAAiAFYAQQBSAEkAQQBUAEkATwBOACAATwBGACAAUwBPAFUAUgBDAEUAIABEAEEAVABBADoAIABTAHAAbABpAHQAIABcAHUAMAAwADIANwBBAGwAbAAgAG8AdABoAGUAcgAgAGMAcgBvAHAAIAB0AHkAcABlAHMAXAB1ADAAMAAyADcAIABpAG4AdABvACAAaQBuAGQAaQB2AGkAZAB1AGEAbAAgAGMAcgBvAHAAIAB0AHkAcABlAHMAIABmAG8AcgAgAGUAYQBjAGgAIABzAHQAYQB0AGUALgAgAEwAaQBzAHQAZQBkACAAYQBsAGwAIABzAHQAYQB0AGUAcwAgAGYAbwByACAAUwB1AGcAYQByACAAQwBhAG4AZQAsACAAdwBpAHQAaAAgAFwAdQAwADAAMgA3AE4ALwBBAFwAdQAwADAAMgA3ACAAZgBvAHIAIABzAHQAYQB0AGUAcwAgAHcAaABlAHIAZQAgAGkAdAAgAGkAcwAgAG4AbwB0ACAAZwByAG8AdwBuAC4AXAAiACkAKQA7AFwAbgBcAG4AXABuAC8AKgBcAG4APQA9AD0APQA9AD0APQA9AD0APQA9AD0APQA9AD0APQA9AD0APQA9AD0APQA9AD0APQA9AD0APQA9AD0APQA9AD0APQA9AD0APQA9AD0APQA9AD0APQA9AD0APQA9AD0APQA9AD0APQA9AD0APQA9AD0APQA9AD0APQA9AD0APQA9AD0APQA9AD0APQA9AD0APQA9AD0APQBcAG4AUABhAHMAdAB1AHIAZQAgAGEAdAB0AHIAaQBiAHUAdABlAHMAXABuAD0APQA9AD0APQA9AD0APQA9AD0APQA9AD0APQA9AD0APQA9AD0APQA9AD0APQA9AD0APQA9AD0APQA9AD0APQA9AD0APQA9AD0APQA9AD0APQA9AD0APQA9AD0APQA9AD0APQA9AD0APQA9AD0APQA9AD0APQA9AD0APQA9AD0APQA9AD0APQA9AD0APQA9AD0APQA9AD0AXABuACoALwBcAG4AXABuAFAAYQBzAHQAdQByAGUAQQB0AHQAcgBpAGIAdQB0AGUAcwBfAFQAaQB0AGwAZQBcAG4APQBMAEEATQBCAEQAQQAoACgAXAAiAFQAYQBiAGwAZQAgAEEALgAyAC4AMQAuADMAIABQAGEAcwB0AHUAcgBlACAAYQB0AHQAcgBpAGIAdQB0AGUAcwBcACIAKQApADsAXABuAFwAbgBQAGEAcwB0AHUAcgBlAEEAdAB0AHIAaQBiAHUAdABlAHMAXwBEAGUAcwBjAHIAaQBwAHQAaQBvAG4AXABuAD0ATABBAE0AQgBEAEEAKAAoAFwAIgBQAGEAcwB0AHUAcgBlACAAYQB0AHQAcgBpAGIAdQB0AGUAcwBcACIAKQApADsAXABuAFwAbgBQAGEAcwB0AHUAcgBlAEEAdAB0AHIAaQBiAHUAdABlAHMAXwBTAG8AdQByAGMAZQBcAG4APQBMAEEATQBCAEQAQQAoACgAXAAiAFYARQBFAFIARwAgADIAMAAyADYAOgAgAFQAYQBiAGwAZQAgAEEALgAyAC4AMQAuADMAOgAgAFAAYQBzAHQAdQByAGUAIABhAHQAdAByAGkAYgB1AHQAZQBzAFwAIgApACkAOwBcAG4AXABuAFAAYQBzAHQAdQByAGUAQQB0AHQAcgBpAGIAdQB0AGUAcwBfAEQAYQB0AGEAXABuAD0ATABBAE0AQgBEAEEAKABcAG4AIAAgAE0AQQBLAEUAQQBSAFIAQQBZACgANgAsACAANgAsAFwAbgAgACAAIAAgAEwAQQBNAEIARABBACgAcgAsAGMALABcAG4AIAAgACAAIAAgACAASQBOAEQARQBYACgAewBcAG4AIAAgACAAIAAgACAAIAAgAFwAIgBQAGEAcwB0AHUAcgBlACAAdAB5AHAAZQBcACIALAAgAFwAIgBBAHYAZQByAGEAZwBlACAAWQBpAGUAbABkACAAKAB0ACAARABNACAAaABhACkAIABZAHAAXAAiACwAIABcACIAQgBlAGwAbwB3AC0AZwByAG8AdQBuAGQAOgAgAGEAYgBvAHYAZQAtAGcAcgBvAHUAbgBkACAAcgBlAHMAaQBkAHUAZQAgAHIAYQB0AGkAbwAgAFIAQgBHAHAAXAAiACwAIABcACIATgAgAGMAbwBuAHQAZQBuAHQAIABBAGIAbwB2AGUALQBnAHIAbwB1AG4AZAAgAE4AQwBBAEcAcABcACIALAAgAFwAIgBOACAAYwBvAG4AdABlAG4AdAAgAEIAZQBsAG8AdwAtAGcAcgBvAHUAbgBkACAATgBDAEIARwBwAFwAIgAsACAAXAAiAEYAcgBhAGMAdABpAG8AbgAgAG8AZgAgAHAAYQBzAHQAdQByAGUAIAB5AGkAZQBsAGQAIAB0AGgAYQB0ACAAaQBzACAAcgBlAG0AbwB2AGUAZAAgAEYARgBPAEQAcABcACIAOwBcAG4AIAAgACAAIAAgACAAIAAgAFwAIgBBAG4AbgB1AGEAbAAgAGcAcgBhAHMAcwBcACIALAAgADQALgA0ADEALAAgADAALgA0ACwAIAAwAC4AMAAxADUALAAgADAALgAwADEAMgAsACAAMAAuADgAOwBcAG4AIAAgACAAIAAgACAAIAAgAFwAIgBHAHIAYQBzAHMAIABjAGwAbwB2AGUAcgAgAG0AaQB4AHQAdQByAGUAXAAiACwAIAA4AC4AMwA0ACwAIAAwAC4AOAAsACAAMAAuADAAMgA1ACwAIAAwAC4AMAAxADYALAAgADAALgA4ADsAXABuACAAIAAgACAAIAAgACAAIABcACIATAB1AGMAZQByAG4AZQBcACIALAAgADgALgA2ADIALAAgADAALgA0ACwAIAAwAC4AMAAyADcALAAgADAALgAwADEAOQAsACAAMAAuADgAOwBcAG4AIAAgACAAIAAgACAAIAAgAFwAIgBPAHQAaABlAHIAIABsAGUAZwB1AG0AZQBcACIALAAgADUALgA2ADIALAAgADAALgA0ACwAIAAwAC4AMAAyADcALAAgADAALgAwADIAMgAsACAAMAAuADgAOwBcAG4AIAAgACAAIAAgACAAIAAgAFwAIgBQAGUAcgBlAG4AbgBpAGEAbAAgAHAAYQBzAHQAdQByAGUAXAAiACwAIAA4AC4AMwA1ACwAIAAwAC4AOAAsACAAMAAuADAAMQA1ACwAIAAwAC4AMAAxADIALAAgADAALgA4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A1AC4AMwAxACAAQgB1AHIAbgBpAG4AZwAgAG8AZgAgAGEAZwByAGkAYwB1AGwAdAB1AHIAYQBsACAAcgBlAHMAaQBkAHUAZQBzACAALQAgAEUARgBzAFwAbgA9AD0APQA9AD0APQA9AD0APQA9AD0APQA9AD0APQA9AD0APQA9AD0APQA9AD0APQA9AD0APQA9AD0APQA9AD0APQA9AD0APQA9AD0APQA9AD0APQA9AD0APQA9AD0APQA9AD0APQA9AD0APQA9AD0APQA9AD0APQA9AD0APQA9AD0APQA9AD0APQA9AD0APQA9AD0APQA9AFwAbgAqAC8AXABuAFwAbgBCAHUAcgBuAGkAbgBnAE8AZgBBAGcAcgBpAGMAdQBsAHQAdQByAGEAbABSAGUAcwBpAGQAdQBlAHMARQBGAHMAXwBUAGkAdABsAGUAXABuAD0ATABBAE0AQgBEAEEAKAAoAFwAIgBUAGEAYgBsAGUAIAA1AC4AMwAxACAAQgB1AHIAbgBpAG4AZwAgAG8AZgAgAGEAZwByAGkAYwB1AGwAdAB1AHIAYQBsACAAcgBlAHMAaQBkAHUAZQBzACAALQAgAEUARgBzAFwAIgApACkAOwBcAG4AXABuAEIAdQByAG4AaQBuAGcATwBmAEEAZwByAGkAYwB1AGwAdAB1AHIAYQBsAFIAZQBzAGkAZAB1AGUAcwBFAEYAcwBfAEQAZQBzAGMAcgBpAHAAdABpAG8AbgBcAG4APQBMAEEATQBCAEQAQQAoACgAXAAiAEIAdQByAG4AaQBuAGcAIABvAGYAIABhAGcAcgBpAGMAdQBsAHQAdQByAGEAbAAgAHIAZQBzAGkAZAB1AGUAcwAgAC0AIABFAEYAcwBcACIAKQApADsAXABuAFwAbgBCAHUAcgBuAGkAbgBnAE8AZgBBAGcAcgBpAGMAdQBsAHQAdQByAGEAbABSAGUAcwBpAGQAdQBlAHMARQBGAHMAXwBTAG8AdQByAGMAZQBcAG4APQBMAEEATQBCAEQAQQAoACgAXAAiAE4AYQB0AGkAbwBuAGEAbAAgAEkAbgB2AGUAbgB0AG8AcgB5ACAAUgBlAHAAbwByAHQAIAAyADAAMgAzACAAdgBvAGwAdQBtAGUAIAAyADoAIABUAGEAYgBsAGUAIAA1AC4AMwAxADoAIABCAHUAcgBuAGkAbgBnACAAbwBmACAAYQBnAHIAaQBjAHUAbAB0AHUAcgBhAGwAIAByAGUAcwBpAGQAdQBlAHMAIAAtACAARQBGAHMAXAAiACkAKQA7AFwAbgBcAG4AQgB1AHIAbgBpAG4AZwBPAGYAQQBnAHIAaQBjAHUAbAB0AHUAcgBhAGwAUgBlAHMAaQBkAHUAZQBzAEUARgBzAF8ARABhAHQAYQBcAG4APQBMAEEATQBCAEQAQQAoAFwAbgAgACAATQBBAEsARQBBAFIAUgBBAFkAKAA2ACwAIAAzACwAXABuACAAIAAgACAATABBAE0AQgBEAEEAKAByACwAYwAsAFwAbgAgACAAIAAgACAAIABJAE4ARABFAFgAKAB7AFwAbgAgACAAIAAgACAAIAAgACAAXAAiAEcAYQBzACAAcwBwAGUAYwBpAGUAcwBcACIALAAgAFwAIgBFAG0AaQBzAHMAaQBvAG4AIABmAGEAYwB0AG8AcgAgAEUARgBnACAAKABHAGcAIABlAGwAZQBtAGUAbgB0ACAAaQBuACAAcwBwAGUAYwBpAGUAcwAvACAARwBnACAAZQBsAGUAbQBlAG4AdAAgAGkAbgAgAGYAdQBlAGwAIABiAHUAcgBuAHQAKQBcACIALAAgAFwAIgBFAGwAZQBtAGUAbgB0AGEAbAAgAHQAbwAgAG0AbwBsAGUAYwB1AGwAYQByACAAbQBhAHMAcwAgAGMAbwBuAHYAZQByAHMAaQBvAG4AIABmAGEAYwB0AG8AcgAgACgAQwBnACkAXAAiADsAXABuACAAIAAgACAAIAAgACAAIABcACIAQwBIADQAXAAiACwAIAAwAC4AMAAwADMANQAsACAAXAAiADEANgAvADEAMgBcACIAOwBcAG4AIAAgACAAIAAgACAAIAAgAFwAIgBOADIATwBcACIALAAgADAALgAwADAANwA2ACwAIABcACIANAA0AC8AMgA4AFwAIgA7AFwAbgAgACAAIAAgACAAIAAgACAAXAAiAE4ATwB4AFwAIgAsACAAMAAuADIAMQAwADAALAAgAFwAIgA0ADYALwAxADQAXAAiADsAXABuACAAIAAgACAAIAAgACAAIABcACIAQwBPAFwAIgAsACAAMAAuADAANwA4ADAALAAgAFwAIgAyADgALwAxADIAXAAiADsAXABuACAAIAAgACAAIAAgACAAIABcACIATgBNAFYATwBDAFwAIgAsACAAMAAuADAAMAA5ADEALAAgAFwAIgAxADQALwAxADIAXAAiAFwAbgAgACAAIAAgACAAIAB9ACwAIAByACwAIABjACkAXABuACkAKQApADsAXABuAFwAbgBcAG4ALwAqACAAXABuAC0ALQAtAC0ALQAtAC0ALQAtAC0ALQAtAC0ALQAtAC0ALQAtAC0ALQAtAC0ALQAtAC0ALQAtAC0ALQAtAC0ALQAtAC0ALQAtAC0ALQBcAG4ATgAyAE8ARQBGAE8AcgBnAGEAbgBpAGMARgBlAHIAdABpAGwAaQBzAGUAcgBcAG4AVgBFAEUAUgBHACAAMgAwADIANgA6ACAAVABhAGIAbABlACAAQQAuADIALgAxAC4ANAAgAEUAbQBpAHMAcwBpAG8AbgAgAGYAYQBjAHQAbwByACAAZgBvAHIAIABvAHIAZwBhAG4AaQBjACAAZgBlAHIAdABpAGwAaQBzAGUAcgAgAGEAbgBkACAAYwByAG8AcAAgAHIAZQBzAGkAZAB1AGUAcwAgAHIAZQB0AHUAcgBuAGUAZAAgAHQAbwAgAHQAaABlACAAcwBvAGkAbABcAG4ALQAtAC0ALQAtAC0ALQAtAC0ALQAtAC0ALQAtAC0ALQAtAC0ALQAtAC0ALQAtAC0ALQAtAC0ALQAtAC0ALQAtAC0ALQAtAC0ALQAtAFwAbgAqAC8AXABuAFwAbgBOADIATwBFAEYATwByAGcAYQBuAGkAYwBGAGUAcgB0AGkAbABpAHMAZQBy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4AMgBPAEUARgBPAHIAZwBhAG4AaQBjAEYAZQByAHQAaQBsAGkAcwBlAHIAXwBVAG4AaQB0AFwAbgAgACAAPQBMAEEATQBCAEQAQQAoAFwAIgBrAGcAIABOADIATwAgAC0AIABOACAALwAgAGsAZwAgAE4AXAAiACkAOwBcAG4AXABuAE4AMgBPAEUARgBPAHIAZwBhAG4AaQBjAEYAZQByAHQAaQBsAGkAcwBlAHIAXwBTAG8AdQByAGMAZQBcAG4AIAAgAD0ATABBAE0AQgBEAEEAKABcACIAVgBFAEUAUgBHACAAMgAwADIANgA6ACAAVABhAGIAbABlACAAQQAuADIALgAxAC4ANABcACIAKQA7AFwAbgBcAG4ATgAyAE8ARQBGAE8AcgBnAGEAbgBpAGMARgBlAHIAdABpAGwAaQBzAGUAcgBfAE4ASQBSAFIAZQBmAGUAcgBlAG4AYwBlAFwAbgAgACAAPQBMAEEATQBCAEQAQQAoAFwAIgBJAFAAQwBDACAAMgAwADEAOQAgAFIAZQBmAGkAbgBlAG0AZQBuAHQAIABWAG8AbAB1AG0AZQAgADQAIABUAGEAYgBsAGUAIAAxADEALgAxACAAWwAxACwAIABwAC4AIAAxADEAXQBcACIAKQA7AFwAbgBcAG4ATgAyAE8ARQBGAE8AcgBnAGEAbgBpAGMARgBlAHIAdABpAGwAaQBzAGUAcgBfAEQAYQB0AGEAXABuACAAIAA9AEwAQQBNAEIARABBACgAXABuACAAIAAgACAATQBBAEsARQBBAFIAUgBBAFkAKAAzACwAIAAyACwAIABcAG4AIAAgACAAIAAgACAATABBAE0AQgBEAEEAKAByACwAYwAsACAAXABuACAAIAAgACAAIAAgACAAIABJAE4ARABFAFgAKAB7AFwAbgAgACAAIAAgACAAIAAgACAAIAAgAFwAIgBDAGwAaQBtAGEAdABlACAAegBvAG4AZQAgAGkAXAAiACwAIABcACIARQBGACAAaQAgAE4AMgBPAFwAIgA7AFwAbgAgACAAIAAgACAAIAAgACAAIAAgACAAIABcACIAVwBlAHQAIABjAGwAaQBtAGEAdABlACAAegBvAG4AZQBcACIALAAgADAALgAwADAANgA7AFwAbgAgACAAIAAgACAAIAAgACAAIAAgACAAIABcACIARAByAHkAIABjAGwAaQBtAGEAdABlACAAegBvAG4AZQBcACIALAAgADAALgAwADAANQBcAG4AIAAgACAAIAAgACAAIAAgAH0ALAAgAHIALAAgAGMAKQBcAG4AIAAgACAAIAAgACAAKQBcAG4AIAAgACAAIAApAFwAbgAgACAAKQA7AFwAbgBcAG4AXABuAFwAbgAiAH0ALAB7ACIAcABhAHQAaAAiADoAIgAvAHAAcgBvAGoAZQBjAHQAcwAvAFMAYwBvAHAAZQAzAF8ARQBxAHUAYQB0AGkAbwBuAHMAIgAsACIAdABlAHgAdAAiADoAIgAvACoAXABuAD0APQA9AD0APQA9AD0APQA9AD0APQA9AD0APQA9AD0APQA9AD0APQA9AD0APQA9AD0APQA9AD0APQA9AD0APQA9AD0APQA9AD0APQA9AD0APQA9AD0APQA9AD0APQA9AD0APQA9AD0APQA9AD0APQA9AD0APQA9AD0APQA9AD0APQA9AD0APQA9AD0APQA9AD0APQA9AD0AXABuADEANQA6ACAAUwBjAG8AcABlACAAMwAgAEUAbQBpAHMAcwBpAG8Abg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1AF8AMQBfADEAXwAxAF8AXwAxAF8ARQBtAGkAcwBzAGkAbwBuAHMARgByAG8AbQBQAHUAcgBjAGgAYQBzAGUAZABMAGkAdgBlAHMAdABvAGMAawBcAG4AVABvAHQAYQBsACAAZQBtAGkAcwBzAGkAbwBuAHMAIABmAHIAbwBtACAAcAB1AHIAYwBoAGEAcwBlAGQAIABsAGkAdgBlAHMAdABvAGMAawBcAG4ARQBcAG4AdAAgAEMATwAyAGUAXABuAEUAPQBcAFwAcwB1AG0AXABcAG4AbwBsAGkAbQBpAHQAcwBfAGMAXABcAHMAdQBtAFwAXABuAG8AbABpAG0AaQB0AHMAXwBvAFwAXABsAGUAZgB0ACgATgBfAHsAYwBvAH0AXABcAHQAaQBtAGUAcwAgAFcAXwB7AGMAbwB9AFwAXAB0AGkAbQBlAHMAIABFAEYAXwB7AGMAbwB9AFwAXAByAGkAZwBoAHQAKQBcAFwAdABpAG0AZQBzACAAMQAwAF4AewAtADMAfQBcAG4ATgBfAGMAbwAgAD0AIABuAHUAbQBiAGUAcgAgAG8AZgAgAGEAbgBpAG0AYQBsAHMAIABwAHUAcgBjAGgAYQBzAGUAZAAgAGkAbgAgAGwAaQB2AGUAcwB0AG8AYwBrACAAdAB5AHAAZQAgAGMAIABmAHIAbwBtACAAbwByAGkAZwBpAG4AIABvAFwAbgBXAF8AYwBvACAAPQAgAGEAdgBlAHIAYQBnAGUAIABsAGkAdgBlAHcAZQBpAGcAaAB0ACAAbwBmACAAcAB1AHIAYwBoAGEAcwBlAGQAIABsAGkAdgBlAHMAdABvAGMAawAgAGEAdAAgAHAAbwBpAG4AdAAgAG8AZgAgAHAAdQByAGMAaABhAHMAZQBcAG4ARQBGAF8AYwBvACAAPQAgAGUAbQBpAHMAcwBpAG8AbgAgAGYAYQBjAHQAbwByACAAcABlAHIAIABsAGkAdgBlAHMAdABvAGMAawAgAHQAeQBwAGUAIABhAG4AZAAgAG8AcgBpAGcAaQBuAFwAbgAtAC0ALQAtAC0ALQAtAC0ALQAtAC0ALQAtAC0ALQAtAC0ALQAtAC0ALQAtAC0ALQAtAC0ALQAtAC0ALQAtAC0ALQAtAC0ALQAtAC0AXABuACoALwBcAG4AXABuAFYARQBFAFIARwBfADEANQBfADEAXwAxAF8AMQBfAF8AMQBfAEUAbQBpAHMAcwBpAG8AbgBzAEYAcgBvAG0AUAB1AHIAYwBoAGEAcwBlAGQATABpAHYAZQBzAHQAbwBjAGsAXABuACAAIAA9AEwAQQBNAEIARABBACgAXABuACAAIAAgACAATgBfAGMAbwAsACAAVwBfAGMAbwAsACAARQBGAF8AYwBvACwAXABuACAAIAAgACAAKABOAF8AYwBvACAAKgAgAFcAXwBjAG8AIAAqACAARQBGAF8AYwBvACkAIAAqACAAMQAwACAAXgAgAC0AMwBcAG4AIAAgACkAOwBcAG4AXABuAFYARQBFAFIARwBfADEANQBfADEAXwAxAF8AMQBfAF8AMQBfAEUAbQBpAHMAcwBpAG8AbgBzAEYAcgBvAG0AUAB1AHIAYwBoAGEAcwBlAGQATABpAHYAZQBzAHQAbwBjAGsAXwBUAGkAdABsAGUAXABuACAAIAA9AEwAQQBNAEIARABBACgAXAAiAFQAbwB0AGEAbAAgAGUAbQBpAHMAcwBpAG8AbgBzACAAZgByAG8AbQAgAHAAdQByAGMAaABhAHMAZQBkACAAbABpAHYAZQBzAHQAbwBjAGsAXAAiACkAOwBcAG4AXABuAFYARQBFAFIARwBfADEANQBfADEAXwAxAF8AMQBfAF8AMQBfAEUAbQBpAHMAcwBpAG8AbgBzAEYAcgBvAG0AUAB1AHIAYwBoAGEAcwBlAGQATABpAHYAZQBzAHQAbwBjAGsAXwBWAGEAcgBpAGEAYgBsAGUAXABuACAAIAA9AEwAQQBNAEIARABBACgAXAAiAEUAXAAiACkAOwBcAG4AXABuAFYARQBFAFIARwBfADEANQBfADEAXwAxAF8AMQBfAF8AMQBfAEUAbQBpAHMAcwBpAG8AbgBzAEYAcgBvAG0AUAB1AHIAYwBoAGEAcwBlAGQATABpAHYAZQBzAHQAbwBjAGsAXwBVAG4AaQB0AFwAbgAgACAAPQBMAEEATQBCAEQAQQAoAFwAIgB0ACAAQwBPADIAZQBcACIAKQA7AFwAbgBcAG4AVgBFAEUAUgBHAF8AMQA1AF8AMQBfADEAXwAxAF8AXwAxAF8ARQBtAGkAcwBzAGkAbwBuAHMARgByAG8AbQBQAHUAcgBjAGgAYQBzAGUAZABMAGkAdgBlAHMAdABvAGMAawBfAFMAbwB1AHIAYwBlAFwAbgAgACAAPQBMAEEATQBCAEQAQQAoAFwAIgBWAEUARQBSAEcAIAAyADAAMgA2ADoAIAAxADUALgAxAC4AMQAuADEALAAgAEUAcQB1AGEAdABpAG8AbgAgACgAMQApAFwAIgApADsAXABuAFwAbgBWAEUARQBSAEcAXwAxADUAXwAxAF8AMQBfADEAXwBfADEAXwBFAG0AaQBzAHMAaQBvAG4AcwBGAHIAbwBtAFAAdQByAGMAaABhAHMAZQBkAEwAaQB2AGUAcwB0AG8AYwBrAF8ATgBJAFIAUgBlAGYAZQByAGUAbgBjAGUAXABuACAAIAA9AEwAQQBNAEIARABBACgAXAAiAFwAIgApADsAXABuAFwAbgBWAEUARQBSAEcAXwAxADUAXwAxAF8AMQBfADEAXwBfADEAXwBFAG0AaQBzAHMAaQBvAG4AcwBGAHIAbwBtAFAAdQByAGMAaABhAHMAZQBkAEwAaQB2AGUAcwB0AG8AYwBrAF8ATABhAHQAZQB4AEUAcQB1AGEAdABpAG8AbgBcAG4AIAAgAD0ATABBAE0AQgBEAEEAKABcACIARQA9AFwAXABzAHUAbQBcAFwAbgBvAGwAaQBtAGkAdABzAF8AYwBcAFwAcwB1AG0AXABcAG4AbwBsAGkAbQBpAHQAcwBfAG8AXABcAGwAZQBmAHQAKABOAF8AewBjAG8AfQBcAFwAdABpAG0AZQBzACAAVwBfAHsAYwBvAH0AXABcAHQAaQBtAGUAcwAgAEUARgBfAHsAYwBvAH0AXABcAHIAaQBnAGgAdAApAFwAXAB0AGkAbQBlAHMAIAAxADAAXgB7AC0AMwB9AFwAIgApADsAXABuAFwAbgBWAEUARQBSAEcAXwAxADUAXwAxAF8AMQBfADEAXwBfADEAXwBFAG0AaQBzAHMAaQBvAG4AcwBGAHIAbwBtAFAAdQByAGMAaABhAHMAZQBkAEwAaQB2AGUAcwB0AG8AYwBrAF8AQQByAGcAdQBtAGUAbgB0AHMAXABuACAAIAA9AEwAQQBNAEIARABBACgAXABuACAAIAAgACAATQBBAEsARQBBAFIAUgBBAFkAKAA1ACwAIAA0ACwAXABuACAAIAAgACAAIAAgAEwAQQBNAEIARABBACgAcgAsAGMALABcAG4AIAAgACAAIAAgACAAIAAgAEkATgBEAEUAWAAoAHsAXABuACAAIAAgACAAIAAgACAAIAAgACAAXAAiAE4AXwBjAG8AXAAiACwAIABcACIAbgB1AG0AYgBlAHIAIABvAGYAIABhAG4AaQBtAGEAbABzACAAcAB1AHIAYwBoAGEAcwBlAGQAIABpAG4AIABsAGkAdgBlAHMAdABvAGMAawAgAHQAeQBwAGUAIABjACAAZgByAG8AbQAgAG8AcgBpAGcAaQBuACAAbwBcACIALAAgAFwAIgBoAGUAYQBkAFwAIgAsACAAXAAiAEkAbgBwAHUAdABcACIAOwBcAG4AIAAgACAAIAAgACAAIAAgACAAIABcACIAVwBfAGMAbwBcACIALAAgAFwAIgBhAHYAZQByAGEAZwBlACAAbABpAHYAZQB3AGUAaQBnAGgAdAAgAG8AZgAgAHAAdQByAGMAaABhAHMAZQBkACAAbABpAHYAZQBzAHQAbwBjAGsAIABhAHQAIABwAG8AaQBuAHQAIABvAGYAIABwAHUAcgBjAGgAYQBzAGUAXAAiACwAIABcACIAawBnAC8AaABlAGEAZABcACIALAAgAFwAIgBJAG4AcAB1AHQAXAAiADsAXABuACAAIAAgACAAIAAgACAAIAAgACAAXAAiAEUARgBfAGMAbwBcACIALAAgAFwAIgBlAG0AaQBzAHMAaQBvAG4AIABmAGEAYwB0AG8AcgAgAHAAZQByACAAbABpAHYAZQBzAHQAbwBjAGsAIAB0AHkAcABlACAAYQBuAGQAIABvAHIAaQBnAGkAbgBcACIALAAgAFwAIgBrAGcAIABDAE8AMgBlAC8AawBnAFwAIgAsACAAXAAiAEMAbwBuAHMAdABhAG4AdABcACIAOwBcAG4AIAAgACAAIAAgACAAIAAgACAAIABcACIAYwBcACIALAAgAFwAIgBsAGkAdgBlAHMAdABvAGMAawAgAHQAeQBwAGUAXAAiACwAIABcACIAXAAiACwAIABcACIASQBuAHAAdQB0AFwAIgA7AFwAbgAgACAAIAAgACAAIAAgACAAIAAgAFwAIgBvAFwAIgAsACAAXAAiAG8AcgBpAGcAaQ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yAF8AMQBfADEAXwBfADEAXwBFAG0AaQBzAHMAaQBvAG4AcwBGAHIAbwBtAFAAdQByAGMAaABhAHMAZQBkAEYAZQBlAGQAXABuAEUAbQBpAHMAcwBpAG8AbgBzACAAZgByAG8AbQAgAHAAdQByAGMAaABhAHMAZQBkACAAZgBlAGUAZABcAG4ARQBcAG4AdAAgAEMATwAyAGUAXABuAEUAPQBcAFwAcwB1AG0AXABcAG4AbwBsAGkAbQBpAHQAcwBfAGoAXABcAGwAZQBmAHQAKABRAF8AagBcAFwAdABpAG0AZQBzACAARQBGAF8AagBcAFwAcgBpAGcAaAB0ACkAXABuAFEAXwBqACAAPQAgAHEAdQBhAG4AdABpAHQAeQAgAG8AZgAgAGYAZQBlAGQAIAB0AHkAcABlACAAagAgAHAAdQByAGMAaABhAHMAZQBkAFwAbgBFAEYAXwBqACAAPQAgAGUAbQBpAHMAcwBpAG8AbgAgAGYAYQBjAHQAbwByACAAbwBmACAAcAB1AHIAYwBoAGEAcwBlAGQAIABmAGUAZQBkAFwAbgAtAC0ALQAtAC0ALQAtAC0ALQAtAC0ALQAtAC0ALQAtAC0ALQAtAC0ALQAtAC0ALQAtAC0ALQAtAC0ALQAtAC0ALQAtAC0ALQAtAC0AXABuACoALwBcAG4AXABuAFYARQBFAFIARwBfADEANQBfADIAXwAxAF8AMQBfAF8AMQBfAEUAbQBpAHMAcwBpAG8AbgBzAEYAcgBvAG0AUAB1AHIAYwBoAGEAcwBlAGQARgBlAGUAZABcAG4AIAAgAD0ATABBAE0AQgBEAEEAKABcAG4AIAAgACAAIABRAF8AagAsACAARQBGAF8AagAsAFwAbgAgACAAIAAgAFEAXwBqACAAKgAgAEUARgBfAGoAXABuACAAIAApADsAXABuAFwAbgBWAEUARQBSAEcAXwAxADUAXwAyAF8AMQBfADEAXwBfADEAXwBFAG0AaQBzAHMAaQBvAG4AcwBGAHIAbwBtAFAAdQByAGMAaABhAHMAZQBkAEYAZQBlAGQAXwBUAGkAdABsAGUAXABuACAAIAA9AEwAQQBNAEIARABBACgAXAAiAEUAbQBpAHMAcwBpAG8AbgBzACAAZgByAG8AbQAgAHAAdQByAGMAaABhAHMAZQBkACAAZgBlAGUAZABcACIAKQA7AFwAbgBcAG4AVgBFAEUAUgBHAF8AMQA1AF8AMgBfADEAXwAxAF8AXwAxAF8ARQBtAGkAcwBzAGkAbwBuAHMARgByAG8AbQBQAHUAcgBjAGgAYQBzAGUAZABGAGUAZQBkAF8AVgBhAHIAaQBhAGIAbABlAFwAbgAgACAAPQBMAEEATQBCAEQAQQAoAFwAIgBFAFwAIgApADsAXABuAFwAbgBWAEUARQBSAEcAXwAxADUAXwAyAF8AMQBfADEAXwBfADEAXwBFAG0AaQBzAHMAaQBvAG4AcwBGAHIAbwBtAFAAdQByAGMAaABhAHMAZQBkAEYAZQBlAGQAXwBVAG4AaQB0AFwAbgAgACAAPQBMAEEATQBCAEQAQQAoAFwAIgB0ACAAQwBPADIAZQBcACIAKQA7AFwAbgBcAG4AVgBFAEUAUgBHAF8AMQA1AF8AMgBfADEAXwAxAF8AXwAxAF8ARQBtAGkAcwBzAGkAbwBuAHMARgByAG8AbQBQAHUAcgBjAGgAYQBzAGUAZABGAGUAZQBkAF8AUwBvAHUAcgBjAGUAXABuACAAIAA9AEwAQQBNAEIARABBACgAXAAiAFYARQBFAFIARwAgADIAMAAyADYAOgAgADEANQAuADIALgAxAC4AMQAsACAARQBxAHUAYQB0AGkAbwBuACAAKAAxACkAXAAiACkAOwBcAG4AXABuAFYARQBFAFIARwBfADEANQBfADIAXwAxAF8AMQBfAF8AMQBfAEUAbQBpAHMAcwBpAG8AbgBzAEYAcgBvAG0AUAB1AHIAYwBoAGEAcwBlAGQARgBlAGUAZABfAE4ASQBSAFIAZQBmAGUAcgBlAG4AYwBlAFwAbgAgACAAPQBMAEEATQBCAEQAQQAoAFwAIgBcACIAKQA7AFwAbgBcAG4AVgBFAEUAUgBHAF8AMQA1AF8AMgBfADEAXwAxAF8AXwAxAF8ARQBtAGkAcwBzAGkAbwBuAHMARgByAG8AbQBQAHUAcgBjAGgAYQBzAGUAZABGAGUAZQBkAF8ATABhAHQAZQB4AEUAcQB1AGEAdABpAG8AbgBcAG4AIAAgAD0ATABBAE0AQgBEAEEAKABcACIARQA9AFwAXABzAHUAbQBcAFwAbgBvAGwAaQBtAGkAdABzAF8AagBcAFwAbABlAGYAdAAoAFEAXwBqAFwAXAB0AGkAbQBlAHMAIABFAEYAXwBqAFwAXAByAGkAZwBoAHQAKQBcACIAKQA7AFwAbgBcAG4AVgBFAEUAUgBHAF8AMQA1AF8AMgBfADEAXwAxAF8AXwAxAF8ARQBtAGkAcwBzAGkAbwBuAHMARgByAG8AbQBQAHUAcgBjAGgAYQBzAGUAZABGAGUAZQBkAF8AQQByAGcAdQBtAGUAbgB0AHMAXABuACAAIAA9AEwAQQBNAEIARABBACgAXABuACAAIAAgACAATQBBAEsARQBBAFIAUgBBAFkAKAAzACwAIAA0ACwAXABuACAAIAAgACAAIAAgAEwAQQBNAEIARABBACgAcgAsAGMALABcAG4AIAAgACAAIAAgACAAIAAgAEkATgBEAEUAWAAoAHsAXABuACAAIAAgACAAIAAgACAAIAAgACAAXAAiAFEAXwBqAFwAIgAsACAAXAAiAHEAdQBhAG4AdABpAHQAeQAgAG8AZgAgAGYAZQBlAGQAIAB0AHkAcABlACAAagAgAHAAdQByAGMAaABhAHMAZQBkAFwAIgAsACAAXAAiAHQAXAAiACwAIABcACIASQBuAHAAdQB0AFwAIgA7AFwAbgAgACAAIAAgACAAIAAgACAAIAAgAFwAIgBFAEYAXwBqAFwAIgAsACAAXAAiAGUAbQBpAHMAcwBpAG8AbgAgAGYAYQBjAHQAbwByACAAbwBmACAAcAB1AHIAYwBoAGEAcwBlAGQAIABmAGUAZQBkAFwAIgAsACAAXAAiAGsAZwAgAEMATwAyAGUALwBrAGcAXAAiACwAIABcACIAQwBvAG4AcwB0AGEAbgB0AFwAIgA7AFwAbgAgACAAIAAgACAAIAAgACAAIAAgAFwAIgBqAFwAIgAsACAAXAAiAGYAZQBlAG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zAF8AMQBfADEAXwBfADEAXwBFAG0AaQBzAHMAaQBvAG4AcwBGAHIAbwBtAFAAdQByAGMAaABhAHMAZQBkAE0AaQBuAGUAcgBhAGwAUwB1AHAAcABsAGUAbQBlAG4AdABzAFwAbgBUAG8AdABhAGwAIABlAG0AaQBzAHMAaQBvAG4AcwAgAGYAcgBvAG0AIABwAHUAcgBjAGgAYQBzAGUAZAAgAG0AaQBuAGUAcgBhAGwAIABzAHUAcABwAGwAZQBtAGUAbgB0AHMAXABuAEUAXABuAHQAIABDAE8AMgBlAFwAbgBFAD0AXABcAHMAdQBtAFwAXABuAG8AbABpAG0AaQB0AHMAXwBtAFwAXABsAGUAZgB0ACgAUQBfAG0AXABcAHQAaQBtAGUAcwAgAEUARgBfAG0AXABcAHIAaQBnAGgAdAApAFwAbgBRAF8AbQAgAD0AIAB0AG8AdABhAGwAIABxAHUAYQBuAHQAaQB0AHkAIABvAGYAIABtAGkAbgBlAHIAYQBsACAAcwB1AHAAcABsAGUAbQBlAG4AdAAgAHQAeQBwAGUAIABtACAAdQBzAGUAZABcAG4ARQBGAF8AbQAgAD0AIABlAG0AaQBzAHMAaQBvAG4AIABmAGEAYwB0AG8AcgAgAG8AZgAgAHAAdQByAGMAaABhAHMAZQBkACAAbQBpAG4AZQByAGEAbAAgAHMAdQBwAHAAbABlAG0AZQBuAHQAXABuAC0ALQAtAC0ALQAtAC0ALQAtAC0ALQAtAC0ALQAtAC0ALQAtAC0ALQAtAC0ALQAtAC0ALQAtAC0ALQAtAC0ALQAtAC0ALQAtAC0ALQBcAG4AKgAvAFwAbgBcAG4AVgBFAEUAUgBHAF8AMQA1AF8AMwBfADEAXwAxAF8AXwAxAF8ARQBtAGkAcwBzAGkAbwBuAHMARgByAG8AbQBQAHUAcgBjAGgAYQBzAGUAZABNAGkAbgBlAHIAYQBsAFMAdQBwAHAAbABlAG0AZQBuAHQAcwBcAG4AIAAgAD0ATABBAE0AQgBEAEEAKABcAG4AIAAgACAAIABRAF8AbQAsACAARQBGAF8AbQAsAFwAbgAgACAAIAAgAFEAXwBtACAAKgAgAEUARgBfAG0AXABuACAAIAApADsAXABuAFwAbgBWAEUARQBSAEcAXwAxADUAXwAzAF8AMQBfADEAXwBfADEAXwBFAG0AaQBzAHMAaQBvAG4AcwBGAHIAbwBtAFAAdQByAGMAaABhAHMAZQBkAE0AaQBuAGUAcgBhAGwAUwB1AHAAcABsAGUAbQBlAG4AdABzAF8AVABpAHQAbABlAFwAbgAgACAAPQBMAEEATQBCAEQAQQAoAFwAIgBUAG8AdABhAGwAIABlAG0AaQBzAHMAaQBvAG4AcwAgAGYAcgBvAG0AIABwAHUAcgBjAGgAYQBzAGUAZAAgAG0AaQBuAGUAcgBhAGwAIABzAHUAcABwAGwAZQBtAGUAbgB0AHMAXAAiACkAOwBcAG4AXABuAFYARQBFAFIARwBfADEANQBfADMAXwAxAF8AMQBfAF8AMQBfAEUAbQBpAHMAcwBpAG8AbgBzAEYAcgBvAG0AUAB1AHIAYwBoAGEAcwBlAGQATQBpAG4AZQByAGEAbABTAHUAcABwAGwAZQBtAGUAbgB0AHMAXwBWAGEAcgBpAGEAYgBsAGUAXABuACAAIAA9AEwAQQBNAEIARABBACgAXAAiAEUAXAAiACkAOwBcAG4AXABuAFYARQBFAFIARwBfADEANQBfADMAXwAxAF8AMQBfAF8AMQBfAEUAbQBpAHMAcwBpAG8AbgBzAEYAcgBvAG0AUAB1AHIAYwBoAGEAcwBlAGQATQBpAG4AZQByAGEAbABTAHUAcABwAGwAZQBtAGUAbgB0AHMAXwBVAG4AaQB0AFwAbgAgACAAPQBMAEEATQBCAEQAQQAoAFwAIgB0ACAAQwBPADIAZQBcACIAKQA7AFwAbgBcAG4AVgBFAEUAUgBHAF8AMQA1AF8AMwBfADEAXwAxAF8AXwAxAF8ARQBtAGkAcwBzAGkAbwBuAHMARgByAG8AbQBQAHUAcgBjAGgAYQBzAGUAZABNAGkAbgBlAHIAYQBsAFMAdQBwAHAAbABlAG0AZQBuAHQAcwBfAFMAbwB1AHIAYwBlAFwAbgAgACAAPQBMAEEATQBCAEQAQQAoAFwAIgBWAEUARQBSAEcAIAAyADAAMgA2ADoAIAAxADUALgAzAC4AMQAuADEALAAgAEUAcQB1AGEAdABpAG8AbgAgACgAMQApAFwAIgApADsAXABuAFwAbgBWAEUARQBSAEcAXwAxADUAXwAzAF8AMQBfADEAXwBfADEAXwBFAG0AaQBzAHMAaQBvAG4AcwBGAHIAbwBtAFAAdQByAGMAaABhAHMAZQBkAE0AaQBuAGUAcgBhAGwAUwB1AHAAcABsAGUAbQBlAG4AdABzAF8ATgBJAFIAUgBlAGYAZQByAGUAbgBjAGUAXABuACAAIAA9AEwAQQBNAEIARABBACgAXAAiAFwAIgApADsAXABuAFwAbgBWAEUARQBSAEcAXwAxADUAXwAzAF8AMQBfADEAXwBfADEAXwBFAG0AaQBzAHMAaQBvAG4AcwBGAHIAbwBtAFAAdQByAGMAaABhAHMAZQBkAE0AaQBuAGUAcgBhAGwAUwB1AHAAcABsAGUAbQBlAG4AdABzAF8ATABhAHQAZQB4AEUAcQB1AGEAdABpAG8AbgBcAG4AIAAgAD0ATABBAE0AQgBEAEEAKABcACIARQA9AFwAXABzAHUAbQBcAFwAbgBvAGwAaQBtAGkAdABzAF8AbQBcAFwAbABlAGYAdAAoAFEAXwBtAFwAXAB0AGkAbQBlAHMAIABFAEYAXwBtAFwAXAByAGkAZwBoAHQAKQBcACIAKQA7AFwAbgBcAG4AVgBFAEUAUgBHAF8AMQA1AF8AMwBfADEAXwAxAF8AXwAxAF8ARQBtAGkAcwBzAGkAbwBuAHMARgByAG8AbQBQAHUAcgBjAGgAYQBzAGUAZABNAGkAbgBlAHIAYQBsAFMAdQBwAHAAbABlAG0AZQBuAHQAcwBfAEEAcgBnAHUAbQBlAG4AdABzAFwAbgAgACAAPQBMAEEATQBCAEQAQQAoAFwAbgAgACAAIAAgAE0AQQBLAEUAQQBSAFIAQQBZACgAMwAsACAANAAsAFwAbgAgACAAIAAgACAAIABMAEEATQBCAEQAQQAoAHIALABjACwAXABuACAAIAAgACAAIAAgACAAIABJAE4ARABFAFgAKAB7AFwAbgAgACAAIAAgACAAIAAgACAAIAAgAFwAIgBRAF8AbQBcACIALAAgAFwAIgB0AG8AdABhAGwAIABxAHUAYQBuAHQAaQB0AHkAIABvAGYAIABtAGkAbgBlAHIAYQBsACAAcwB1AHAAcABsAGUAbQBlAG4AdAAgAHQAeQBwAGUAIABtACAAdQBzAGUAZABcACIALAAgAFwAIgB0AFwAIgAsACAAXAAiAEkAbgBwAHUAdABcACIAOwBcAG4AIAAgACAAIAAgACAAIAAgACAAIABcACIARQBGAF8AbQBcACIALAAgAFwAIgBlAG0AaQBzAHMAaQBvAG4AIABmAGEAYwB0AG8AcgAgAG8AZgAgAHAAdQByAGMAaABhAHMAZQBkACAAbQBpAG4AZQByAGEAbAAgAHMAdQBwAHAAbABlAG0AZQBuAHQAXAAiACwAIABcACIAawBnACAAQwBPADIAZQAvAGsAZwBcACIALAAgAFwAIgBDAG8AbgBzAHQAYQBuAHQAXAAiADsAXABuACAAIAAgACAAIAAgACAAIAAgACAAXAAiAG0AXAAiACwAIABcACIAbQBpAG4AZQByAGEAbAAgAHMAdQBwAHAAbABlAG0AZQBuAH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EAXwBFAG0AaQBzAHMAaQBvAG4AcwBGAHIAbwBtAFAAdQByAGMAaABhAHMAZQBkAEYAZQByAHQAaQBsAGkAcwBlAHIAXABuAEUAbQBpAHMAcwBpAG8AbgBzACAAZgByAG8AbQAgAHAAdQByAGMAaABhAHMAZQBkACAAZgBlAHIAdABpAGwAaQBzAGUAcgBcAG4ARQBcAG4AdAAgAEMATwAyAGUAXABuAEUAPQBcAFwAcwB1AG0AXABcAG4AbwBsAGkAbQBpAHQAcwBfAGYAXABcAHMAdQBtAFwAXABuAG8AbABpAG0AaQB0AHMAXwBqAFwAXABsAGUAZgB0ACgAVABNAF8AewBqAGYAfQBcAFwAdABpAG0AZQBzACAARQBGAF8AZgBcAFwAcgBpAGcAaAB0ACkAXABcAHQAaQBtAGUAcwAgADEAMABeAHsALQAzAH0AXABuAFQATQBfAGoAZgAgAD0AIABxAHUAYQBuAHQAaQB0AHkAIABvAGYAIABpAG4AbwByAGcAYQBuAGkAYwAgAGYAZQByAHQAaQBsAGkAcwBlAHIAIAB0AHkAcABlACAAZgAgAHAAdQByAGMAaABhAHMAZQBkACAAYQBuAGQAIABhAHAAcABsAGkAZQBkACAAdABvACAAcAByAG8AZAB1AGMAdABpAG8AbgAgAHMAeQBzAHQAZQBtACAAagBcAG4ARQBGAF8AZgAgAD0AIABlAG0AaQBzAHMAaQBvAG4AIABmAGEAYwB0AG8AcgAgAG8AZgAgAHAAdQByAGMAaABhAHMAZQBkACAAaQBuAG8AcgBnAGEAbgBpAGMAIABmAGUAcgB0AGkAbABpAHMAZQByAFwAbgAtAC0ALQAtAC0ALQAtAC0ALQAtAC0ALQAtAC0ALQAtAC0ALQAtAC0ALQAtAC0ALQAtAC0ALQAtAC0ALQAtAC0ALQAtAC0ALQAtAC0AXABuACoALwBcAG4AXABuAFYARQBFAFIARwBfADEANQBfADQAXwAxAF8AMQBfAF8AMQBfAEUAbQBpAHMAcwBpAG8AbgBzAEYAcgBvAG0AUAB1AHIAYwBoAGEAcwBlAGQARgBlAHIAdABpAGwAaQBzAGUAcgBcAG4AIAAgAD0ATABBAE0AQgBEAEEAKABcAG4AIAAgACAAIABUAE0AXwBqAGYALAAgAEUARgBfAGYALABcAG4AIAAgACAAIAAoAFQATQBfAGoAZgAgACoAIABFAEYAXwBmACkAIAAqACAAMQAwACAAXgAgAC0AMwBcAG4AIAAgACkAOwBcAG4AXABuAFYARQBFAFIARwBfADEANQBfADQAXwAxAF8AMQBfAF8AMQBfAEUAbQBpAHMAcwBpAG8AbgBzAEYAcgBvAG0AUAB1AHIAYwBoAGEAcwBlAGQARgBlAHIAdABpAGwAaQBzAGUAcgBfAFQAaQB0AGwAZQBcAG4AIAAgAD0ATABBAE0AQgBEAEEAKABcACIARQBtAGkAcwBzAGkAbwBuAHMAIABmAHIAbwBtACAAcAB1AHIAYwBoAGEAcwBlAGQAIABmAGUAcgB0AGkAbABpAHMAZQByAFwAIgApADsAXABuAFwAbgBWAEUARQBSAEcAXwAxADUAXwA0AF8AMQBfADEAXwBfADEAXwBFAG0AaQBzAHMAaQBvAG4AcwBGAHIAbwBtAFAAdQByAGMAaABhAHMAZQBkAEYAZQByAHQAaQBsAGkAcwBlAHIAXwBWAGEAcgBpAGEAYgBsAGUAXABuACAAIAA9AEwAQQBNAEIARABBACgAXAAiAEUAXAAiACkAOwBcAG4AXABuAFYARQBFAFIARwBfADEANQBfADQAXwAxAF8AMQBfAF8AMQBfAEUAbQBpAHMAcwBpAG8AbgBzAEYAcgBvAG0AUAB1AHIAYwBoAGEAcwBlAGQARgBlAHIAdABpAGwAaQBzAGUAcgBfAFUAbgBpAHQAXABuACAAIAA9AEwAQQBNAEIARABBACgAXAAiAHQAIABDAE8AMgBlAFwAIgApADsAXABuAFwAbgBWAEUARQBSAEcAXwAxADUAXwA0AF8AMQBfADEAXwBfADEAXwBFAG0AaQBzAHMAaQBvAG4AcwBGAHIAbwBtAFAAdQByAGMAaABhAHMAZQBkAEYAZQByAHQAaQBsAGkAcwBlAHIAXwBTAG8AdQByAGMAZQBcAG4AIAAgAD0ATABBAE0AQgBEAEEAKABcACIAVgBFAEUAUgBHACAAMgAwADIANgA6ACAAMQA1AC4ANAAuADEALgAxACwAIABFAHEAdQBhAHQAaQBvAG4AIAAoADEAKQBcACIAKQA7AFwAbgBcAG4AVgBFAEUAUgBHAF8AMQA1AF8ANABfADEAXwAxAF8AXwAxAF8ARQBtAGkAcwBzAGkAbwBuAHMARgByAG8AbQBQAHUAcgBjAGgAYQBzAGUAZABGAGUAcgB0AGkAbABpAHMAZQByAF8ATgBJAFIAUgBlAGYAZQByAGUAbgBjAGUAXABuACAAIAA9AEwAQQBNAEIARABBACgAXAAiAFwAIgApADsAXABuAFwAbgBWAEUARQBSAEcAXwAxADUAXwA0AF8AMQBfADEAXwBfADEAXwBFAG0AaQBzAHMAaQBvAG4AcwBGAHIAbwBtAFAAdQByAGMAaABhAHMAZQBkAEYAZQByAHQAaQBsAGkAcwBlAHIAXwBMAGEAdABlAHgARQBxAHUAYQB0AGkAbwBuAFwAbgAgACAAPQBMAEEATQBCAEQAQQAoAFwAIgBFAD0AXABcAHMAdQBtAFwAXABuAG8AbABpAG0AaQB0AHMAXwBmAFwAXABzAHUAbQBcAFwAbgBvAGwAaQBtAGkAdABzAF8AagBcAFwAbABlAGYAdAAoAFQATQBfAHsAagBmAH0AXABcAHQAaQBtAGUAcwAgAEUARgBfAGYAXABcAHIAaQBnAGgAdAApAFwAXAB0AGkAbQBlAHMAIAAxADAAXgB7AC0AMwB9AFwAIgApADsAXABuAFwAbgBWAEUARQBSAEcAXwAxADUAXwA0AF8AMQBfADEAXwBfADEAXwBFAG0AaQBzAHMAaQBvAG4AcwBGAHIAbwBtAFAAdQByAGMAaABhAHMAZQBkAEYAZQByAHQAaQBsAGkAcwBlAHIAXwBBAHIAZwB1AG0AZQBuAHQAcwBcAG4AIAAgAD0ATABBAE0AQgBEAEEAKABcAG4AIAAgACAAIABNAEEASwBFAEEAUgBSAEEAWQAoADQALAAgADQALABcAG4AIAAgACAAIAAgACAATABBAE0AQgBEAEEAKAByACwAYwAsAFwAbgAgACAAIAAgACAAIAAgACAASQBOAEQARQBYACgAe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YAXAAiACwAIABcACIAZQBtAGkAcwBzAGkAbwBuACAAZgBhAGMAdABvAHIAIABvAGYAIABwAHUAcgBjAGgAYQBzAGUAZAAgAGkAbgBvAHIAZwBhAG4AaQBjACAAZgBlAHIAdABpAGwAaQBzAGUAcgBcACIALAAgAFwAIgBrAGcAIABDAE8AMgBlAC8AawBnAFwAIgAsACAAXAAiAEMAbwBuAHMAdABhAG4AdABcACIAOwBcAG4AIAAgACAAIAAgACAAIAAgACAAIABcACIAagBcACIALAAgAFwAIgBwAHIAbwBkAHUAYwB0AGkAbwBuACAAcwB5AHMAdABlAG0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gBfAEUAbQBpAHMAcwBpAG8AbgBzAEYAcgBvAG0AUAB1AHIAYwBoAGEAcwBlAGQARgBlAHIAdABpAGwAaQBzAGUAcgBDAG8AbQBwAG8AbgBlAG4AdABzAFwAbgBFAG0AaQBzAHMAaQBvAG4AcwAgAGYAcgBvAG0AIABwAHUAcgBjAGgAYQBzAGUAZAAgAGYAZQByAHQAaQBsAGkAcwBlAHIAIABjAG8AbQBwAG8AbgBlAG4AdABzAFwAbgBFAFwAbgB0ACAAQwBPADIAZQBcAG4ARQA9AFwAXABzAHUAbQBcAFwAbgBvAGwAaQBtAGkAdABzAF8AZgBcAFwAcwB1AG0AXABcAG4AbwBsAGkAbQBpAHQAcwBfAGMAXABcAHMAdQBtAFwAXABuAG8AbABpAG0AaQB0AHMAXwBqAFwAXABsAGUAZgB0ACgAKABGAF8AewBjAGYAfQBcAFwAdABpAG0AZQBzACAAVABNAF8AewBqAGYAfQApAC8AMQAwADAAXABcAHQAaQBtAGUAcwAgAEUARgBfAGMAXABcAHIAaQBnAGgAdAApAFwAbgBGAF8AYwBmACAAPQAgAGYAcgBhAGMAdABpAG8AbgAgAG8AZgAgAGMAbwBtAHAAbwBuAGUAbgB0ACAAYwAgAGMAbwBuAHQAYQBpAG4AZQBkACAAdwBpAHQAaABpAG4AIAB0AGgAZQAgAGkAbgBvAHIAZwBhAG4AaQBjACAAZgBlAHIAdABpAGwAaQBzAGUAcgAgAGYAXABuAFQATQBfAGoAZgAgAD0AIABxAHUAYQBuAHQAaQB0AHkAIABvAGYAIABpAG4AbwByAGcAYQBuAGkAYwAgAGYAZQByAHQAaQBsAGkAcwBlAHIAIAB0AHkAcABlACAAZgAgAHAAdQByAGMAaABhAHMAZQBkACAAYQBuAGQAIABhAHAAcABsAGkAZQBkACAAdABvACAAcAByAG8AZAB1AGMAdABpAG8AbgAgAHMAeQBzAHQAZQBtACAAagBcAG4ARQBGAF8AYwAgAD0AIABlAG0AaQBzAHMAaQBvAG4AIABmAGEAYwB0AG8AcgAgAGYAbwByACAAdABoAGUAIABwAHIAbwBkAHUAYwB0AGkAbwBuACAAbwBmACAAYwBvAG0AcABvAG4AZQBuAHQAIABjAFwAbgAtAC0ALQAtAC0ALQAtAC0ALQAtAC0ALQAtAC0ALQAtAC0ALQAtAC0ALQAtAC0ALQAtAC0ALQAtAC0ALQAtAC0ALQAtAC0ALQAtAC0AXABuACoALwBcAG4AXABuAFYARQBFAFIARwBfADEANQBfADQAXwAxAF8AMQBfAF8AMgBfAEUAbQBpAHMAcwBpAG8AbgBzAEYAcgBvAG0AUAB1AHIAYwBoAGEAcwBlAGQARgBlAHIAdABpAGwAaQBzAGUAcgBDAG8AbQBwAG8AbgBlAG4AdABzAFwAbgAgACAAPQBMAEEATQBCAEQAQQAoAFwAbgAgACAAIAAgAEYAXwBjAGYALAAgAFQATQBfAGoAZgAsACAARQBGAF8AYwAsAFwAbgAgACAAIAAgACgAKABGAF8AYwBmACAAKgAgAFQATQBfAGoAZgApACAALwAgADEAMAAwACkAIAAqACAARQBGAF8AYwBcAG4AIAAgACkAOwBcAG4AXABuAFYARQBFAFIARwBfADEANQBfADQAXwAxAF8AMQBfAF8AMgBfAEUAbQBpAHMAcwBpAG8AbgBzAEYAcgBvAG0AUAB1AHIAYwBoAGEAcwBlAGQARgBlAHIAdABpAGwAaQBzAGUAcgBDAG8AbQBwAG8AbgBlAG4AdABzAFYAYQByAGkAYQB0AGkAbwBuAFwAbgAgACAAPQBMAEEATQBCAEQAQQAoAFwAbgAgACAAIAAgAEYAXwBjAGYALAAgAFQATQBfAGoAZgAsACAARQBGAF8AYwAsAFwAbgAgACAAIAAgACgARgBfAGMAZgAgACoAIABUAE0AXwBqAGYAKQAgACoAIABFAEYAXwBjACAAKgAgADEAMABeAC0AMwBcAG4AIAAgACkAOwBcAG4AXABuAFYARQBFAFIARwBfADEANQBfADQAXwAxAF8AMQBfAF8AMgBfAEUAbQBpAHMAcwBpAG8AbgBzAEYAcgBvAG0AUAB1AHIAYwBoAGEAcwBlAGQARgBlAHIAdABpAGwAaQBzAGUAcgBDAG8AbQBwAG8AbgBlAG4AdABzAF8AVABpAHQAbABlAFwAbgAgACAAPQBMAEEATQBCAEQAQQAoAFwAIgBFAG0AaQBzAHMAaQBvAG4AcwAgAGYAcgBvAG0AIABwAHUAcgBjAGgAYQBzAGUAZAAgAGYAZQByAHQAaQBsAGkAcwBlAHIAIABjAG8AbQBwAG8AbgBlAG4AdABzAFwAIgApADsAXABuAFwAbgBWAEUARQBSAEcAXwAxADUAXwA0AF8AMQBfADEAXwBfADIAXwBFAG0AaQBzAHMAaQBvAG4AcwBGAHIAbwBtAFAAdQByAGMAaABhAHMAZQBkAEYAZQByAHQAaQBsAGkAcwBlAHIAQwBvAG0AcABvAG4AZQBuAHQAcwBfAFYAYQByAGkAYQBiAGwAZQBcAG4AIAAgAD0ATABBAE0AQgBEAEEAKABcACIARQBcACIAKQA7AFwAbgBcAG4AVgBFAEUAUgBHAF8AMQA1AF8ANABfADEAXwAxAF8AXwAyAF8ARQBtAGkAcwBzAGkAbwBuAHMARgByAG8AbQBQAHUAcgBjAGgAYQBzAGUAZABGAGUAcgB0AGkAbABpAHMAZQByAEMAbwBtAHAAbwBuAGUAbgB0AHMAXwBVAG4AaQB0AFwAbgAgACAAPQBMAEEATQBCAEQAQQAoAFwAIgB0ACAAQwBPADIAZQBcACIAKQA7AFwAbgBcAG4AVgBFAEUAUgBHAF8AMQA1AF8ANABfADEAXwAxAF8AXwAyAF8ARQBtAGkAcwBzAGkAbwBuAHMARgByAG8AbQBQAHUAcgBjAGgAYQBzAGUAZABGAGUAcgB0AGkAbABpAHMAZQByAEMAbwBtAHAAbwBuAGUAbgB0AHMAXwBTAG8AdQByAGMAZQBcAG4AIAAgAD0ATABBAE0AQgBEAEEAKABcACIAVgBFAEUAUgBHACAAMgAwADIANgA6ACAAMQA1AC4ANAAuADEALgAxACwAIABFAHEAdQBhAHQAaQBvAG4AIAAoADIAKQBcACIAKQA7AFwAbgBcAG4AVgBFAEUAUgBHAF8AMQA1AF8ANABfADEAXwAxAF8AXwAyAF8ARQBtAGkAcwBzAGkAbwBuAHMARgByAG8AbQBQAHUAcgBjAGgAYQBzAGUAZABGAGUAcgB0AGkAbABpAHMAZQByAEMAbwBtAHAAbwBuAGUAbgB0AHMAXwBOAEkAUgBSAGUAZgBlAHIAZQBuAGMAZQBcAG4AIAAgAD0ATABBAE0AQgBEAEEAKABcACIAXAAiACkAOwBcAG4AXABuAFYARQBFAFIARwBfADEANQBfADQAXwAxAF8AMQBfAF8AMgBfAEUAbQBpAHMAcwBpAG8AbgBzAEYAcgBvAG0AUAB1AHIAYwBoAGEAcwBlAGQARgBlAHIAdABpAGwAaQBzAGUAcgBDAG8AbQBwAG8AbgBlAG4AdABzAF8ATABhAHQAZQB4AEUAcQB1AGEAdABpAG8AbgBcAG4AIAAgAD0ATABBAE0AQgBEAEEAKABcACIARQA9AFwAXABzAHUAbQBcAFwAbgBvAGwAaQBtAGkAdABzAF8AZgBcAFwAcwB1AG0AXABcAG4AbwBsAGkAbQBpAHQAcwBfAGMAXABcAHMAdQBtAFwAXABuAG8AbABpAG0AaQB0AHMAXwBqAFwAXABsAGUAZgB0ACgAXABcAGYAcgBhAGMAewBGAF8AewBjAGYAfQBcAFwAdABpAG0AZQBzACAAVABNAF8AewBqAGYAfQB9AHsAMQAwADAAfQBcAFwAdABpAG0AZQBzACAARQBGAF8AYwBcAFwAcgBpAGcAaAB0ACkAXAAiACkAOwBcAG4AXABuAFYARQBFAFIARwBfADEANQBfADQAXwAxAF8AMQBfAF8AMgBfAEUAbQBpAHMAcwBpAG8AbgBzAEYAcgBvAG0AUAB1AHIAYwBoAGEAcwBlAGQARgBlAHIAdABpAGwAaQBzAGUAcgBDAG8AbQBwAG8AbgBlAG4AdABzAF8ATABhAHQAZQB4AEUAcQB1AGEAdABpAG8AbgBWAGEAcgBpAGEAdABpAG8AbgBcAG4AIAAgAD0ATABBAE0AQgBEAEEAKABcACIARQA9AFwAXABzAHUAbQBcAFwAbgBvAGwAaQBtAGkAdABzAF8AZgBcAFwAcwB1AG0AXABcAG4AbwBsAGkAbQBpAHQAcwBfAGMAXABcAHMAdQBtAFwAXABuAG8AbABpAG0AaQB0AHMAXwBqAFwAXABsAGUAZgB0ACgARgBfAHsAYwBmAH0AXABcAHQAaQBtAGUAcwAgAFQATQBfAHsAagBmAH0AXABcAHQAaQBtAGUAcwAgAEUARgBfAGMAXABcAHIAaQBnAGgAdAApAFwAXAB0AGkAbQBlAHMAIAAxADAAXgB7AC0AMwB9AFwAIgApADsAXABuAFwAbgBWAEUARQBSAEcAXwAxADUAXwA0AF8AMQBfADEAXwBfADIAXwBFAG0AaQBzAHMAaQBvAG4AcwBGAHIAbwBtAFAAdQByAGMAaABhAHMAZQBkAEYAZQByAHQAaQBsAGkAcwBlAHIAQwBvAG0AcABvAG4AZQBuAHQAcwBfAEEAcgBnAHUAbQBlAG4AdABzAFwAbgAgACAAPQBMAEEATQBCAEQAQQAoAFwAbgAgACAAIAAgAE0AQQBLAEUAQQBSAFIAQQBZACgANg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OwBcAG4AIAAgACAAIAAgACAAIAAgACAAIABcACIAagBcACIALAAgAFwAIgBwAHIAbwBkAHUAYwB0AGkAbwBuACAAcwB5AHMAdABlAG0AXAAiACwAIABcACIAXAAiACwAIABcACIASQBuAHAAdQB0AFwAIgBcAG4AIAAgACAAIAAgACAAIAAgAH0ALAAgAHIALAAgAGMAKQBcAG4AIAAgACAAIAAgACAAKQBcAG4AIAAgACAAIAApAFwAbgAgACAAKQA7AFwAbgBcAG4AVgBFAEUAUgBHAF8AMQA1AF8ANABfADEAXwAxAF8AXwAyAF8ARQBtAGkAcwBzAGkAbwBuAHMARgByAG8AbQBQAHUAcgBjAGgAYQBzAGUAZABGAGUAcgB0AGkAbABpAHMAZQByAEMAbwBtAHAAbwBuAGUAbgB0AHMAXwBWAGEAcgBpAGEAdABpAG8AbgBcAG4AIAAgAD0ATABBAE0AQgBEAEEAKABcACIAVgBBAFIASQBBAFQASQBPAE4AIABPAE4AIABTAE8AVQBSAEMARQA6ACAAcgBlAG0AbwB2AGUAcwAgAGQAaQB2AGkAcwBpAG8AbgAgAGIAeQAgADEAMAAwACAAZgBvAHIAIABGAF8AYwBmACwAIAB0AHIAZQBhAHQAaQBuAGcAIABGAF8AYwBmACAAYQBzACAAZgByAGEAYwB0AGkAbwBuACAAaQBuAHMAdABlAGEAZAAgAG8AZgAgAHAAZQByAGMAZQBuAHQAIABiAGUAYwBhAHUAcwBlACAAaQB0ACAAaQBzACAAYQAgAGYAcgBhAGMAdABpAG8AbgAgAGkAbgAgAHMAYwBvAHAAZQAgADEAIABlAHEAdQBhAHQAaQBvAG4AcwAuACAAQwBvAG4AdgBlAHIAdAAgAGsAZwAgAHQAbwAgAHQAbwBuAG4AZQBzACAAYgB5ACAAbQB1AHQAaQBwAGwAeQBpAG4AZwAgAGIAeQAgADEAMABeAC0AMwAuAFwAIgApADsAXABuAFwAbgBcAG4AXABuAFwAbgAvACoAXABuAC0ALQAtAC0ALQAtAC0ALQAtAC0ALQAtAC0ALQAtAC0ALQAtAC0ALQAtAC0ALQAtAC0ALQAtAC0ALQAtAC0ALQAtAC0ALQAtAC0ALQBcAG4AVgBFAEUAUgBHAF8AMQA1AF8ANABfADEAXwAxAF8AXwBYAF8ARQBtAGkAcwBzAGkAbwBuAEYAYQBjAHQAbwByAEYAcgBvAG0AUAB1AHIAYwBoAGEAcwBlAGQARgBlAHIAdABpAGwAaQBzAGUAcgBDAG8AbQBwAG8AbgBlAG4AdABzAFwAbgBFAG0AaQBzAHMAaQBvAG4AIABmAGEAYwB0AG8AcgAgAGYAbwByACAAZgBlAHIAdABpAGwAaQBzAGUAcgAgAHAAcgBvAGQAdQBjAHQAIABkAGUAcgBpAHYAZQBkACAAZgByAG8AbQAgAGMAbwBtAHAAbwBuAGUAbgB0AHMAXABuAC0ALQAtAC0ALQAtAC0ALQAtAC0ALQAtAC0ALQAtAC0ALQAtAC0ALQAtAC0ALQAtAC0ALQAtAC0ALQAtAC0ALQAtAC0ALQAtAC0ALQBcAG4AKgAvAFwAbgBcAG4AVgBFAEUAUgBHAF8AMQA1AF8ANABfADEAXwAxAF8AXwBYAF8ARQBtAGkAcwBzAGkAbwBuAEYAYQBjAHQAbwByAEYAcgBvAG0AUAB1AHIAYwBoAGEAcwBlAGQARgBlAHIAdABpAGwAaQBzAGUAcgBDAG8AbQBwAG8AbgBlAG4AdABzAFwAbgAgACAAPQBMAEEATQBCAEQAQQAoAFwAbgAgACAAIAAgAEYAXwBjAGYALAAgAEUARgBfAGMALABcAG4AIAAgACAAIABGAF8AYwBmACAAKgAgAEUARgBfAGMAXABuACAAIAApADsAXABuAFwAbgBWAEUARQBSAEcAXwAxADUAXwA0AF8AMQBfADEAXwBfAFgAXwBFAG0AaQBzAHMAaQBvAG4ARgBhAGMAdABvAHIARgByAG8AbQBQAHUAcgBjAGgAYQBzAGUAZABGAGUAcgB0AGkAbABpAHMAZQByAEMAbwBtAHAAbwBuAGUAbgB0AHMAXwBUAGkAdABsAGUAXABuACAAIAA9AEwAQQBNAEIARABBACgAXAAiAEUAbQBpAHMAcwBpAG8AbgAgAGYAYQBjAHQAbwByACAAZgBvAHIAIABmAGUAcgB0AGkAbABpAHMAZQByACAAcAByAG8AZAB1AGMAdAAgAGQAZQByAGkAdgBlAGQAIABmAHIAbwBtACAAYwBvAG0AcABvAG4AZQBuAHQAcwBcACIAKQA7AFwAbgBcAG4AVgBFAEUAUgBHAF8AMQA1AF8ANABfADEAXwAxAF8AXwBYAF8ARQBtAGkAcwBzAGkAbwBuAEYAYQBjAHQAbwByAEYAcgBvAG0AUAB1AHIAYwBoAGEAcwBlAGQARgBlAHIAdABpAGwAaQBzAGUAcgBDAG8AbQBwAG8AbgBlAG4AdABzAF8AVgBhAHIAaQBhAGIAbABlAFwAbgAgACAAPQBMAEEATQBCAEQAQQAoAFwAIgBFAEYAXwBmAFwAIgApADsAXABuAFwAbgBWAEUARQBSAEcAXwAxADUAXwA0AF8AMQBfADEAXwBfAFgAXwBFAG0AaQBzAHMAaQBvAG4ARgBhAGMAdABvAHIARgByAG8AbQBQAHUAcgBjAGgAYQBzAGUAZABGAGUAcgB0AGkAbABpAHMAZQByAEMAbwBtAHAAbwBuAGUAbgB0AHMAXwBVAG4AaQB0AFwAbgAgACAAPQBMAEEATQBCAEQAQQAoAFwAIgBrAGcAIABDAE8AMgBlAC8AawBnACAAZgBlAHIAdABpAGwAaQBzAGUAcgBcACIAKQA7AFwAbgBcAG4AVgBFAEUAUgBHAF8AMQA1AF8ANABfADEAXwAxAF8AXwBYAF8ARQBtAGkAcwBzAGkAbwBuAEYAYQBjAHQAbwByAEYAcgBvAG0AUAB1AHIAYwBoAGEAcwBlAGQARgBlAHIAdABpAGwAaQBzAGUAcgBDAG8AbQBwAG8AbgBlAG4AdABzAF8AUwBvAHUAcgBjAGUAXABuACAAIAA9AEwAQQBNAEIARABBACgAXAAiAEcAQQBGAFwAIgApADsAXABuAFwAbgBWAEUARQBSAEcAXwAxADUAXwA0AF8AMQBfADEAXwBfAFgAXwBFAG0AaQBzAHMAaQBvAG4ARgBhAGMAdABvAHIARgByAG8AbQBQAHUAcgBjAGgAYQBzAGUAZABGAGUAcgB0AGkAbABpAHMAZQByAEMAbwBtAHAAbwBuAGUAbgB0AHMAXwBOAEkAUgBSAGUAZgBlAHIAZQBuAGMAZQBcAG4AIAAgAD0ATABBAE0AQgBEAEEAKABcACIAXAAiACkAOwBcAG4AXABuAFYARQBFAFIARwBfADEANQBfADQAXwAxAF8AMQBfAF8AWABfAEUAbQBpAHMAcwBpAG8AbgBGAGEAYwB0AG8AcgBGAHIAbwBtAFAAdQByAGMAaABhAHMAZQBkAEYAZQByAHQAaQBsAGkAcwBlAHIAQwBvAG0AcABvAG4AZQBuAHQAcwBfAEwAYQB0AGUAeABFAHEAdQBhAHQAaQBvAG4AXABuACAAIAA9AEwAQQBNAEIARABBACgAXAAiAEUARgBfAGYAPQBcAFwAcwB1AG0AXABcAG4AbwBsAGkAbQBpAHQAcwBfAGMAXABcAGwAZQBmAHQAKABGAF8AewBjAGYAfQBcAFwAdABpAG0AZQBzACAARQBGAF8AYwBcAFwAcgBpAGcAaAB0ACkAXAAiACkAOwBcAG4AXABuAFYARQBFAFIARwBfADEANQBfADQAXwAxAF8AMQBfAF8AWABfAEUAbQBpAHMAcwBpAG8AbgBGAGEAYwB0AG8AcgBGAHIAbwBtAFAAdQByAGMAaABhAHMAZQBkAEYAZQByAHQAaQBsAGkAcwBlAHIAQwBvAG0AcABvAG4AZQBuAHQAcwBfAEEAcgBnAHUAbQBlAG4AdABzAFwAbgAgACAAPQBMAEEATQBCAEQAQQAoAFwAbgAgACAAIAAgAE0AQQBLAEUAQQBSAFIAQQBZACgANA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VgBFAEUAUgBHAF8AMQA1AF8ANABfADEAXwAxAF8AXwBYAF8ARQBtAGkAcwBzAGkAbwBuAEYAYQBjAHQAbwByAEYAcgBvAG0AUAB1AHIAYwBoAGEAcwBlAGQARgBlAHIAdABpAGwAaQBzAGUAcgBDAG8AbQBwAG8AbgBlAG4AdABzAF8AVgBhAHIAaQBhAHQAaQBvAG4AXABuACAAIAA9AEwAQQBNAEIARABBACgAXAAiAFYAQQBSAEkAQQBUAEkATwBOACAATwBOACAAUwBPAFUAUgBDAEUAOgAgAFQAaABpAHMAIABlAHEAdQBhAHQAaQBvAG4AIABpAHMAIABhAGQAZABlAGQAIAB0AG8AIABjAGEAbABjAHUAbABhAHQAZQAgAGEAbgAgAEUARgAgAHYAYQBsAHUAZQAgAGYAcgBvAG0AIABmAGUAcgB0AGkAbABpAHMAZQByACAAYwBvAG0AcABvAG4AZQBuAHQAcwAgAHQAaABhAHQAIABjAGEAbgAgAGIAZQAgAHUAcwBlAGQAIABpAG4AIAAxADUALgA0AC4AMQAuADEAIAAoADEAKQBcACIAKQA7AFwAbgBcAG4ALwAqAFwAbgAtAC0ALQAtAC0ALQAtAC0ALQAtAC0ALQAtAC0ALQAtAC0ALQAtAC0ALQAtAC0ALQAtAC0ALQAtAC0ALQAtAC0ALQAtAC0ALQAtAC0AXABuAFYARQBFAFIARwBfADEANQBfADUAXwAxAF8AMQBfAF8AMQBfAEUAbQBpAHMAcwBpAG8AbgBzAEYAcgBvAG0AUAB1AHIAYwBoAGEAcwBlAGQAQQBnAHIAaQBjAGgAZQBtAGkAYwBhAGwAcwBcAG4AVABvAHQAYQBsACAAZQBtAGkAcwBzAGkAbwBuAHMAIABmAHIAbwBtACAAcAB1AHIAYwBoAGEAcwBlAGQAIABhAGcAcgBpAGMAaABlAG0AaQBjAGEAbABzAFwAbgBFAFwAbgB0ACAAQwBPADIAZQBcAG4ARQA9AFwAXABzAHUAbQBcAFwAbgBvAGwAaQBtAGkAdABzAF8AaABcAFwAbABlAGYAdAAoAFEAXwBoAFwAXAB0AGkAbQBlAHMAIABFAEYAXwBoAFwAXAByAGkAZwBoAHQAKQBcAFwAdABpAG0AZQBzACAAMQAwAF4AewAtADMAfQBcAG4AUQBfAGgAIAA9ACAAcQB1AGEAbgB0AGkAdAB5ACAAbwBmACAAYQBjAHQAaQB2AGUAIABpAG4AZwByAGUAZABpAGUAbgB0AHMAIABpAG4AIABhAGcAcgBpAGMAaABlAG0AaQBjAGEAbAAgAHQAeQBwAGUAIABoACAAcAB1AHIAYwBoAGEAcwBlAGQAIABhAG4AZAAgAGEAcABwAGwAaQBlAGQAIAB0AG8AIABzAG8AaQBsAHMAXABuAEUARgBfAGgAIAA9ACAAZQBtAGkAcwBzAGkAbwBuACAAZgBhAGMAdABvAHIAIABmAG8AcgAgAHAAdQByAGMAaABhAHMAZQBkACAAYQBnAHIAaQBjAGgAZQBtAGkAYwBhAGwAIABhAGMAdABpAHYAZQAgAGkAbgBnAHIAZQBkAGkAZQBuAHQAXABuAC0ALQAtAC0ALQAtAC0ALQAtAC0ALQAtAC0ALQAtAC0ALQAtAC0ALQAtAC0ALQAtAC0ALQAtAC0ALQAtAC0ALQAtAC0ALQAtAC0ALQBcAG4AKgAvAFwAbgBcAG4AVgBFAEUAUgBHAF8AMQA1AF8ANQBfADEAXwAxAF8AXwAxAF8ARQBtAGkAcwBzAGkAbwBuAHMARgByAG8AbQBQAHUAcgBjAGgAYQBzAGUAZABBAGcAcgBpAGMAaABlAG0AaQBjAGEAbABzAFwAbgAgACAAPQBMAEEATQBCAEQAQQAoAFwAbgAgACAAIAAgAFEAXwBoACwAIABFAEYAXwBoACwAXABuACAAIAAgACAAKABRAF8AaAAgACoAIABFAEYAXwBoACkAIAAqACAAMQAwACAAXgAgAC0AMwBcAG4AIAAgACkAOwBcAG4AXABuAFYARQBFAFIARwBfADEANQBfADUAXwAxAF8AMQBfAF8AMQBfAEUAbQBpAHMAcwBpAG8AbgBzAEYAcgBvAG0AUAB1AHIAYwBoAGEAcwBlAGQAQQBnAHIAaQBjAGgAZQBtAGkAYwBhAGwAcwBfAFQAaQB0AGwAZQBcAG4AIAAgAD0ATABBAE0AQgBEAEEAKABcACIAVABvAHQAYQBsACAAZQBtAGkAcwBzAGkAbwBuAHMAIABmAHIAbwBtACAAcAB1AHIAYwBoAGEAcwBlAGQAIABhAGcAcgBpAGMAaABlAG0AaQBjAGEAbABzAFwAIgApADsAXABuAFwAbgBWAEUARQBSAEcAXwAxADUAXwA1AF8AMQBfADEAXwBfADEAXwBFAG0AaQBzAHMAaQBvAG4AcwBGAHIAbwBtAFAAdQByAGMAaABhAHMAZQBkAEEAZwByAGkAYwBoAGUAbQBpAGMAYQBsAHMAXwBWAGEAcgBpAGEAYgBsAGUAXABuACAAIAA9AEwAQQBNAEIARABBACgAXAAiAEUAXAAiACkAOwBcAG4AXABuAFYARQBFAFIARwBfADEANQBfADUAXwAxAF8AMQBfAF8AMQBfAEUAbQBpAHMAcwBpAG8AbgBzAEYAcgBvAG0AUAB1AHIAYwBoAGEAcwBlAGQAQQBnAHIAaQBjAGgAZQBtAGkAYwBhAGwAcwBfAFUAbgBpAHQAXABuACAAIAA9AEwAQQBNAEIARABBACgAXAAiAHQAIABDAE8AMgBlAFwAIgApADsAXABuAFwAbgBWAEUARQBSAEcAXwAxADUAXwA1AF8AMQBfADEAXwBfADEAXwBFAG0AaQBzAHMAaQBvAG4AcwBGAHIAbwBtAFAAdQByAGMAaABhAHMAZQBkAEEAZwByAGkAYwBoAGUAbQBpAGMAYQBsAHMAXwBTAG8AdQByAGMAZQBcAG4AIAAgAD0ATABBAE0AQgBEAEEAKABcACIAVgBFAEUAUgBHACAAMgAwADIANgA6ACAAMQA1AC4ANQAuADEALgAxACwAIABFAHEAdQBhAHQAaQBvAG4AIAAoADEAKQBcACIAKQA7AFwAbgBcAG4AVgBFAEUAUgBHAF8AMQA1AF8ANQBfADEAXwAxAF8AXwAxAF8ARQBtAGkAcwBzAGkAbwBuAHMARgByAG8AbQBQAHUAcgBjAGgAYQBzAGUAZABBAGcAcgBpAGMAaABlAG0AaQBjAGEAbABzAF8ATgBJAFIAUgBlAGYAZQByAGUAbgBjAGUAXABuACAAIAA9AEwAQQBNAEIARABBACgAXAAiAFwAIgApADsAXABuAFwAbgBWAEUARQBSAEcAXwAxADUAXwA1AF8AMQBfADEAXwBfADEAXwBFAG0AaQBzAHMAaQBvAG4AcwBGAHIAbwBtAFAAdQByAGMAaABhAHMAZQBkAEEAZwByAGkAYwBoAGUAbQBpAGMAYQBsAHMAXwBMAGEAdABlAHgARQBxAHUAYQB0AGkAbwBuAFwAbgAgACAAPQBMAEEATQBCAEQAQQAoAFwAIgBFAD0AXABcAHMAdQBtAFwAXABuAG8AbABpAG0AaQB0AHMAXwBoAFwAXABsAGUAZgB0ACgAUQBfAGgAXABcAHQAaQBtAGUAcwAgAEUARgBfAGgAXABcAHIAaQBnAGgAdAApAFwAXAB0AGkAbQBlAHMAIAAxADAAXgB7AC0AMwB9AFwAIgApADsAXABuAFwAbgBWAEUARQBSAEcAXwAxADUAXwA1AF8AMQBfADEAXwBfADEAXwBFAG0AaQBzAHMAaQBvAG4AcwBGAHIAbwBtAFAAdQByAGMAaABhAHMAZQBkAEEAZwByAGkAYwBoAGUAbQBpAGMAYQBsAHMAXwBBAHIAZwB1AG0AZQBuAHQAcwBcAG4AIAAgAD0ATABBAE0AQgBEAEEAKABcAG4AIAAgACAAIABNAEEASwBFAEEAUgBSAEEAWQAoADMALAAgADQALABcAG4AIAAgACAAIAAgACAATABBAE0AQgBEAEEAKAByACwAYwAsAFwAbgAgACAAIAAgACAAIAAgACAASQBOAEQARQBYACgAewBcAG4AIAAgACAAIAAgACAAIAAgACAAIABcACIAUQBfAGgAXAAiACwAIABcACIAcQB1AGEAbgB0AGkAdAB5ACAAbwBmACAAYQBjAHQAaQB2AGUAIABpAG4AZwByAGUAZABpAGUAbgB0AHMAIABpAG4AIABhAGcAcgBpAGMAaABlAG0AaQBjAGEAbAAgAHQAeQBwAGUAIABoACAAcAB1AHIAYwBoAGEAcwBlAGQAIABhAG4AZAAgAGEAcABwAGwAaQBlAGQAIAB0AG8AIABzAG8AaQBsAHMAXAAiACwAIABcACIAawBnACAAYQBpAFwAIgAsACAAXAAiAEkAbgBwAHUAdABcACIAOwBcAG4AIAAgACAAIAAgACAAIAAgACAAIABcACIARQBGAF8AaABcACIALAAgAFwAIgBlAG0AaQBzAHMAaQBvAG4AIABmAGEAYwB0AG8AcgAgAGYAbwByACAAcAB1AHIAYwBoAGEAcwBlAGQAIABhAGcAcgBpAGMAaABlAG0AaQBjAGEAbAAgAGEAYwB0AGkAdgBlACAAaQBuAGcAcgBlAGQAaQBlAG4AdABcACIALAAgAFwAIgBrAGcAIABDAE8AMgBlAC8AawBnACAAYQBpAFwAIgAsACAAXAAiAEMAbwBuAHMAdABhAG4AdABcACIAOwBcAG4AIAAgACAAIAAgACAAIAAgACAAIABcACIAaABcACIALAAgAFwAIgBhAGcAcgBpAGMAaABlAG0AaQBjAGEAb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YAXwAxAF8AMQBfAF8AMQBfAEUAbQBpAHMAcwBpAG8AbgBzAEYAcgBvAG0AUAB1AHIAYwBoAGEAcwBlAGQATABpAG0AZQBcAG4ARQBtAGIAZQBkAGQAZQBkACAAZQBtAGkAcwBzAGkAbwBuAHMAIABmAG8AcgAgAHAAdQByAGMAaABhAHMAZQBkACAAbABpAG0AZQBcAG4ARQBcAG4AdAAgAEMATwAyAGUAXABuAEUAPQBNAF8AbABpAG0AZQBcAFwAdABpAG0AZQBzACAARQBGAF8AbABcAG4ATQBfAGwAaQBtAGUAIAA9ACAAdABvAHQAYQBsACAAcQB1AGEAbgB0AGkAdAB5ACAAbwBmACAAbABpAG0AZQAgAGEAcABwAGwAaQBlAGQAIAB0AG8AIABzAG8AaQBsAHMAXABuAEUARgBfAGwAIAA9ACAAZQBtAGkAcwBzAGkAbwBuACAAZgBhAGMAdABvAHIAIABmAG8AcgAgAHAAdQByAGMAaABhAHMAZQBkACAAbABpAG0AZQBcAG4ALQAtAC0ALQAtAC0ALQAtAC0ALQAtAC0ALQAtAC0ALQAtAC0ALQAtAC0ALQAtAC0ALQAtAC0ALQAtAC0ALQAtAC0ALQAtAC0ALQAtAFwAbgAqAC8AXABuAFwAbgBWAEUARQBSAEcAXwAxADUAXwA2AF8AMQBfADEAXwBfADEAXwBFAG0AaQBzAHMAaQBvAG4AcwBGAHIAbwBtAFAAdQByAGMAaABhAHMAZQBkAEwAaQBtAGUAXABuACAAIAA9AEwAQQBNAEIARABBACgAXABuACAAIAAgACAATQBfAGwAaQBtAGUALAAgAEUARgBfAGwALABcAG4AIAAgACAAIABNAF8AbABpAG0AZQAgACoAIABFAEYAXwBsAFwAbgAgACAAKQA7AFwAbgBcAG4AVgBFAEUAUgBHAF8AMQA1AF8ANgBfADEAXwAxAF8AXwAxAF8ARQBtAGkAcwBzAGkAbwBuAHMARgByAG8AbQBQAHUAcgBjAGgAYQBzAGUAZABMAGkAbQBlAF8AVABpAHQAbABlAFwAbgAgACAAPQBMAEEATQBCAEQAQQAoAFwAIgBFAG0AYgBlAGQAZABlAGQAIABlAG0AaQBzAHMAaQBvAG4AcwAgAGYAbwByACAAcAB1AHIAYwBoAGEAcwBlAGQAIABsAGkAbQBlAFwAIgApADsAXABuAFwAbgBWAEUARQBSAEcAXwAxADUAXwA2AF8AMQBfADEAXwBfADEAXwBFAG0AaQBzAHMAaQBvAG4AcwBGAHIAbwBtAFAAdQByAGMAaABhAHMAZQBkAEwAaQBtAGUAXwBWAGEAcgBpAGEAYgBsAGUAXABuACAAIAA9AEwAQQBNAEIARABBACgAXAAiAEUAXAAiACkAOwBcAG4AXABuAFYARQBFAFIARwBfADEANQBfADYAXwAxAF8AMQBfAF8AMQBfAEUAbQBpAHMAcwBpAG8AbgBzAEYAcgBvAG0AUAB1AHIAYwBoAGEAcwBlAGQATABpAG0AZQBfAFUAbgBpAHQAXABuACAAIAA9AEwAQQBNAEIARABBACgAXAAiAHQAIABDAE8AMgBlAFwAIgApADsAXABuAFwAbgBWAEUARQBSAEcAXwAxADUAXwA2AF8AMQBfADEAXwBfADEAXwBFAG0AaQBzAHMAaQBvAG4AcwBGAHIAbwBtAFAAdQByAGMAaABhAHMAZQBkAEwAaQBtAGUAXwBTAG8AdQByAGMAZQBcAG4AIAAgAD0ATABBAE0AQgBEAEEAKABcACIAVgBFAEUAUgBHACAAMgAwADIANgA6ACAAMQA1AC4ANgAuADEALgAxACwAIABFAHEAdQBhAHQAaQBvAG4AIAAoADEAKQBcACIAKQA7AFwAbgBcAG4AVgBFAEUAUgBHAF8AMQA1AF8ANgBfADEAXwAxAF8AXwAxAF8ARQBtAGkAcwBzAGkAbwBuAHMARgByAG8AbQBQAHUAcgBjAGgAYQBzAGUAZABMAGkAbQBlAF8ATgBJAFIAUgBlAGYAZQByAGUAbgBjAGUAXABuACAAIAA9AEwAQQBNAEIARABBACgAXAAiAFwAIgApADsAXABuAFwAbgBWAEUARQBSAEcAXwAxADUAXwA2AF8AMQBfADEAXwBfADEAXwBFAG0AaQBzAHMAaQBvAG4AcwBGAHIAbwBtAFAAdQByAGMAaABhAHMAZQBkAEwAaQBtAGUAXwBMAGEAdABlAHgARQBxAHUAYQB0AGkAbwBuAFwAbgAgACAAPQBMAEEATQBCAEQAQQAoAFwAIgBFAD0ATQBfAHsAbABpAG0AZQB9AFwAXAB0AGkAbQBlAHMAIABFAEYAXwBsAFwAIgApADsAXABuAFwAbgBWAEUARQBSAEcAXwAxADUAXwA2AF8AMQBfADEAXwBfADEAXwBFAG0AaQBzAHMAaQBvAG4AcwBGAHIAbwBtAFAAdQByAGMAaABhAHMAZQBkAEwAaQBtAGUAXwBBAHIAZwB1AG0AZQBuAHQAcwBcAG4AIAAgAD0ATABBAE0AQgBEAEEAKABcAG4AIAAgACAAIABNAEEASwBFAEEAUgBSAEEAWQAoADIALAAgADQALABcAG4AIAAgACAAIAAgACAATABBAE0AQgBEAEEAKAByACwAYwAsAFwAbgAgACAAIAAgACAAIAAgACAASQBOAEQARQBYACgAewBcAG4AIAAgACAAIAAgACAAIAAgACAAIABcACIATQBfAGwAaQBtAGUAXAAiACwAIABcACIAdABvAHQAYQBsACAAcQB1AGEAbgB0AGkAdAB5ACAAbwBmACAAbABpAG0AZQAgAGEAcABwAGwAaQBlAGQAIAB0AG8AIABzAG8AaQBsAHMAXAAiACwAIABcACIAdABcACIALAAgAFwAIgBJAG4AcAB1AHQAXAAiADsAXABuACAAIAAgACAAIAAgACAAIAAgACAAXAAiAEUARgBfAGwAXAAiACwAIABcACIAZQBtAGkAcwBzAGkAbwBuACAAZgBhAGMAdABvAHIAIABmAG8AcgAgAHAAdQByAGMAaABhAHMAZQBkACAAbABpAG0AZQBcACIALAAgAFwAIgB0ACAAQwBPADIAZQAvAHQ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cAXwAxAF8AMQBfAF8AMQBfAEUAbQBpAHMAcwBpAG8AbgBzAEYAcgBvAG0AUAB1AHIAYwBoAGEAcwBlAGQAUwBlAHIAdgBpAGMAZQBzAFwAbgBFAG0AaQBzAHMAaQBvAG4AcwAgAG8AZgAgAHAAdQByAGMAaABhAHMAZQBkACAAcwBlAHIAdgBpAGMAZQBzACAAYQBuAGQAIABjAG8AbgB0AHIAYQBjAHQAbwByACAAbwBwAGUAcgBhAHQAaQBvAG4AcwBcAG4ARQBcAG4AdAAgAEMATwAyAGUAXABuAEUAPQBcAFwAcwB1AG0AXABcAG4AbwBsAGkAbQBpAHQAcwBfAHAAXABcAGwAZQBmAHQAKABBAF8AcABcAFwAdABpAG0AZQBzACAARQBGAF8AcABcAFwAcgBpAGcAaAB0ACkAXABcAHQAaQBtAGUAcwAgADEAMABeAHsALQAzAH0AXABuAEEAXwBwACAAPQAgAGEAYwB0AGkAdgBpAHQAeQAgAGQAYQB0AGEAIABvAGYAIAB0AGgAZQAgAHMAZQByAHYAaQBjAGUAIAB0AGgAYQB0ACAAdwBhAHMAIABwAHUAcgBjAGgAYQBzAGUAZABcAG4ARQBGAF8AcAAgAD0AIABsAGkAZgBlACAAYwB5AGMAbABlACAAZQBtAGkAcwBzAGkAbwBuACAAZgBhAGMAdABvAHIAIABmAG8AcgAgAHQAaABlACAAcAB1AHIAYwBoAGEAcwBlAGQAIABzAGUAcgB2AGkAYwBlAFwAbgAtAC0ALQAtAC0ALQAtAC0ALQAtAC0ALQAtAC0ALQAtAC0ALQAtAC0ALQAtAC0ALQAtAC0ALQAtAC0ALQAtAC0ALQAtAC0ALQAtAC0AXABuACoALwBcAG4AXABuAFYARQBFAFIARwBfADEANQBfADcAXwAxAF8AMQBfAF8AMQBfAEUAbQBpAHMAcwBpAG8AbgBzAEYAcgBvAG0AUAB1AHIAYwBoAGEAcwBlAGQAUwBlAHIAdgBpAGMAZQBzAFwAbgAgACAAPQBMAEEATQBCAEQAQQAoAFwAbgAgACAAIAAgAEEAXwBwACwAIABFAEYAXwBwACwAXABuACAAIAAgACAAKABBAF8AcAAgACoAIABFAEYAXwBwACkAIAAqACAAMQAwACAAXgAgAC0AMwBcAG4AIAAgACkAOwBcAG4AXABuAFYARQBFAFIARwBfADEANQBfADcAXwAxAF8AMQBfAF8AMQBfAEUAbQBpAHMAcwBpAG8AbgBzAEYAcgBvAG0AUAB1AHIAYwBoAGEAcwBlAGQAUwBlAHIAdgBpAGMAZQBzAF8AVABpAHQAbABlAFwAbgAgACAAPQBMAEEATQBCAEQAQQAoAFwAIgBFAG0AaQBzAHMAaQBvAG4AcwAgAG8AZgAgAHAAdQByAGMAaABhAHMAZQBkACAAcwBlAHIAdgBpAGMAZQBzACAAYQBuAGQAIABjAG8AbgB0AHIAYQBjAHQAbwByACAAbwBwAGUAcgBhAHQAaQBvAG4AcwBcACIAKQA7AFwAbgBcAG4AVgBFAEUAUgBHAF8AMQA1AF8ANwBfADEAXwAxAF8AXwAxAF8ARQBtAGkAcwBzAGkAbwBuAHMARgByAG8AbQBQAHUAcgBjAGgAYQBzAGUAZABTAGUAcgB2AGkAYwBlAHMAXwBWAGEAcgBpAGEAYgBsAGUAXABuACAAIAA9AEwAQQBNAEIARABBACgAXAAiAEUAXAAiACkAOwBcAG4AXABuAFYARQBFAFIARwBfADEANQBfADcAXwAxAF8AMQBfAF8AMQBfAEUAbQBpAHMAcwBpAG8AbgBzAEYAcgBvAG0AUAB1AHIAYwBoAGEAcwBlAGQAUwBlAHIAdgBpAGMAZQBzAF8AVQBuAGkAdABcAG4AIAAgAD0ATABBAE0AQgBEAEEAKABcACIAdAAgAEMATwAyAGUAXAAiACkAOwBcAG4AXABuAFYARQBFAFIARwBfADEANQBfADcAXwAxAF8AMQBfAF8AMQBfAEUAbQBpAHMAcwBpAG8AbgBzAEYAcgBvAG0AUAB1AHIAYwBoAGEAcwBlAGQAUwBlAHIAdgBpAGMAZQBzAF8AUwBvAHUAcgBjAGUAXABuACAAIAA9AEwAQQBNAEIARABBACgAXAAiAFYARQBFAFIARwAgADIAMAAyADYAOgAgADEANQAuADcALgAxAC4AMQAsACAARQBxAHUAYQB0AGkAbwBuACAAKAAxACkAXAAiACkAOwBcAG4AXABuAFYARQBFAFIARwBfADEANQBfADcAXwAxAF8AMQBfAF8AMQBfAEUAbQBpAHMAcwBpAG8AbgBzAEYAcgBvAG0AUAB1AHIAYwBoAGEAcwBlAGQAUwBlAHIAdgBpAGMAZQBzAF8ATgBJAFIAUgBlAGYAZQByAGUAbgBjAGUAXABuACAAIAA9AEwAQQBNAEIARABBACgAXAAiAFwAIgApADsAXABuAFwAbgBWAEUARQBSAEcAXwAxADUAXwA3AF8AMQBfADEAXwBfADEAXwBFAG0AaQBzAHMAaQBvAG4AcwBGAHIAbwBtAFAAdQByAGMAaABhAHMAZQBkAFMAZQByAHYAaQBjAGUAcwBfAEwAYQB0AGUAeABFAHEAdQBhAHQAaQBvAG4AXABuACAAIAA9AEwAQQBNAEIARABBACgAXAAiAEUAPQBcAFwAcwB1AG0AXABcAG4AbwBsAGkAbQBpAHQAcwBfAHAAXABcAGwAZQBmAHQAKABBAF8AcABcAFwAdABpAG0AZQBzACAARQBGAF8AcABcAFwAcgBpAGcAaAB0ACkAXABcAHQAaQBtAGUAcwAgADEAMABeAHsALQAzAH0AXAAiACkAOwBcAG4AXABuAFYARQBFAFIARwBfADEANQBfADcAXwAxAF8AMQBfAF8AMQBfAEUAbQBpAHMAcwBpAG8AbgBzAEYAcgBvAG0AUAB1AHIAYwBoAGEAcwBlAGQAUwBlAHIAdgBpAGMAZQBzAF8AQQByAGcAdQBtAGUAbgB0AHMAXABuACAAIAA9AEwAQQBNAEIARABBACgAXABuACAAIAAgACAATQBBAEsARQBBAFIAUgBBAFkAKAAzACwAIAA0ACwAXABuACAAIAAgACAAIAAgAEwAQQBNAEIARABBACgAcgAsAGMALABcAG4AIAAgACAAIAAgACAAIAAgAEkATgBEAEUAWAAoAHsAXABuACAAIAAgACAAIAAgACAAIAAgACAAXAAiAEEAXwBwAFwAIgAsACAAXAAiAGEAYwB0AGkAdgBpAHQAeQAgAGQAYQB0AGEAIABvAGYAIAB0AGgAZQAgAHMAZQByAHYAaQBjAGUAIAB0AGgAYQB0ACAAdwBhAHMAIABwAHUAcgBjAGgAYQBzAGUAZABcACIALAAgAFwAIgBoAGEAIABvAHIAIABoAFwAIgAsACAAXAAiAEkAbgBwAHUAdABcACIAOwBcAG4AIAAgACAAIAAgACAAIAAgACAAIABcACIARQBGAF8AcABcACIALAAgAFwAIgBsAGkAZgBlACAAYwB5AGMAbABlACAAZQBtAGkAcwBzAGkAbwBuACAAZgBhAGMAdABvAHIAIABmAG8AcgAgAHQAaABlACAAcAB1AHIAYwBoAGEAcwBlAGQAIABzAGUAcgB2AGkAYwBlAFwAIgAsACAAXAAiAGsAZwAgAEMATwAyAGUALwBoAGEAIABvAHIAIABrAGcAIABDAE8AMgBlAC8AaABcACIALAAgAFwAIgBDAG8AbgBzAHQAYQBuAHQAXAAiADsAXABuACAAIAAgACAAIAAgACAAIAAgACAAXAAiAHAAXAAiACwAIABcACIAcwBlAHIAdgBpAGMAZ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gAXwAxAF8AMQBfAF8AMQBfAEUAbQBpAHMAcwBpAG8AbgBzAEYAcgBvAG0AUAB1AHIAYwBoAGEAcwBlAGQAUABhAGMAawBhAGcAaQBuAGcAXABuAEUAbQBiAGUAZABkAGUAZAAgAGUAbQBpAHMAcwBpAG8AbgBzACAAZgByAG8AbQAgAHUAcwBlACAAbwBmACAAcABhAGMAawBhAGcAaQBuAGcAIABtAGEAdABlAHIAaQBhAGwAcwBcAG4ARQBcAG4AdAAgAEMATwAyAGUAXABuAEUAPQBcAFwAcwB1AG0AXABcAG4AbwBsAGkAbQBpAHQAcwBfAHAAXABcAGwAZQBmAHQAKABRAF8AcABcAFwAdABpAG0AZQBzACAARQBGAF8AcABcAFwAcgBpAGcAaAB0ACkAXABcAHQAaQBtAGUAcwAgADEAMABeAHsALQAzAH0AXABuAFEAXwBwACAAPQAgAHUAbgBpAHQAcwAgAG8AZgAgAHAAYQBjAGsAYQBnAGkAbgBnACAAdAB5AHAAZQAgAHAAXABuAEUARgBfAHAAIAA9ACAAZQBtAGkAcwBzAGkAbwBuACAAZgBhAGMAdABvAHIAIABmAG8AcgAgAHAAYQBjAGsAYQBnAGkAbgBnACAAdAB5AHAAZQAgAHAAXABuAC0ALQAtAC0ALQAtAC0ALQAtAC0ALQAtAC0ALQAtAC0ALQAtAC0ALQAtAC0ALQAtAC0ALQAtAC0ALQAtAC0ALQAtAC0ALQAtAC0ALQBcAG4AKgAvAFwAbgBcAG4AVgBFAEUAUgBHAF8AMQA1AF8AOABfADEAXwAxAF8AXwAxAF8ARQBtAGkAcwBzAGkAbwBuAHMARgByAG8AbQBQAHUAcgBjAGgAYQBzAGUAZABQAGEAYwBrAGEAZwBpAG4AZwBcAG4AIAAgAD0ATABBAE0AQgBEAEEAKABcAG4AIAAgACAAIABRAF8AcAAsACAARQBGAF8AcAAsAFwAbgAgACAAIAAgACgAUQBfAHAAIAAqACAARQBGAF8AcAApACAAKgAgADEAMAAgAF4AIAAtADMAXABuACAAIAApADsAXABuAFwAbgBWAEUARQBSAEcAXwAxADUAXwA4AF8AMQBfADEAXwBfADEAXwBFAG0AaQBzAHMAaQBvAG4AcwBGAHIAbwBtAFAAdQByAGMAaABhAHMAZQBkAFAAYQBjAGsAYQBnAGkAbgBnAF8AVABpAHQAbABlAFwAbgAgACAAPQBMAEEATQBCAEQAQQAoAFwAIgBFAG0AYgBlAGQAZABlAGQAIABlAG0AaQBzAHMAaQBvAG4AcwAgAGYAcgBvAG0AIAB1AHMAZQAgAG8AZgAgAHAAYQBjAGsAYQBnAGkAbgBnACAAbQBhAHQAZQByAGkAYQBsAHMAXAAiACkAOwBcAG4AXABuAFYARQBFAFIARwBfADEANQBfADgAXwAxAF8AMQBfAF8AMQBfAEUAbQBpAHMAcwBpAG8AbgBzAEYAcgBvAG0AUAB1AHIAYwBoAGEAcwBlAGQAUABhAGMAawBhAGcAaQBuAGcAXwBWAGEAcgBpAGEAYgBsAGUAXABuACAAIAA9AEwAQQBNAEIARABBACgAXAAiAEUAXAAiACkAOwBcAG4AXABuAFYARQBFAFIARwBfADEANQBfADgAXwAxAF8AMQBfAF8AMQBfAEUAbQBpAHMAcwBpAG8AbgBzAEYAcgBvAG0AUAB1AHIAYwBoAGEAcwBlAGQAUABhAGMAawBhAGcAaQBuAGcAXwBVAG4AaQB0AFwAbgAgACAAPQBMAEEATQBCAEQAQQAoAFwAIgB0ACAAQwBPADIAZQBcACIAKQA7AFwAbgBcAG4AVgBFAEUAUgBHAF8AMQA1AF8AOABfADEAXwAxAF8AXwAxAF8ARQBtAGkAcwBzAGkAbwBuAHMARgByAG8AbQBQAHUAcgBjAGgAYQBzAGUAZABQAGEAYwBrAGEAZwBpAG4AZwBfAFMAbwB1AHIAYwBlAFwAbgAgACAAPQBMAEEATQBCAEQAQQAoAFwAIgBWAEUARQBSAEcAIAAyADAAMgA2ADoAIAAxADUALgA4AC4AMQAuADEALAAgAEUAcQB1AGEAdABpAG8AbgAgACgAMQApAFwAIgApADsAXABuAFwAbgBWAEUARQBSAEcAXwAxADUAXwA4AF8AMQBfADEAXwBfADEAXwBFAG0AaQBzAHMAaQBvAG4AcwBGAHIAbwBtAFAAdQByAGMAaABhAHMAZQBkAFAAYQBjAGsAYQBnAGkAbgBnAF8ATgBJAFIAUgBlAGYAZQByAGUAbgBjAGUAXABuACAAIAA9AEwAQQBNAEIARABBACgAXAAiAFwAIgApADsAXABuAFwAbgBWAEUARQBSAEcAXwAxADUAXwA4AF8AMQBfADEAXwBfADEAXwBFAG0AaQBzAHMAaQBvAG4AcwBGAHIAbwBtAFAAdQByAGMAaABhAHMAZQBkAFAAYQBjAGsAYQBnAGkAbgBnAF8ATABhAHQAZQB4AEUAcQB1AGEAdABpAG8AbgBcAG4AIAAgAD0ATABBAE0AQgBEAEEAKABcACIARQA9AFwAXABzAHUAbQBcAFwAbgBvAGwAaQBtAGkAdABzAF8AcABcAFwAbABlAGYAdAAoAFEAXwBwAFwAXAB0AGkAbQBlAHMAIABFAEYAXwBwAFwAXAByAGkAZwBoAHQAKQBcAFwAdABpAG0AZQBzACAAMQAwAF4AewAtADMAfQBcACIAKQA7AFwAbgBcAG4AVgBFAEUAUgBHAF8AMQA1AF8AOABfADEAXwAxAF8AXwAxAF8ARQBtAGkAcwBzAGkAbwBuAHMARgByAG8AbQBQAHUAcgBjAGgAYQBzAGUAZABQAGEAYwBrAGEAZwBpAG4AZwBfAEEAcgBnAHUAbQBlAG4AdABzAFwAbgAgACAAPQBMAEEATQBCAEQAQQAoAFwAbgAgACAAIAAgAE0AQQBLAEUAQQBSAFIAQQBZACgAMwAsACAANAAsAFwAbgAgACAAIAAgACAAIABMAEEATQBCAEQAQQAoAHIALABjACwAXABuACAAIAAgACAAIAAgACAAIABJAE4ARABFAFgAKAB7AFwAbgAgACAAIAAgACAAIAAgACAAIAAgAFwAIgBRAF8AcABcACIALAAgAFwAIgB1AG4AaQB0AHMAIABvAGYAIABwAGEAYwBrAGEAZwBpAG4AZwAgAHQAeQBwAGUAIABwAFwAIgAsACAAXAAiAHUAbgBpAHQAcwBcACIALAAgAFwAIgBJAG4AcAB1AHQAXAAiADsAXABuACAAIAAgACAAIAAgACAAIAAgACAAXAAiAEUARgBfAHAAXAAiACwAIABcACIAZQBtAGkAcwBzAGkAbwBuACAAZgBhAGMAdABvAHIAIABmAG8AcgAgAHAAYQBjAGsAYQBnAGkAbgBnACAAdAB5AHAAZQAgAHAAXAAiACwAIABcACIAawBnACAAQwBPADIAZQAvAHUAbgBpAHQAXAAiACwAIABcACIAQwBvAG4AcwB0AGEAbgB0AFwAIgA7AFwAbgAgACAAIAAgACAAIAAgACAAIAAgAFwAIgBwAFwAIgAsACAAXAAiAHAAYQBjAGsAYQBnAGkAbgBnACAAdAB5AHAAZQBcACIALAAgAFwAIgBcACIALAAgAFwAIgBJAG4AcAB1AHQAXAAiAFwAbgAgACAAIAAgACAAIAAgACAAfQAsACAAcgAsACAAYwApAFwAbgAgACAAIAAgACAAIAApAFwAbgAgACAAIAAgACkAXABuACAAIAApADsAXABuAFwAbgBWAEUARQBSAEcAXwAxADUAXwA4AF8AMQBfADEAXwBfADEAXwBFAG0AaQBzAHMAaQBvAG4AcwBGAHIAbwBtAFAAdQByAGMAaABhAHMAZQBkAFAAYQBjAGsAYQBnAGkAbgBnAF8AVgBhAHIAaQBhAHQAaQBvAG4AXABuACAAIAA9AEwAQQBNAEIARABBACgAXAAiAFYAQQBSAEkAQQBUAEkATwBOACAATwBOACAAUwBPAFUAUgBDAEUAOgAgAEMAaABhAG4AZwBlAGQAIAB1AG4AaQB0ACAAbwBmACAAUQAgAGYAcgBvAG0AIABcAHUAMAAwADIANwB1AG4AaQB0AHMAXAB1ADAAMAAyADcAIAB0AG8AIABcAHUAMAAwADIANwBrAGcAXAB1ADAAMAAyADcAIABhAHMAIABFAEYAIABkAGEAdABhACAAaQBzACAAaQBuACAAawBnAC4AXAAiACkAOwBcAG4AIAAgAFwAbgBcAG4ALwAqAFwAbgAtAC0ALQAtAC0ALQAtAC0ALQAtAC0ALQAtAC0ALQAtAC0ALQAtAC0ALQAtAC0ALQAtAC0ALQAtAC0ALQAtAC0ALQAtAC0ALQAtAC0AXABuAFYARQBFAFIARwBfADEANQBfADkAXwAxAF8AMQBfAF8AMQBfAEUAbQBpAHMAcwBpAG8AbgBzAEYAcgBvAG0AUAB1AHIAYwBoAGEAcwBlAGQARwByAG8AdwBNAGUAZABpAGEAXABuAEUAbQBiAGUAZABkAGUAZAAgAGUAbQBpAHMAcwBpAG8AbgBzACAAZgByAG8AbQAgAHUAcwBlACAAbwBmACAAZwByAG8AdwAgAG0AZQBkAGkAYQAgAHAAcgBvAGQAdQBjAHQAcwBcAG4ARQBcAG4AdAAgAEMATwAyAGUAXABuAEUAPQBcAFwAcwB1AG0AXABcAG4AbwBsAGkAbQBpAHQAcwBfAGcAXABcAGwAZQBmAHQAKABRAF8AZwBcAFwAdABpAG0AZQBzACAARQBGAF8AZwBcAFwAcgBpAGcAaAB0ACkAXABcAHQAaQBtAGUAcwAgADEAMABeAHsALQAzAH0AXABuAFEAXwBnACAAPQAgAHQAbwB0AGEAbAAgAHEAdQBhAG4AdABpAHQAeQAgAG8AZgAgAGcAcgBvAHcAIABtAGUAZABpAGEAIAB0AHkAcABlACAAZwBcAG4ARQBGAF8AZwAgAD0AIABlAG0AaQBzAHMAaQBvAG4AIABmAGEAYwB0AG8AcgAgAGYAbwByACAAZwByAG8AdwAgAG0AZQBkAGkAYQAgAHQAeQBwAGUAIABnAFwAbgAtAC0ALQAtAC0ALQAtAC0ALQAtAC0ALQAtAC0ALQAtAC0ALQAtAC0ALQAtAC0ALQAtAC0ALQAtAC0ALQAtAC0ALQAtAC0ALQAtAC0AXABuACoALwBcAG4AXABuAFYARQBFAFIARwBfADEANQBfADkAXwAxAF8AMQBfAF8AMQBfAEUAbQBpAHMAcwBpAG8AbgBzAEYAcgBvAG0AUAB1AHIAYwBoAGEAcwBlAGQARwByAG8AdwBNAGUAZABpAGEAXABuACAAIAA9AEwAQQBNAEIARABBACgAXABuACAAIAAgACAAUQBfAGcALAAgAEUARgBfAGcALABcAG4AIAAgACAAIAAoAFEAXwBnACAAKgAgAEUARgBfAGcAKQAgACoAIAAxADAAIABeACAALQAzAFwAbgAgACAAKQA7AFwAbgBcAG4AVgBFAEUAUgBHAF8AMQA1AF8AOQBfADEAXwAxAF8AXwAxAF8ARQBtAGkAcwBzAGkAbwBuAHMARgByAG8AbQBQAHUAcgBjAGgAYQBzAGUAZABHAHIAbwB3AE0AZQBkAGkAYQBfAFQAaQB0AGwAZQBcAG4AIAAgAD0ATABBAE0AQgBEAEEAKABcACIARQBtAGIAZQBkAGQAZQBkACAAZQBtAGkAcwBzAGkAbwBuAHMAIABmAHIAbwBtACAAdQBzAGUAIABvAGYAIABnAHIAbwB3ACAAbQBlAGQAaQBhACAAcAByAG8AZAB1AGMAdABzAFwAIgApADsAXABuAFwAbgBWAEUARQBSAEcAXwAxADUAXwA5AF8AMQBfADEAXwBfADEAXwBFAG0AaQBzAHMAaQBvAG4AcwBGAHIAbwBtAFAAdQByAGMAaABhAHMAZQBkAEcAcgBvAHcATQBlAGQAaQBhAF8AVgBhAHIAaQBhAGIAbABlAFwAbgAgACAAPQBMAEEATQBCAEQAQQAoAFwAIgBFAFwAIgApADsAXABuAFwAbgBWAEUARQBSAEcAXwAxADUAXwA5AF8AMQBfADEAXwBfADEAXwBFAG0AaQBzAHMAaQBvAG4AcwBGAHIAbwBtAFAAdQByAGMAaABhAHMAZQBkAEcAcgBvAHcATQBlAGQAaQBhAF8AVQBuAGkAdABcAG4AIAAgAD0ATABBAE0AQgBEAEEAKABcACIAdAAgAEMATwAyAGUAXAAiACkAOwBcAG4AXABuAFYARQBFAFIARwBfADEANQBfADkAXwAxAF8AMQBfAF8AMQBfAEUAbQBpAHMAcwBpAG8AbgBzAEYAcgBvAG0AUAB1AHIAYwBoAGEAcwBlAGQARwByAG8AdwBNAGUAZABpAGEAXwBTAG8AdQByAGMAZQBcAG4AIAAgAD0ATABBAE0AQgBEAEEAKABcACIAVgBFAEUAUgBHACAAMgAwADIANgA6ACAAMQA1AC4AOQAuADEALgAxACwAIABFAHEAdQBhAHQAaQBvAG4AIAAoADEAKQBcACIAKQA7AFwAbgBcAG4AVgBFAEUAUgBHAF8AMQA1AF8AOQBfADEAXwAxAF8AXwAxAF8ARQBtAGkAcwBzAGkAbwBuAHMARgByAG8AbQBQAHUAcgBjAGgAYQBzAGUAZABHAHIAbwB3AE0AZQBkAGkAYQBfAE4ASQBSAFIAZQBmAGUAcgBlAG4AYwBlAFwAbgAgACAAPQBMAEEATQBCAEQAQQAoAFwAIgBcACIAKQA7AFwAbgBcAG4AVgBFAEUAUgBHAF8AMQA1AF8AOQBfADEAXwAxAF8AXwAxAF8ARQBtAGkAcwBzAGkAbwBuAHMARgByAG8AbQBQAHUAcgBjAGgAYQBzAGUAZABHAHIAbwB3AE0AZQBkAGkAYQBfAEwAYQB0AGUAeABFAHEAdQBhAHQAaQBvAG4AXABuACAAIAA9AEwAQQBNAEIARABBACgAXAAiAEUAPQBcAFwAcwB1AG0AXABcAG4AbwBsAGkAbQBpAHQAcwBfAGcAXABcAGwAZQBmAHQAKABRAF8AZwBcAFwAdABpAG0AZQBzACAARQBGAF8AZwBcAFwAcgBpAGcAaAB0ACkAXABcAHQAaQBtAGUAcwAgADEAMABeAHsALQAzAH0AXAAiACkAOwBcAG4AXABuAFYARQBFAFIARwBfADEANQBfADkAXwAxAF8AMQBfAF8AMQBfAEUAbQBpAHMAcwBpAG8AbgBzAEYAcgBvAG0AUAB1AHIAYwBoAGEAcwBlAGQARwByAG8AdwBNAGUAZABpAGEAXwBBAHIAZwB1AG0AZQBuAHQAcwBcAG4AIAAgAD0ATABBAE0AQgBEAEEAKABcAG4AIAAgACAAIABNAEEASwBFAEEAUgBSAEEAWQAoADMALAAgADQALABcAG4AIAAgACAAIAAgACAATABBAE0AQgBEAEEAKAByACwAYwAsAFwAbgAgACAAIAAgACAAIAAgACAASQBOAEQARQBYACgAewBcAG4AIAAgACAAIAAgACAAIAAgACAAIABcACIAUQBfAGcAXAAiACwAIABcACIAdABvAHQAYQBsACAAcQB1AGEAbgB0AGkAdAB5ACAAbwBmACAAZwByAG8AdwAgAG0AZQBkAGkAYQAgAHQAeQBwAGUAIABnAFwAIgAsACAAXAAiAGsAZwAgAG8AcgAgAG0AMwBcACIALAAgAFwAIgBJAG4AcAB1AHQAXAAiADsAXABuACAAIAAgACAAIAAgACAAIAAgACAAXAAiAEUARgBfAGcAXAAiACwAIABcACIAZQBtAGkAcwBzAGkAbwBuACAAZgBhAGMAdABvAHIAIABmAG8AcgAgAGcAcgBvAHcAIABtAGUAZABpAGEAIAB0AHkAcABlACAAZwBcACIALAAgAFwAIgBrAGcAIABDAE8AMgBlAC8AawBnACAAbwByACAAawBnACAAQwBPADIAZQAvAG0AMwBcACIALAAgAFwAIgBDAG8AbgBzAHQAYQBuAHQAXAAiADsAXABuACAAIAAgACAAIAAgACAAIAAgACAAXAAiAGcAXAAiACwAIABcACIAZwByAG8AdwAgAG0AZQBkAGkAY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ABfADEAXwAxAF8AXwAxAF8ATwB0AGgAZQByAFAAdQByAGMAaABhAHMAZQBkAEcAbwBvAGQAcwBBAG4AZABTAGUAcgB2AGkAYwBlAHMAXABuAE8AdABoAGUAcgAgAHAAdQByAGMAaABhAHMAZQBkACAAZwBvAG8AZABzACAAYQBuAGQAIABzAGUAcgB2AGkAYwBlAHMAIABnAGUAbgBlAHIAaQBjACAAZQBzAHQAaQBtAGEAdABlAFwAbgBlAG0AaQBzAHMAaQBvAG4AcwBcAG4AdAAgAEMATwAyAGUAXABuAGUAbQBpAHMAcwBpAG8AbgBzAD0AYQBjAHQAaQB2AGkAdAB5AF8AZABhAHQAYQBcAFwAdABpAG0AZQBzACAAZQBtAGkAcwBzAGkAbwBuAF8AZgBhAGMAdABvAHIAXABuAGEAYwB0AGkAdgBpAHQAeQBfAGQAYQB0AGEAIAA9ACAAbQBlAGEAcwB1AHIAZQBkACAAYQBjAHQAaQB2AGkAdAB5ACAAZgBvAHIAIAB0AGgAZQAgAHAAdQByAGMAaABhAHMAZQBkACAAZwBvAG8AZAAgAG8AcgAgAHMAZQByAHYAaQBjAGUAXABuAGUAbQBpAHMAcwBpAG8AbgBfAGYAYQBjAHQAbwByACAAPQAgAGwAaQBmAGUAYwB5AGMAbABlACAAZQBtAGkAcwBzAGkAbwBuAHMAIABwAGUAcgAgAHUAbgBpAHQAIABvAGYAIABhAGMAdABpAHYAaQB0AHkAXABuAC0ALQAtAC0ALQAtAC0ALQAtAC0ALQAtAC0ALQAtAC0ALQAtAC0ALQAtAC0ALQAtAC0ALQAtAC0ALQAtAC0ALQAtAC0ALQAtAC0ALQBcAG4AKgAvAFwAbgBcAG4AVgBFAEUAUgBHAF8AMQA1AF8AMQAwAF8AMQBfADEAXwBfADEAXwBPAHQAaABlAHIAUAB1AHIAYwBoAGEAcwBlAGQARwBvAG8AZABzAEEAbgBkAFMAZQByAHYAaQBjAGUAcwBcAG4AIAAgAD0ATABBAE0AQgBEAEEAKABcAG4AIAAgACAAIABhAGMAdABpAHYAaQB0AHkAXwBkAGEAdABhACwAIABlAG0AaQBzAHMAaQBvAG4AXwBmAGEAYwB0AG8AcgAsAFwAbgAgACAAIAAgAGEAYwB0AGkAdgBpAHQAeQBfAGQAYQB0AGEAIAAqACAAZQBtAGkAcwBzAGkAbwBuAF8AZgBhAGMAdABvAHIAXABuACAAIAApADsAXABuAFwAbgBWAEUARQBSAEcAXwAxADUAXwAxADAAXwAxAF8AMQBfAF8AMQBfAE8AdABoAGUAcgBQAHUAcgBjAGgAYQBzAGUAZABHAG8AbwBkAHMAQQBuAGQAUwBlAHIAdgBpAGMAZQBzAF8AVABpAHQAbABlAFwAbgAgACAAPQBMAEEATQBCAEQAQQAoAFwAIgBPAHQAaABlAHIAIABwAHUAcgBjAGgAYQBzAGUAZAAgAGcAbwBvAGQAcwAgAGEAbgBkACAAcwBlAHIAdgBpAGMAZQBzACAAZwBlAG4AZQByAGkAYwAgAGUAcwB0AGkAbQBhAHQAZQBcACIAKQA7AFwAbgBcAG4AVgBFAEUAUgBHAF8AMQA1AF8AMQAwAF8AMQBfADEAXwBfADEAXwBPAHQAaABlAHIAUAB1AHIAYwBoAGEAcwBlAGQARwBvAG8AZABzAEEAbgBkAFMAZQByAHYAaQBjAGUAcwBfAFYAYQByAGkAYQBiAGwAZQBcAG4AIAAgAD0ATABBAE0AQgBEAEEAKABcACIAZQBtAGkAcwBzAGkAbwBuAHMAXAAiACkAOwBcAG4AXABuAFYARQBFAFIARwBfADEANQBfADEAMABfADEAXwAxAF8AXwAxAF8ATwB0AGgAZQByAFAAdQByAGMAaABhAHMAZQBkAEcAbwBvAGQAcwBBAG4AZABTAGUAcgB2AGkAYwBlAHMAXwBVAG4AaQB0AFwAbgAgACAAPQBMAEEATQBCAEQAQQAoAFwAIgB0ACAAQwBPADIAZQBcACIAKQA7AFwAbgBcAG4AVgBFAEUAUgBHAF8AMQA1AF8AMQAwAF8AMQBfADEAXwBfADEAXwBPAHQAaABlAHIAUAB1AHIAYwBoAGEAcwBlAGQARwBvAG8AZABzAEEAbgBkAFMAZQByAHYAaQBjAGUAcwBfAFMAbwB1AHIAYwBlAFwAbgAgACAAPQBMAEEATQBCAEQAQQAoAFwAIgBWAEUARQBSAEcAIAAyADAAMgA2ADoAIAAxADUALgAxADAALAAgAGcAZQBuAGUAcgBpAGMAIABwAGwAYQBjAGUAaABvAGwAZABlAHIAIABlAHEAdQBhAHQAaQBvAG4AXAAiACkAOwBcAG4AXABuAFYARQBFAFIARwBfADEANQBfADEAMABfADEAXwAxAF8AXwAxAF8ATwB0AGgAZQByAFAAdQByAGMAaABhAHMAZQBkAEcAbwBvAGQAcwBBAG4AZABTAGUAcgB2AGkAYwBlAHMAXwBOAEkAUgBSAGUAZgBlAHIAZQBuAGMAZQBcAG4AIAAgAD0ATABBAE0AQgBEAEEAKABcACIAXAAiACkAOwBcAG4AXABuAFYARQBFAFIARwBfADEANQBfADEAMABfADEAXwAxAF8AXwAxAF8ATwB0AGgAZQByAFAAdQByAGMAaABhAHMAZQBkAEcAbwBvAGQAcwBBAG4AZABTAGUAcgB2AGkAYwBlAHMAXwBMAGEAdABlAHgARQBxAHUAYQB0AGkAbwBuAFwAbgAgACAAPQBMAEEATQBCAEQAQQAoAFwAIgBlAG0AaQBzAHMAaQBvAG4AcwA9AGEAYwB0AGkAdgBpAHQAeQBcAFwAXwBkAGEAdABhAFwAXAB0AGkAbQBlAHMAIABlAG0AaQBzAHMAaQBvAG4AXABcAF8AZgBhAGMAdABvAHIAXAAiACkAOwBcAG4AXABuAFYARQBFAFIARwBfADEANQBfADEAMABfADEAXwAxAF8AXwAxAF8ATwB0AGgAZQByAFAAdQByAGMAaABhAHMAZQBkAEcAbwBvAGQAcwBBAG4AZABTAGUAcgB2AGkAYwBlAHMAXwBBAHIAZwB1AG0AZQBuAHQAcwBcAG4AIAAgAD0ATABBAE0AQgBEAEEAKABcAG4AIAAgACAAIABNAEEASwBFAEEAUgBSAEEAWQAoADIALAAgADQALABcAG4AIAAgACAAIAAgACAATABBAE0AQgBEAEEAKAByACwAYwAsAFwAbgAgACAAIAAgACAAIAAgACAASQBOAEQARQBYACgAewBcAG4AIAAgACAAIAAgACAAIAAgACAAIABcACIAYQBjAHQAaQB2AGkAdAB5AF8AZABhAHQAYQBcACIALAAgAFwAIgBtAGUAYQBzAHUAcgBlAGQAIABhAGMAdABpAHYAaQB0AHkAIABmAG8AcgAgAHQAaABlACAAcAB1AHIAYwBoAGEAcwBlAGQAIABnAG8AbwBkACAAbwByACAAcwBlAHIAdgBpAGMAZQBcACIALAAgAFwAIgB2AGEAcgBpAGUAcwBcACIALAAgAFwAIgBJAG4AcAB1AHQAXAAiADsAXABuACAAIAAgACAAIAAgACAAIAAgACAAXAAiAGUAbQBpAHMAcwBpAG8AbgBfAGYAYQBjAHQAbwByAFwAIgAsACAAXAAiAGwAaQBmAGUAYwB5AGMAbABlACAAZQBtAGkAcwBzAGkAbwBuAHMAIABwAGUAcgAgAHUAbgBpAHQAIABvAGYAIABhAGMAdABpAHYAaQB0AHkAXAAiACwAIABcACIAdgBhAHIAaQBlAHM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xAF8AVABvAHQAYQBsAFUAcABzAHQAcgBlAGEAbQBFAG0AaQBzAHMAaQBvAG4AcwBGAHIAbwBtAEYAdQBlAGwAXABuAFQAbwB0AGEAbAAgAHUAcABzAHQAcgBlAGEAbQAgAGUAbQBpAHMAcwBpAG8AbgBzACAAZgByAG8AbQAgAHMAYwBvAHAAZQAgADEAIABmAHUAZQBsACAAYwBvAG4AcwB1AG0AcAB0AGkAbwBuAFwAbgBFAFwAbgB0ACAAQwBPADIAZQBcAG4ARQA9AFwAXABzAHUAbQBcAFwAbgBvAGwAaQBtAGkAdABzAF8AcQBFAF8AewBXAFQAVAAsAHQAcgBhAG4AcwAsAHEAfQArAFwAXABzAHUAbQBcAFwAbgBvAGwAaQBtAGkAdABzAF8AcQBFAF8AewBXAFQAVAAsAFMAQwAsAHEAfQBcAG4ARQBfAFcAVABUAHQAcgBhAG4AcwBxACAAPQAgAHUAcABzAHQAcgBlAGEAbQAgAGUAbQBpAHMAcwBpAG8AbgBzACAAZgByAG8AbQAgAHMAYwBvAHAAZQAgADEAIAB0AHIAYQBuAHMAcABvAHIAdAAgAGYAdQBlAGwAIAB1AHMAZQBcAG4ARQBfAFcAVABUAFMAQwBxACAAPQAgAHUAcABzAHQAcgBlAGEAbQAgAGUAbQBpAHMAcwBpAG8AbgBzACAAZgByAG8AbQAgAHMAYwBvAHAAZQAgADEAIABzAHQAYQB0AGkAbwBuAGEAcgB5ACAAYwBvAG0AYgB1AHMAdABpAG8AbgAgAGYAdQBlAGwAIAB1AHMAZQBcAG4ALQAtAC0ALQAtAC0ALQAtAC0ALQAtAC0ALQAtAC0ALQAtAC0ALQAtAC0ALQAtAC0ALQAtAC0ALQAtAC0ALQAtAC0ALQAtAC0ALQAtAFwAbgAqAC8AXABuAFwAbgBWAEUARQBSAEcAXwAxADUAXwAxADEAXwAxAF8AMQBfAF8AMQBfAFQAbwB0AGEAbABVAHAAcwB0AHIAZQBhAG0ARQBtAGkAcwBzAGkAbwBuAHMARgByAG8AbQBGAHUAZQBsAFwAbgAgACAAPQBMAEEATQBCAEQAQQAoAFwAbgAgACAAIAAgAEUAXwBXAFQAVAB0AHIAYQBuAHMAcQAsACAARQBfAFcAVABUAFMAQwBxACwAXABuACAAIAAgACAARQBfAFcAVABUAHQAcgBhAG4AcwBxACAAKwAgAEUAXwBXAFQAVABTAEMAcQBcAG4AIAAgACkAOwBcAG4AXABuAFYARQBFAFIARwBfADEANQBfADEAMQBfADEAXwAxAF8AXwAxAF8AVABvAHQAYQBsAFUAcABzAHQAcgBlAGEAbQBFAG0AaQBzAHMAaQBvAG4AcwBGAHIAbwBtAEYAdQBlAGwAXwBUAGkAdABsAGUAXABuACAAIAA9AEwAQQBNAEIARABBACgAXAAiAFQAbwB0AGEAbAAgAHUAcABzAHQAcgBlAGEAbQAgAGUAbQBpAHMAcwBpAG8AbgBzACAAZgByAG8AbQAgAHMAYwBvAHAAZQAgADEAIABmAHUAZQBsACAAYwBvAG4AcwB1AG0AcAB0AGkAbwBuAFwAIgApADsAXABuAFwAbgBWAEUARQBSAEcAXwAxADUAXwAxADEAXwAxAF8AMQBfAF8AMQBfAFQAbwB0AGEAbABVAHAAcwB0AHIAZQBhAG0ARQBtAGkAcwBzAGkAbwBuAHMARgByAG8AbQBGAHUAZQBsAF8AVgBhAHIAaQBhAGIAbABlAFwAbgAgACAAPQBMAEEATQBCAEQAQQAoAFwAIgBFAFwAIgApADsAXABuAFwAbgBWAEUARQBSAEcAXwAxADUAXwAxADEAXwAxAF8AMQBfAF8AMQBfAFQAbwB0AGEAbABVAHAAcwB0AHIAZQBhAG0ARQBtAGkAcwBzAGkAbwBuAHMARgByAG8AbQBGAHUAZQBsAF8AVQBuAGkAdABcAG4AIAAgAD0ATABBAE0AQgBEAEEAKABcACIAdAAgAEMATwAyAGUAXAAiACkAOwBcAG4AXABuAFYARQBFAFIARwBfADEANQBfADEAMQBfADEAXwAxAF8AXwAxAF8AVABvAHQAYQBsAFUAcABzAHQAcgBlAGEAbQBFAG0AaQBzAHMAaQBvAG4AcwBGAHIAbwBtAEYAdQBlAGwAXwBTAG8AdQByAGMAZQBcAG4AIAAgAD0ATABBAE0AQgBEAEEAKABcACIAVgBFAEUAUgBHACAAMgAwADIANgA6ACAAMQA1AC4AMQAxAC4AMQAuADEALAAgAEUAcQB1AGEAdABpAG8AbgAgACgAMQApAFwAIgApADsAXABuAFwAbgBWAEUARQBSAEcAXwAxADUAXwAxADEAXwAxAF8AMQBfAF8AMQBfAFQAbwB0AGEAbABVAHAAcwB0AHIAZQBhAG0ARQBtAGkAcwBzAGkAbwBuAHMARgByAG8AbQBGAHUAZQBsAF8ATgBJAFIAUgBlAGYAZQByAGUAbgBjAGUAXABuACAAIAA9AEwAQQBNAEIARABBACgAXAAiAFwAIgApADsAXABuAFwAbgBWAEUARQBSAEcAXwAxADUAXwAxADEAXwAxAF8AMQBfAF8AMQBfAFQAbwB0AGEAbABVAHAAcwB0AHIAZQBhAG0ARQBtAGkAcwBzAGkAbwBuAHMARgByAG8AbQBGAHUAZQBsAF8ATABhAHQAZQB4AEUAcQB1AGEAdABpAG8AbgBcAG4AIAAgAD0ATABBAE0AQgBEAEEAKABcACIARQA9AFwAXABzAHUAbQBcAFwAbgBvAGwAaQBtAGkAdABzAF8AcQBFAF8AewBXAFQAVAAsAHQAcgBhAG4AcwAsAHEAfQArAFwAXABzAHUAbQBcAFwAbgBvAGwAaQBtAGkAdABzAF8AcQBFAF8AewBXAFQAVAAsAFMAQwAsAHEAfQBcACIAKQA7AFwAbgBcAG4AVgBFAEUAUgBHAF8AMQA1AF8AMQAxAF8AMQBfADEAXwBfADEAXwBUAG8AdABhAGwAVQBwAHMAdAByAGUAYQBtAEUAbQBpAHMAcwBpAG8AbgBzAEYAcgBvAG0ARgB1AGUAbABfAEEAcgBnAHUAbQBlAG4AdABzAFwAbgAgACAAPQBMAEEATQBCAEQAQQAoAFwAbgAgACAAIAAgAE0AQQBLAEUAQQBSAFIAQQBZACgAMgAsACAANAAsAFwAbgAgACAAIAAgACAAIABMAEEATQBCAEQAQQAoAHIALABjACwAXABuACAAIAAgACAAIAAgACAAIABJAE4ARABFAFgAKAB7AFwAbgAgACAAIAAgACAAIAAgACAAIAAgAFwAIgBFAF8AVwBUAFQAdAByAGEAbgBzAHEAXAAiACwAIABcACIAdQBwAHMAdAByAGUAYQBtACAAZQBtAGkAcwBzAGkAbwBuAHMAIABmAHIAbwBtACAAcwBjAG8AcABlACAAMQAgAHQAcgBhAG4AcwBwAG8AcgB0ACAAZgB1AGUAbAAgAHUAcwBlAFwAIgAsACAAXAAiAHQAIABDAE8AMgBlAFwAIgAsACAAXAAiAEMAYQBsAGMAdQBsAGEAdABlAGQAIABiAHkAIAAxADUALgAxADEALgAxAC4AMQAgACgAMgApAFwAIgA7AFwAbgAgACAAIAAgACAAIAAgACAAIAAgAFwAIgBFAF8AVwBUAFQAUwBDAHEAXAAiACwAIABcACIAdQBwAHMAdAByAGUAYQBtACAAZQBtAGkAcwBzAGkAbwBuAHMAIABmAHIAbwBtACAAcwBjAG8AcABlACAAMQAgAHMAdABhAHQAaQBvAG4AYQByAHkAIABjAG8AbQBiAHUAcwB0AGkAbwBuACAAZgB1AGUAbAAgAHUAcwBlAFwAIgAsACAAXAAiAHQAIABDAE8AMgBlAFwAIgAsACAAXAAiAEMAYQBsAGMAdQBsAGEAdABlAGQAIABiAHkAIAAxADUALgAxADEALgAxAC4AMQAgACgAMwAp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yAF8AVQBwAHMAdAByAGUAYQBtAFQAcgBhAG4AcwBwAG8AcgB0AEYAdQBlAGwARQBtAGkAcwBzAGkAbwBuAHMAXABuAFUAcABzAHQAcgBlAGEAbQAgAGUAbQBpAHMAcwBpAG8AbgBzACAAZgByAG8AbQAgAHMAYwBvAHAAZQAgADEAIABmAHUAZQBsACAAdQBzAGUAIABmAG8AcgAgAHQAcgBhAG4AcwBwAG8AcgB0ACAAcAB1AHIAcABvAHMAZQBzAFwAbgBFAF8AVwBUAFQAdAByAGEAbgBzAHEAXABuAHQAIABDAE8AMgBlAFwAbgBFAF8AewBXAFQAVAAsAHQAcgBhAG4AcwAsAHEAfQA9AFEAXwB7AFQAcgBhAG4AcwAsAHEAfQBcAFwAdABpAG0AZQBzACAARQBDAF8AewBUAHIAYQBuAHMALABxAH0AXABcAHQAaQBtAGUAcwAgAEUARgBfAHsAVAByAGEAbgBzACwAMwAsAHEAfQBcAFwAdABpAG0AZQBzACAAMQAwAF4AewAtADMAfQBcAG4AUQBfAFQAcgBhAG4AcwBxACAAPQAgAGEAbQBvAHUAbgB0ACAAbwBmACAAZgB1AGUAbAAgAHEAIABjAG8AbQBiAHUAcwB0AGUAZAAgAGYAbwByACAAdAByAGEAbgBzAHAAbwByAHQAIABlAG4AZQByAGcAeQAgAHAAdQByAHAAbwBzAGUAcwBcAG4ARQBDAF8AVAByAGEAbgBzAHEAIAA9ACAAZQBuAGUAcgBnAHkAIABjAG8AbgB0AGUAbgB0ACAAZgBhAGMAdABvAHIAIABmAG8AcgAgAHQAcgBhAG4AcwBwAG8AcgB0ACAAZQBuAGUAcgBnAHkAIABwAHUAcgBwAG8AcwBlAHMAXABuAEUARgBfAFQAcgBhAG4AcwAzAHEAIAA9ACAAcwBjAG8AcABlACAAMwAgAGUAbQBpAHMAcwBpAG8AbgAgAGYAYQBjAHQAbwByACAAZgBvAHIAIAB0AHIAYQBuAHMAcABvAHIAdAAgAGUAbgBlAHIAZwB5ACAAcAB1AHIAcABvAHMAZQBzAFwAbgAtAC0ALQAtAC0ALQAtAC0ALQAtAC0ALQAtAC0ALQAtAC0ALQAtAC0ALQAtAC0ALQAtAC0ALQAtAC0ALQAtAC0ALQAtAC0ALQAtAC0AXABuACoALwBcAG4AXABuAFYARQBFAFIARwBfADEANQBfADEAMQBfADEAXwAxAF8AXwAyAF8AVQBwAHMAdAByAGUAYQBtAFQAcgBhAG4AcwBwAG8AcgB0AEYAdQBlAGwARQBtAGkAcwBzAGkAbwBuAHMAXABuACAAIAA9AEwAQQBNAEIARABBACgAXABuACAAIAAgACAAUQBfAFQAcgBhAG4AcwBxACwAIABFAEMAXwBUAHIAYQBuAHMAcQAsACAARQBGAF8AVAByAGEAbgBzADMAcQAsAFwAbgAgACAAIAAgACgAUQBfAFQAcgBhAG4AcwBxACAAKgAgAEUAQwBfAFQAcgBhAG4AcwBxACAAKgAgAEUARgBfAFQAcgBhAG4AcwAzAHEAKQAgACoAIAAxADAAIABeACAALQAzAFwAbgAgACAAKQA7AFwAbgBcAG4AVgBFAEUAUgBHAF8AMQA1AF8AMQAxAF8AMQBfADEAXwBfADIAXwBVAHAAcwB0AHIAZQBhAG0AVAByAGEAbgBzAHAAbwByAHQARgB1AGUAbABFAG0AaQBzAHMAaQBvAG4AcwBfAFQAaQB0AGwAZQBcAG4AIAAgAD0ATABBAE0AQgBEAEEAKABcACIAVQBwAHMAdAByAGUAYQBtACAAZQBtAGkAcwBzAGkAbwBuAHMAIABmAHIAbwBtACAAcwBjAG8AcABlACAAMQAgAGYAdQBlAGwAIAB1AHMAZQAgAGYAbwByACAAdAByAGEAbgBzAHAAbwByAHQAIABwAHUAcgBwAG8AcwBlAHMAXAAiACkAOwBcAG4AXABuAFYARQBFAFIARwBfADEANQBfADEAMQBfADEAXwAxAF8AXwAyAF8AVQBwAHMAdAByAGUAYQBtAFQAcgBhAG4AcwBwAG8AcgB0AEYAdQBlAGwARQBtAGkAcwBzAGkAbwBuAHMAXwBWAGEAcgBpAGEAYgBsAGUAXABuACAAIAA9AEwAQQBNAEIARABBACgAXAAiAEUAXwBXAFQAVAB0AHIAYQBuAHMAcQBcACIAKQA7AFwAbgBcAG4AVgBFAEUAUgBHAF8AMQA1AF8AMQAxAF8AMQBfADEAXwBfADIAXwBVAHAAcwB0AHIAZQBhAG0AVAByAGEAbgBzAHAAbwByAHQARgB1AGUAbABFAG0AaQBzAHMAaQBvAG4AcwBfAFUAbgBpAHQAXABuACAAIAA9AEwAQQBNAEIARABBACgAXAAiAHQAIABDAE8AMgBlAFwAIgApADsAXABuAFwAbgBWAEUARQBSAEcAXwAxADUAXwAxADEAXwAxAF8AMQBfAF8AMgBfAFUAcABzAHQAcgBlAGEAbQBUAHIAYQBuAHMAcABvAHIAdABGAHUAZQBsAEUAbQBpAHMAcwBpAG8AbgBzAF8AUwBvAHUAcgBjAGUAXABuACAAIAA9AEwAQQBNAEIARABBACgAXAAiAFYARQBFAFIARwAgADIAMAAyADYAOgAgADEANQAuADEAMQAuADEALgAxACwAIABFAHEAdQBhAHQAaQBvAG4AIAAoADIAKQBcACIAKQA7AFwAbgBcAG4AVgBFAEUAUgBHAF8AMQA1AF8AMQAxAF8AMQBfADEAXwBfADIAXwBVAHAAcwB0AHIAZQBhAG0AVAByAGEAbgBzAHAAbwByAHQARgB1AGUAbABFAG0AaQBzAHMAaQBvAG4AcwBfAE4ASQBSAFIAZQBmAGUAcgBlAG4AYwBlAFwAbgAgACAAPQBMAEEATQBCAEQAQQAoAFwAIgBcACIAKQA7AFwAbgBcAG4AVgBFAEUAUgBHAF8AMQA1AF8AMQAxAF8AMQBfADEAXwBfADIAXwBVAHAAcwB0AHIAZQBhAG0AVAByAGEAbgBzAHAAbwByAHQARgB1AGUAbABFAG0AaQBzAHMAaQBvAG4AcwBfAEwAYQB0AGUAeABFAHEAdQBhAHQAaQBvAG4AXABuACAAIAA9AEwAQQBNAEIARABBACgAXAAiAEUAXwB7AFcAVABUACwAdAByAGEAbgBzACwAcQB9AD0AUQBfAHsAVAByAGEAbgBzACwAcQB9AFwAXAB0AGkAbQBlAHMAIABFAEMAXwB7AFQAcgBhAG4AcwAsAHEAfQBcAFwAdABpAG0AZQBzACAARQBGAF8AewBUAHIAYQBuAHMALAAzACwAcQB9AFwAXAB0AGkAbQBlAHMAIAAxADAAXgB7AC0AMwB9AFwAIgApADsAXABuAFwAbgBWAEUARQBSAEcAXwAxADUAXwAxADEAXwAxAF8AMQBfAF8AMgBfAFUAcABzAHQAcgBlAGEAbQBUAHIAYQBuAHMAcABvAHIAdABGAHUAZQBsAEUAbQBpAHMAcwBpAG8AbgBzAF8AQQByAGcAdQBtAGUAbgB0AHMAXABuACAAIAA9AEwAQQBNAEIARABBACgAXABuACAAIAAgACAATQBBAEsARQBBAFIAUgBBAFkAKAAzACwAIAA0ACwAXABuACAAIAAgACAAIAAgAEwAQQBNAEIARABBACgAcgAsAGMALABcAG4AIAAgACAAIAAgACAAIAAgAEkATgBEAEUAWAAoAHsAXABuACAAIAAgACAAIAAgACAAIAAgACAAXAAiAFEAXwBUAHIAYQBuAHMAcQBcACIALAAgAFwAIgBhAG0AbwB1AG4AdAAgAG8AZgAgAGYAdQBlAGwAIABxACAAYwBvAG0AYgB1AHMAdABlAGQAIABmAG8AcgAgAHQAcgBhAG4AcwBwAG8AcgB0ACAAZQBuAGUAcgBnAHkAIABwAHUAcgBwAG8AcwBlAHMAXAAiACwAIABcACIAawBMAFwAIgAsACAAXAAiAEkAbgBwAHUAdABcACIAOwBcAG4AIAAgACAAIAAgACAAIAAgACAAIABcACIARQBDAF8AVAByAGEAbgBzAHEAXAAiACwAIABcACIAZQBuAGUAcgBnAHkAIABjAG8AbgB0AGUAbgB0ACAAZgBhAGMAdABvAHIAIABmAG8AcgAgAHQAcgBhAG4AcwBwAG8AcgB0ACAAZQBuAGUAcgBnAHkAIABwAHUAcgBwAG8AcwBlAHMAXAAiACwAIABcACIARwBKAC8AawBMACAAbwByACAARwBKAC8AbQAzAFwAIgAsACAAXAAiAEMAbwBuAHMAdABhAG4AdABcACIAOwBcAG4AIAAgACAAIAAgACAAIAAgACAAIABcACIARQBGAF8AVAByAGEAbgBzADMAcQBcACIALAAgAFwAIgBzAGMAbwBwAGUAIAAzACAAZQBtAGkAcwBzAGkAbwBuACAAZgBhAGMAdABvAHIAIABmAG8AcgAgAHQAcgBhAG4AcwBwAG8AcgB0ACAAZQBuAGUAcgBnAHkAIABwAHUAcgBwAG8AcwBlAHMAXAAiACwAIABcACIAawBnACAAQwBPADIAZQAvAEcAS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MAXwBVAHAAcwB0AHIAZQBhAG0AUwB0AGEAdABpAG8AbgBhAHIAeQBGAHUAZQBsAEUAbQBpAHMAcwBpAG8AbgBzAFwAbgBVAHAAcwB0AHIAZQBhAG0AIABlAG0AaQBzAHMAaQBvAG4AcwAgAGYAcgBvAG0AIABzAGMAbwBwAGUAIAAxACAAcwB0AGEAdABpAG8AbgBhAHIAeQAgAGMAbwBtAGIAdQBzAHQAaQBvAG4AIABmAHUAZQBsACAAdQBzAGUAXABuAEUAXwBXAFQAVABTAEMAcQBcAG4AdAAgAEMATwAyAGUAXABuAEUAXwB7AFcAVABUACwAUwBDACwAcQB9AD0AUQBfAHsAUwBDACwAcQB9AFwAXAB0AGkAbQBlAHMAIABFAEMAXwB7AFMAQwAsAHEAfQBcAFwAdABpAG0AZQBzACAARQBGAF8AewBTAEMALAAzACwAcQB9AFwAXAB0AGkAbQBlAHMAIAAxADAAXgB7AC0AMwB9AFwAbgBRAF8AUwBDAHEAIAA9ACAAYQBtAG8AdQBuAHQAIABvAGYAIABmAHUAZQBsACAAcQAgAHUAcwBlAGQAIABmAG8AcgAgAHMAdABhAHQAaQBvAG4AYQByAHkAIABjAG8AbQBiAHUAcwB0AGkAbwBuACAAbwBwAGUAcgBhAHQAaQBvAG4AcwBcAG4ARQBDAF8AUwBDAHEAIAA9ACAAZQBuAGUAcgBnAHkAIABjAG8AbgB0AGUAbgB0ACAAZgBhAGMAdABvAHIAIABmAG8AcgAgAHMAdABhAHQAaQBvAG4AYQByAHkAIABjAG8AbQBiAHUAcwB0AGkAbwBuACAAbwBwAGUAcgBhAHQAaQBvAG4AcwBcAG4ARQBGAF8AUwBDADMAcQAgAD0AIABzAGMAbwBwAGUAIAAzACAAZQBtAGkAcwBzAGkAbwBuACAAZgBhAGMAdABvAHIAIABmAG8AcgAgAHMAdABhAHQAaQBvAG4AYQByAHkAIABjAG8AbQBiAHUAcwB0AGkAbwBuACAAbwBwAGUAcgBhAHQAaQBvAG4AcwBcAG4ALQAtAC0ALQAtAC0ALQAtAC0ALQAtAC0ALQAtAC0ALQAtAC0ALQAtAC0ALQAtAC0ALQAtAC0ALQAtAC0ALQAtAC0ALQAtAC0ALQAtAFwAbgAqAC8AXABuAFwAbgBWAEUARQBSAEcAXwAxADUAXwAxADEAXwAxAF8AMQBfAF8AMwBfAFUAcABzAHQAcgBlAGEAbQBTAHQAYQB0AGkAbwBuAGEAcgB5AEYAdQBlAGwARQBtAGkAcwBzAGkAbwBuAHMAXABuACAAIAA9AEwAQQBNAEIARABBACgAXABuACAAIAAgACAAUQBfAFMAQwBxACwAIABFAEMAXwBTAEMAcQAsACAARQBGAF8AUwBDADMAcQAsAFwAbgAgACAAIAAgACgAUQBfAFMAQwBxACAAKgAgAEUAQwBfAFMAQwBxACAAKgAgAEUARgBfAFMAQwAzAHEAKQAgACoAIAAxADAAIABeACAALQAzAFwAbgAgACAAKQA7AFwAbgBcAG4AVgBFAEUAUgBHAF8AMQA1AF8AMQAxAF8AMQBfADEAXwBfADMAXwBVAHAAcwB0AHIAZQBhAG0AUwB0AGEAdABpAG8AbgBhAHIAeQBGAHUAZQBsAEUAbQBpAHMAcwBpAG8AbgBzAF8AVABpAHQAbABlAFwAbgAgACAAPQBMAEEATQBCAEQAQQAoAFwAIgBVAHAAcwB0AHIAZQBhAG0AIABlAG0AaQBzAHMAaQBvAG4AcwAgAGYAcgBvAG0AIABzAGMAbwBwAGUAIAAxACAAcwB0AGEAdABpAG8AbgBhAHIAeQAgAGMAbwBtAGIAdQBzAHQAaQBvAG4AIABmAHUAZQBsACAAdQBzAGUAXAAiACkAOwBcAG4AXABuAFYARQBFAFIARwBfADEANQBfADEAMQBfADEAXwAxAF8AXwAzAF8AVQBwAHMAdAByAGUAYQBtAFMAdABhAHQAaQBvAG4AYQByAHkARgB1AGUAbABFAG0AaQBzAHMAaQBvAG4AcwBfAFYAYQByAGkAYQBiAGwAZQBcAG4AIAAgAD0ATABBAE0AQgBEAEEAKABcACIARQBfAFcAVABUAFMAQwBxAFwAIgApADsAXABuAFwAbgBWAEUARQBSAEcAXwAxADUAXwAxADEAXwAxAF8AMQBfAF8AMwBfAFUAcABzAHQAcgBlAGEAbQBTAHQAYQB0AGkAbwBuAGEAcgB5AEYAdQBlAGwARQBtAGkAcwBzAGkAbwBuAHMAXwBVAG4AaQB0AFwAbgAgACAAPQBMAEEATQBCAEQAQQAoAFwAIgB0ACAAQwBPADIAZQBcACIAKQA7AFwAbgBcAG4AVgBFAEUAUgBHAF8AMQA1AF8AMQAxAF8AMQBfADEAXwBfADMAXwBVAHAAcwB0AHIAZQBhAG0AUwB0AGEAdABpAG8AbgBhAHIAeQBGAHUAZQBsAEUAbQBpAHMAcwBpAG8AbgBzAF8AUwBvAHUAcgBjAGUAXABuACAAIAA9AEwAQQBNAEIARABBACgAXAAiAFYARQBFAFIARwAgADIAMAAyADYAOgAgADEANQAuADEAMQAuADEALgAxACwAIABFAHEAdQBhAHQAaQBvAG4AIAAoADMAKQBcACIAKQA7AFwAbgBcAG4AVgBFAEUAUgBHAF8AMQA1AF8AMQAxAF8AMQBfADEAXwBfADMAXwBVAHAAcwB0AHIAZQBhAG0AUwB0AGEAdABpAG8AbgBhAHIAeQBGAHUAZQBsAEUAbQBpAHMAcwBpAG8AbgBzAF8ATgBJAFIAUgBlAGYAZQByAGUAbgBjAGUAXABuACAAIAA9AEwAQQBNAEIARABBACgAXAAiAFwAIgApADsAXABuAFwAbgBWAEUARQBSAEcAXwAxADUAXwAxADEAXwAxAF8AMQBfAF8AMwBfAFUAcABzAHQAcgBlAGEAbQBTAHQAYQB0AGkAbwBuAGEAcgB5AEYAdQBlAGwARQBtAGkAcwBzAGkAbwBuAHMAXwBMAGEAdABlAHgARQBxAHUAYQB0AGkAbwBuAFwAbgAgACAAPQBMAEEATQBCAEQAQQAoAFwAIgBFAF8AewBXAFQAVAAsAFMAQwAsAHEAfQA9AFEAXwB7AFMAQwAsAHEAfQBcAFwAdABpAG0AZQBzACAARQBDAF8AewBTAEMALABxAH0AXABcAHQAaQBtAGUAcwAgAEUARgBfAHsAUwBDACwAMwAsAHEAfQBcAFwAdABpAG0AZQBzACAAMQAwAF4AewAtADMAfQBcACIAKQA7AFwAbgBcAG4AVgBFAEUAUgBHAF8AMQA1AF8AMQAxAF8AMQBfADEAXwBfADMAXwBVAHAAcwB0AHIAZQBhAG0AUwB0AGEAdABpAG8AbgBhAHIAeQBGAHUAZQBsAEUAbQBpAHMAcwBpAG8AbgBzAF8AQQByAGcAdQBtAGUAbgB0AHMAXABuACAAIAA9AEwAQQBNAEIARABBACgAXABuACAAIAAgACAATQBBAEsARQBBAFIAUgBBAFkAKAA1ACwAIAA0ACwAXABuACAAIAAgACAAIAAgAEwAQQBNAEIARABBACgAcgAsAGMALABcAG4AIAAgACAAIAAgACAAIAAgAEkATgBEAEUAWAAoAHsAXABuACAAIAAgACAAIAAgACAAIAAgACAAXAAiAFEAXwBTAEMAcQBcACIALAAgAFwAIgBhAG0AbwB1AG4AdAAgAG8AZgAgAGYAdQBlAGwAIABxACAAdQBzAGUAZAAgAGYAbwByACAAcwB0AGEAdABpAG8AbgBhAHIAeQAgAGMAbwBtAGIAdQBzAHQAaQBvAG4AIABvAHAAZQByAGEAdABpAG8AbgBzAFwAIgAsACAAXAAiAGsATABcACIALAAgAFwAIgBJAG4AcAB1AHQAXAAiADsAXABuACAAIAAgACAAIAAgACAAIAAgACAAXAAiAEUAQwBfAFMAQwBxAFwAIgAsACAAXAAiAGUAbgBlAHIAZwB5ACAAYwBvAG4AdABlAG4AdAAgAGYAYQBjAHQAbwByACAAZgBvAHIAIABzAHQAYQB0AGkAbwBuAGEAcgB5ACAAYwBvAG0AYgB1AHMAdABpAG8AbgAgAG8AcABlAHIAYQB0AGkAbwBuAHMAXAAiACwAIABcACIARwBKAC8AawBMAFwAIgAsACAAXAAiAEMAbwBuAHMAdABhAG4AdABcACIAOwBcAG4AIAAgACAAIAAgACAAIAAgACAAIABcACIARQBGAF8AUwBDADMAcQBcACIALAAgAFwAIgBzAGMAbwBwAGUAIAAzACAAZQBtAGkAcwBzAGkAbwBuACAAZgBhAGMAdABvAHIAIABmAG8AcgAgAHMAdABhAHQAaQBvAG4AYQByAHkAIABjAG8AbQBiAHUAcwB0AGkAbwBuACAAbwBwAGUAcgBhAHQAaQBvAG4AcwBcACIALAAgAFwAIgBrAGcAIABDAE8AMgBlAC8ARwBKAFwAIgAsACAAXAAiAEMAbwBuAHMAdABhAG4AdABcACIAOwBcAG4AIAAgACAAIAAgACAAIAAgACAAIABcACIAaQBcACIALAAgAFwAIgBzAHQAYQB0AGUAXAAiACwAIABcACIAXAAiACwAIABcACIASQBuAHAAdQB0AFwAIgA7AFwAbgAgACAAIAAgACAAIAAgACAAIAAgAFwAIgBtAFwAIgAsACAAXAAiAG0AZQB0AHIAbwBwAG8AbABpAHQAYQBuAC8AbgBvAG4ALQBtAGUAdAByAG8AcABvAGwAaQB0AGEAbgAgAGwAbwBjAGEAdABpAG8AbgBcACIALAAgAFwAIgBcACIALAAgAFwAIgBJAG4AcAB1AHQAXAAiAFwAbgAgACAAIAAgACAAIAAgACAAfQAsACAAcgAsACAAYwApAFwAbgAgACAAIAAgACAAIAApAFwAbgAgACAAIAAgACkAXABuACAAIAApADsAXABuAFwAbgBWAEUARQBSAEcAXwAxADUAXwAxADEAXwAxAF8AMQBfAF8AMwBfAFUAcABzAHQAcgBlAGEAbQBTAHQAYQB0AGkAbwBuAGEAcgB5AEYAdQBlAGwARQBtAGkAcwBzAGkAbwBuAHMAXwBWAGEAcgBpAGEAdABpAG8AbgBcAG4AIAAgAD0ATABBAE0AQgBEAEEAKABcACIAVgBBAFIASQBBAFQASQBPAE4AIABPAE4AIABTAE8AVQBSAEMARQA6ACAAQQBkAGQAZQBkACAAXAB1ADAAMAAyADcAcwB0AGEAdABlAFwAdQAwADAAMgA3ACAAYQBuAGQAIABcAHUAMAAwADIANwBtAGUAdAByAG8ALwBuAG8AbgAtAG0AZQB0AHIAbwBcAHUAMAAwADIANwAgAGEAcgBnAHUAbQBlAG4AdABzACAAYQBzACAAZwBhAHMAZQBvAHUAcwAgAHMAYwBvAHAAZQAgADMAIABFAEYAcwAgAGEAcgBlACAAcwB0AGEAdABlACAAYQBuAGQAIABtAGUAdAByAG8ALwBuAG8AbgAtAG0AZQB0AHIAbwAgAGwAbwBjAGEAdABpAG8AbgAtAGIAYQBzAGUAZAAuAFwAIgApADsAXABuAFwAbgAvACoAXABuAC0ALQAtAC0ALQAtAC0ALQAtAC0ALQAtAC0ALQAtAC0ALQAtAC0ALQAtAC0ALQAtAC0ALQAtAC0ALQAtAC0ALQAtAC0ALQAtAC0ALQBcAG4AVgBFAEUAUgBHAF8AMQA1AF8AMQAyAF8AMQBfADEAXwBfADEAXwBVAHAAcwB0AHIAZQBhAG0AUAB1AHIAYwBoAGEAcwBlAGQARQBsAGUAYwB0AHIAaQBjAGkAdAB5AEwAbwBjAGEAdABpAG8AbgBCAGEAcwBlAGQAXABuAFMAYwBvAHAAZQAgADMAIABlAG0AaQBzAHMAaQBvAG4AcwAgAGYAcgBvAG0AIABwAHUAcgBjAGgAYQBzAGUAZAAgAGUAbABlAGMAdAByAGkAYwBpAHQAeQAgAGwAbwBjAGEAdABpAG8AbgAgAGIAYQBzAGUAZABcAG4ARQBfADMAZQBsAGUAYwBcAG4AdAAgAEMATwAyAGUAXABuAEUAXwB7ADMALABlAGwAZQBjAH0APQBRAF8AewBlAGwAZQBjAH0AXABcAHQAaQBtAGUAcwAgAEUARgBfAHsAMwAsAGUAbABlAGMAfQBcAFwAdABpAG0AZQBzACAAMQAwAF4AewAtADMAfQBcAG4AUQBfAGUAbABlAGMAIAA9ACAAYQBtAG8AdQBuAHQAIABvAGYAIABlAGwAZQBjAHQAcgBpAGMAaQB0AHkAIABwAHUAcgBjAGgAYQBzAGUAZAAgAGYAcgBvAG0AIAB0AGgAZQAgAGcAcgBpAGQAXABuAEUARgBfADMAZQBsAGUAYwAgAD0AIABzAGMAbwBwAGUAIAAzACAAZQBtAGkAcwBzAGkAbwBuACAAZgBhAGMAdABvAHIAIABmAG8AcgAgAHAAdQByAGMAaABhAHMAZQBkACAAZQBsAGUAYwB0AHIAaQBjAGkAdAB5AFwAbgAtAC0ALQAtAC0ALQAtAC0ALQAtAC0ALQAtAC0ALQAtAC0ALQAtAC0ALQAtAC0ALQAtAC0ALQAtAC0ALQAtAC0ALQAtAC0ALQAtAC0AXABuACoALwBcAG4AXABuAFYARQBFAFIARwBfADEANQBfADEAMgBfADEAXwAxAF8AXwAxAF8AVQBwAHMAdAByAGUAYQBtAFAAdQByAGMAaABhAHMAZQBkAEUAbABlAGMAdAByAGkAYwBpAHQAeQBMAG8AYwBhAHQAaQBvAG4AQgBhAHMAZQBkAFwAbgAgACAAPQBMAEEATQBCAEQAQQAoAFwAbgAgACAAIAAgAFEAXwBlAGwAZQBjACwAIABFAEYAXwAzAGUAbABlAGMALABcAG4AIAAgACAAIAAoAFEAXwBlAGwAZQBjACAAKgAgAEUARgBfADMAZQBsAGUAYwApACAAKgAgADEAMAAgAF4AIAAtADMAXABuACAAIAApADsAXABuAFwAbgBWAEUARQBSAEcAXwAxADUAXwAxADIAXwAxAF8AMQBfAF8AMQBfAFUAcABzAHQAcgBlAGEAbQBQAHUAcgBjAGgAYQBzAGUAZABFAGwAZQBjAHQAcgBpAGMAaQB0AHkATABvAGMAYQB0AGkAbwBuAEIAYQBzAGUAZABfAFQAaQB0AGwAZQBcAG4AIAAgAD0ATABBAE0AQgBEAEEAKABcACIAUwBjAG8AcABlACAAMwAgAGUAbQBpAHMAcwBpAG8AbgBzACAAZgByAG8AbQAgAHAAdQByAGMAaABhAHMAZQBkACAAZQBsAGUAYwB0AHIAaQBjAGkAdAB5ACAAbABvAGMAYQB0AGkAbwBuACAAYgBhAHMAZQBkAFwAIgApADsAXABuAFwAbgBWAEUARQBSAEcAXwAxADUAXwAxADIAXwAxAF8AMQBfAF8AMQBfAFUAcABzAHQAcgBlAGEAbQBQAHUAcgBjAGgAYQBzAGUAZABFAGwAZQBjAHQAcgBpAGMAaQB0AHkATABvAGMAYQB0AGkAbwBuAEIAYQBzAGUAZABfAFYAYQByAGkAYQBiAGwAZQBcAG4AIAAgAD0ATABBAE0AQgBEAEEAKABcACIARQBfADMAZQBsAGUAYwBcACIAKQA7AFwAbgBcAG4AVgBFAEUAUgBHAF8AMQA1AF8AMQAyAF8AMQBfADEAXwBfADEAXwBVAHAAcwB0AHIAZQBhAG0AUAB1AHIAYwBoAGEAcwBlAGQARQBsAGUAYwB0AHIAaQBjAGkAdAB5AEwAbwBjAGEAdABpAG8AbgBCAGEAcwBlAGQAXwBVAG4AaQB0AFwAbgAgACAAPQBMAEEATQBCAEQAQQAoAFwAIgB0ACAAQwBPADIAZQBcACIAKQA7AFwAbgBcAG4AVgBFAEUAUgBHAF8AMQA1AF8AMQAyAF8AMQBfADEAXwBfADEAXwBVAHAAcwB0AHIAZQBhAG0AUAB1AHIAYwBoAGEAcwBlAGQARQBsAGUAYwB0AHIAaQBjAGkAdAB5AEwAbwBjAGEAdABpAG8AbgBCAGEAcwBlAGQAXwBTAG8AdQByAGMAZQBcAG4AIAAgAD0ATABBAE0AQgBEAEEAKABcACIAVgBFAEUAUgBHACAAMgAwADIANgA6ACAAMQA1AC4AMQAyAC4AMQAuADEALAAgAEUAcQB1AGEAdABpAG8AbgAgACgAMQApAFwAIgApADsAXABuAFwAbgBWAEUARQBSAEcAXwAxADUAXwAxADIAXwAxAF8AMQBfAF8AMQBfAFUAcABzAHQAcgBlAGEAbQBQAHUAcgBjAGgAYQBzAGUAZABFAGwAZQBjAHQAcgBpAGMAaQB0AHkATABvAGMAYQB0AGkAbwBuAEIAYQBzAGUAZABfAE4ASQBSAFIAZQBmAGUAcgBlAG4AYwBlAFwAbgAgACAAPQBMAEEATQBCAEQAQQAoAFwAIgBcACIAKQA7AFwAbgBcAG4AVgBFAEUAUgBHAF8AMQA1AF8AMQAyAF8AMQBfADEAXwBfADEAXwBVAHAAcwB0AHIAZQBhAG0AUAB1AHIAYwBoAGEAcwBlAGQARQBsAGUAYwB0AHIAaQBjAGkAdAB5AEwAbwBjAGEAdABpAG8AbgBCAGEAcwBlAGQAXwBMAGEAdABlAHgARQBxAHUAYQB0AGkAbwBuAFwAbgAgACAAPQBMAEEATQBCAEQAQQAoAFwAIgBFAF8AewAzACwAZQBsAGUAYwB9AD0AUQBfAHsAZQBsAGUAYwB9AFwAXAB0AGkAbQBlAHMAIABFAEYAXwB7ADMALABlAGwAZQBjAH0AXABcAHQAaQBtAGUAcwAgADEAMABeAHsALQAzAH0AXAAiACkAOwBcAG4AXABuAFYARQBFAFIARwBfADEANQBfADEAMgBfADEAXwAxAF8AXwAxAF8AVQBwAHMAdAByAGUAYQBtAFAAdQByAGMAaABhAHMAZQBkAEUAbABlAGMAdAByAGkAYwBpAHQAeQBMAG8AYwBhAHQAaQBvAG4AQgBhAHMAZQBk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wBlAGwAZQBjAFwAIgAsACAAXAAiAHMAYwBvAHAAZQAgADMAIABlAG0AaQBzAHMAaQBvAG4AIABmAGEAYwB0AG8AcgAgAGYAbwByACAAcAB1AHIAYwBoAGEAcwBlAGQAIABlAGwAZQBjAHQAcgBpAGMAaQB0AHkAXAAiACwAIABcACIAawBnACAAQwBPADIAZQAvAGsAVwBoAFwAIgAsACAAXAAiAEMAbwBuAHMAdABhAG4AdABcACIAOwBcAG4AIAAgACAAIAAgACAAIAAgACAAIABcACIAZwBcACIALAAgAFwAIgBnAHIAaQBkACAAZQBsAGUAYwB0AHIAaQBjAGkAdAB5ACAAdwBhAHMAIABwAHUAcgBjAGgAYQBzAGUAZAAgAGYAcgBvAG0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gBfADEAXwAyAF8AXwAxAF8AVQBwAHMAdAByAGUAYQBtAFAAdQByAGMAaABhAHMAZQBkAEUAbABlAGMAdAByAGkAYwBpAHQAeQBNAGEAcgBrAGUAdABCAGEAcwBlAGQAXABuAFMAYwBvAHAAZQAgADMAIABlAG0AaQBzAHMAaQBvAG4AcwAgAGYAcgBvAG0AIABwAHUAcgBjAGgAYQBzAGUAZAAgAGUAbABlAGMAdAByAGkAYwBpAHQAeQAgAG0AYQByAGsAZQB0ACAAYgBhAHMAZQBkAFwAbgBFAF8AMwBlAGwAZQBjAFwAbgB0ACAAQwBPADIAZQBcAG4ARQBfAHsAMwAsAGUAbABlAGMAfQA9AFwAXABsAGUAZgB0AFsAUQBfAHsAZQBsAGUAYwB9AFwAXAB0AGkAbQBlAHMAXABcAGwAZQBmAHQAKAAxAC0AKABSAFAAUAArAEoAUgBQAFAAKQBcAFwAcgBpAGcAaAB0ACkALQBcAFwAbABlAGYAdAAoAFIARQBDAF8AewBzAHUAcgByAGUAbgBkAGUAcgBlAGQAfQAtAFIARQBDAF8AewBvAG4AcwBpAHQAZQB9AFwAXAByAGkAZwBoAHQAKQBcAFwAdABpAG0AZQBzACAAMQAwAF4AewAtADMAfQBcAFwAcgBpAGcAaAB0AF0AXABcAHQAaQBtAGUAcwAgAEUARgBfAHsAUgBNAEYAMwAsAGUAbABlAGMAfQBcAFwAdABpAG0AZQBzACAAMQAwAF4AewAtADMAfQBcAG4AUQBfAGUAbABlAGMAIAA9ACAAYQBtAG8AdQBuAHQAIABvAGYAIABlAGwAZQBjAHQAcgBpAGMAaQB0AHkAIABwAHUAcgBjAGgAYQBzAGUAZAAgAGYAcgBvAG0AIAB0AGgAZQAgAGcAcgBpAGQAXABuAFIAUABQACAAPQAgAHIAZQBuAGUAdwBhAGIAbABlACAAcABvAHcAZQByACAAcABlAHIAYwBlAG4AdABhAGcAZQAgAHUAbgBkAGUAcgAgAEwAUgBFAFQAIABmAG8AcgAgAHQAaABlACAAYQBwAHAAbABpAGMAYQBiAGwAZQAgAHAAZQByAGkAbwBkAFwAbgBKAFIAUABQACAAPQAgAGoAdQByAGkAcwBkAGkAYwB0AGkAbwBuAGEAbAAgAHIAZQBuAGUAdwBhAGIAbABlACAAcABvAHcAZQByACAAcABlAHIAYwBlAG4AdABhAGcAZQAgAGYAbwByACAAdABoAGUAIABhAHAAcABsAGkAYwBhAGIAbABlACAAcABlAHIAaQBvAGQAXABuAFIARQBDAF8AcwB1AHIAcgBlAG4AZABlAHIAZQBkACAAPQAgAGUAbABpAGcAaQBiAGwAZQAgAHIAZQBuAGUAdwBhAGIAbABlACAAZQBuAGUAcgBnAHkAIABjAGUAcgB0AGkAZgBpAGMAYQB0AGUAcwAgAHYAbwBsAHUAbgB0AGEAcgBpAGwAeQAgAHMAdQByAHIAZQBuAGQAZQByAGUAZABcAG4AUgBFAEMAXwBvAG4AcwBpAHQAZQAgAD0AIABlAGwAaQBnAGkAYgBsAGUAIAByAGUAbgBlAHcAYQBiAGwAZQAgAGUAbgBlAHIAZwB5ACAAYwBlAHIAdABpAGYAaQBjAGEAdABlAHMAIABpAHMAcwB1AGUAZAAgAGYAbwByACAAbwBuAHMAaQB0AGUAIABnAGUAbgBlAHIAYQB0AGUAZAAgAGUAbABlAGMAdAByAGkAYwBpAHQAeQBcAG4ARQBGAF8AUgBNAEYAMwBlAGwAZQBjACAAPQAgAHMAYwBvAHAAZQAgADMAIAByAGUAcwBpAGQAdQBhAGwAIABtAGkAeAAgAGUAbQBpAHMAcwBpAG8AbgAgAGYAYQBjAHQAbwByACAAZgBvAHIAIABlAGwAZQBjAHQAcgBpAGMAaQB0AHkAXABuAC0ALQAtAC0ALQAtAC0ALQAtAC0ALQAtAC0ALQAtAC0ALQAtAC0ALQAtAC0ALQAtAC0ALQAtAC0ALQAtAC0ALQAtAC0ALQAtAC0ALQBcAG4AKgAvAFwAbgBcAG4AVgBFAEUAUgBHAF8AMQA1AF8AMQAyAF8AMQBfADIAXwBfADEAXwBVAHAAcwB0AHIAZQBhAG0AUAB1AHIAYwBoAGEAcwBlAGQARQBsAGUAYwB0AHIAaQBjAGkAdAB5AE0AYQByAGsAZQB0AEIAYQBzAGUAZA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tADMAKQApACAAKgAgAEUARgBfAFIATQBGADMAZQBsAGUAYwAgACoAIAAxADAAIABeACAALQAzAFwAbgAgACAAKQA7AFwAbgBcAG4AVgBFAEUAUgBHAF8AMQA1AF8AMQAyAF8AMQBfADIAXwBfADEAXwBVAHAAcwB0AHIAZQBhAG0AUAB1AHIAYwBoAGEAcwBlAGQARQBsAGUAYwB0AHIAaQBjAGkAdAB5AE0AYQByAGsAZQB0AEIAYQBzAGUAZABWAGEAcgBpAGEAdABpAG8Abg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zACkAKQAgACoAIABFAEYAXwBSAE0ARgAzAGUAbABlAGMAIAAqACAAMQAwACAAXgAgAC0AMwBcAG4AIAAgACkAOwBcAG4AXABuAFYARQBFAFIARwBfADEANQBfADEAMgBfADEAXwAyAF8AXwAxAF8AVQBwAHMAdAByAGUAYQBtAFAAdQByAGMAaABhAHMAZQBkAEUAbABlAGMAdAByAGkAYwBpAHQAeQBNAGEAcgBrAGUAdABCAGEAcwBlAGQAXwBUAGkAdABsAGUAXABuACAAIAA9AEwAQQBNAEIARABBACgAXAAiAFMAYwBvAHAAZQAgADMAIABlAG0AaQBzAHMAaQBvAG4AcwAgAGYAcgBvAG0AIABwAHUAcgBjAGgAYQBzAGUAZAAgAGUAbABlAGMAdAByAGkAYwBpAHQAeQAgAG0AYQByAGsAZQB0ACAAYgBhAHMAZQBkAFwAIgApADsAXABuAFwAbgBWAEUARQBSAEcAXwAxADUAXwAxADIAXwAxAF8AMgBfAF8AMQBfAFUAcABzAHQAcgBlAGEAbQBQAHUAcgBjAGgAYQBzAGUAZABFAGwAZQBjAHQAcgBpAGMAaQB0AHkATQBhAHIAawBlAHQAQgBhAHMAZQBkAF8AVgBhAHIAaQBhAGIAbABlAFwAbgAgACAAPQBMAEEATQBCAEQAQQAoAFwAIgBFAF8AMwBlAGwAZQBjAFwAIgApADsAXABuAFwAbgBWAEUARQBSAEcAXwAxADUAXwAxADIAXwAxAF8AMgBfAF8AMQBfAFUAcABzAHQAcgBlAGEAbQBQAHUAcgBjAGgAYQBzAGUAZABFAGwAZQBjAHQAcgBpAGMAaQB0AHkATQBhAHIAawBlAHQAQgBhAHMAZQBkAF8AVQBuAGkAdABcAG4AIAAgAD0ATABBAE0AQgBEAEEAKABcACIAdAAgAEMATwAyAGUAXAAiACkAOwBcAG4AXABuAFYARQBFAFIARwBfADEANQBfADEAMgBfADEAXwAyAF8AXwAxAF8AVQBwAHMAdAByAGUAYQBtAFAAdQByAGMAaABhAHMAZQBkAEUAbABlAGMAdAByAGkAYwBpAHQAeQBNAGEAcgBrAGUAdABCAGEAcwBlAGQAXwBTAG8AdQByAGMAZQBcAG4AIAAgAD0ATABBAE0AQgBEAEEAKABcACIAVgBFAEUAUgBHACAAMgAwADIANgA6ACAAMQA1AC4AMQAyAC4AMQAuADIALAAgAEUAcQB1AGEAdABpAG8AbgAgACgAMQApAFwAIgApADsAXABuAFwAbgBWAEUARQBSAEcAXwAxADUAXwAxADIAXwAxAF8AMgBfAF8AMQBfAFUAcABzAHQAcgBlAGEAbQBQAHUAcgBjAGgAYQBzAGUAZABFAGwAZQBjAHQAcgBpAGMAaQB0AHkATQBhAHIAawBlAHQAQgBhAHMAZQBkAF8ATgBJAFIAUgBlAGYAZQByAGUAbgBjAGUAXABuACAAIAA9AEwAQQBNAEIARABBACgAXAAiAFwAIgApADsAXABuAFwAbgBWAEUARQBSAEcAXwAxADUAXwAxADIAXwAxAF8AMgBfAF8AMQBfAFUAcABzAHQAcgBlAGEAbQBQAHUAcgBjAGgAYQBzAGUAZABFAGwAZQBjAHQAcgBpAGMAaQB0AHkATQBhAHIAawBlAHQAQgBhAHMAZQBkAF8ATABhAHQAZQB4AEUAcQB1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t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MAGEAdABlAHgARQBxAHUAYQB0AGkAbwBuAFYAYQByAGk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yAGUAbgBlAHcAYQBiAGwAZQAgAHAAbwB3AGUAcgAgAHAAZQByAGMAZQBuAHQAYQBnAGUAIAB1AG4AZABlAHIAIABMAFIARQBUACAAZgBvAHIAIAB0AGgAZQAgAGEAcABwAGwAaQBjAGEAYgBsAGUAIABwAGUAcgBpAG8AZABcACIALAAgAFwAIgBmAHIAYQBjAHQAaQBvAG4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XAAiACwAIABcACIAZgByAGEAYwB0AGkAbwBuAFwAIgAsACAAXAAiAEkAbgBwAHUAdABcACIAOwBcAG4AIAAgACAAIAAgACAAIAAgACAAIABcACIAUgBFAEMAXwBzAHUAcgByAGUAbgBkAGUAcgBlAGQAXAAiACwAIABcACIAZQBsAGkAZwBpAGIAbABlACAAcgBlAG4AZQB3AGEAYgBsAGUAIABlAG4AZQByAGcAeQAgAGMAZQByAHQAaQBmAGkAYwBhAHQAZQBzACAAdgBvAGwAdQBuAHQAYQByAGkAbAB5ACAAcwB1AHIAcgBlAG4AZABlAHIAZQBkAFwAIgAsACAAXAAiAE0AVwBoAFwAIgAsACAAXAAiAEkAbgBwAHUAdABcACIAOwBcAG4AIAAgACAAIAAgACAAIAAgACAAIABcACIAUgBFAEMAXwBvAG4AcwBpAHQAZQBcACIALAAgAFwAIgBlAGwAaQBnAGkAYgBsAGUAIAByAGUAbgBlAHcAYQBiAGwAZQAgAGUAbgBlAHIAZwB5ACAAYwBlAHIAdABpAGYAaQBjAGEAdABlAHMAIABpAHMAcwB1AGUAZAAgAGYAbwByACAAbwBuAHMAaQB0AGUAIABnAGUAbgBlAHIAYQB0AGUAZAAgAGUAbABlAGMAdAByAGkAYwBpAHQAeQBcACIALAAgAFwAIgBNAFcAaABcACIALAAgAFwAIgBJAG4AcAB1AHQAXAAiADsAXABuACAAIAAgACAAIAAgACAAIAAgACAAXAAiAEUARgBfAFIATQBGADMAZQBsAGUAYwBcACIALAAgAFwAIgBzAGMAbwBwAGUAIAAz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QBfADEAMgBfADEAXwAyAF8AXwAxAF8AVQBwAHMAdAByAGUAYQBtAFAAdQByAGMAaABhAHMAZQBkAEUAbABlAGMAdAByAGkAYwBpAHQAeQBNAGEAcgBrAGUAdABCAGEAcwBlAGQ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BcAG4ALwAqAFwAbgAtAC0ALQAtAC0ALQAtAC0ALQAtAC0ALQAtAC0ALQAtAC0ALQAtAC0ALQAtAC0ALQAtAC0ALQAtAC0ALQAtAC0ALQAtAC0ALQAtAC0AXABuAFYARQBFAFIARwBfADEANQBfADEAMwBfADEAXwAxAF8AXwAxAF8ARQBtAGkAcwBzAGkAbwBuAHMARgByAG8AbQBNAGEAbgB1AHIAZQBTAGUAbgB0AE8AZgBmAFMAaQB0AGUAXABuAEUAbQBpAHMAcwBpAG8AbgBzACAAZgByAG8AbQAgAG0AYQBuAHUAcgBlACAAcwBlAG4AdAAgAG8AZgBmACAAcwBpAHQAZQAgAGEAcABwAGwAaQBlAGQAIAB0AG8AIABzAG8AaQBsAHMAIABpAG4AIABhAG4AbwB0AGgAZQByACAAZgBhAHIAbQBpAG4AZwAgAHMAeQBzAHQAZQBtACAAbwByACAAZQBuAHQAZQByAHAAcgBpAHMAZQBcAG4ARQBcAG4AdAAgAE4AMgBPAFwAbgBFAD0ARQBfAHsATgAyAE8AfQArAEUAXwB7AGEAZAB9ACsARQBfAHsAbABlAGEAYwBoAH0AXABuAEUAXwBOADIATwAgAD0AIABkAGkAcgBlAGMAdAAgAG4AaQB0AHIAbwB1AHMAIABvAHgAaQBkAGUAIABlAG0AaQBzAHMAaQBvAG4AcwAgAGYAcgBvAG0AIABhAHAAcABsAGkAYwBhAHQAaQBvAG4AIABvAGYAIABtAGEAbgB1AHIAZQAgAHQAbwAgAHMAbwBpAGwAcwAgAG8AdQB0AHMAaQBkAGUAIABvAGYAIABzAGMAbwBwAGUAIAAxACAAYgBvAHUAbgBkAGEAcgB5AFwAbgBFAF8AYQBkACAAPQAgAG4AaQB0AHIAbwB1AHMAIABvAHgAaQBkAGUAIABlAG0AaQBzAHMAaQBvAG4AcwAgAGYAcgBvAG0AIABhAHQAbQBvAHMAcABoAGUAcgBpAGMAIABkAGUAcABvAHMAaQB0AGkAbwBuACAAbwBmACAAbQBhAG4AdQByAGUAIAB0AG8AIABzAG8AaQBsAHMAXABuAEUAXwBsAGUAYQBjAGgAIAA9ACAAbgBpAHQAcgBvAHUAcwAgAG8AeABpAGQAZQAgAGUAbQBpAHMAcwBpAG8AbgBzACAAZgByAG8AbQAgAG4AaQB0AHIAbwBnAGUAbgAgAGwAZQBhAGMAaABpAG4AZwAgAGEAbgBkACAAcgB1AG4AbwBmAGYAIABvAGYAIABtAGEAbgB1AHIAZQAgAHQAbwAgAHMAbwBpAGwAcwBcAG4ALQAtAC0ALQAtAC0ALQAtAC0ALQAtAC0ALQAtAC0ALQAtAC0ALQAtAC0ALQAtAC0ALQAtAC0ALQAtAC0ALQAtAC0ALQAtAC0ALQAtAFwAbgAqAC8AXABuAFwAbgBWAEUARQBSAEcAXwAxADUAXwAxADMAXwAxAF8AMQBfAF8AMQBfAEUAbQBpAHMAcwBpAG8AbgBzAEYAcgBvAG0ATQBhAG4AdQByAGUAUwBlAG4AdABPAGYAZgBTAGkAdABlAFwAbgAgACAAPQBMAEEATQBCAEQAQQAoAFwAbgAgACAAIAAgAEUAXwBOADIATwAsACAARQBfAGEAZAAsACAARQBfAGwAZQBhAGMAaAAsAFwAbgAgACAAIAAgAEUAXwBOADIATwAgACsAIABFAF8AYQBkACAAKwAgAEUAXwBsAGUAYQBjAGgAXABuACAAIAApADsAXABuAFwAbgBWAEUARQBSAEcAXwAxADUAXwAxADMAXwAxAF8AMQBfAF8AMQBfAEUAbQBpAHMAcwBpAG8AbgBzAEYAcgBvAG0ATQBhAG4AdQByAGUAUwBlAG4AdABPAGYAZgBTAGkAdABlAF8AVABpAHQAbABlAFwAbgAgACAAPQBMAEEATQBCAEQAQQAoAFwAIgBFAG0AaQBzAHMAaQBvAG4AcwAgAGYAcgBvAG0AIABtAGEAbgB1AHIAZQAgAHMAZQBuAHQAIABvAGYAZgAgAHMAaQB0AGUAIABhAHAAcABsAGkAZQBkACAAdABvACAAcwBvAGkAbABzACAAaQBuACAAYQBuAG8AdABoAGUAcgAgAGYAYQByAG0AaQBuAGcAIABzAHkAcwB0AGUAbQAgAG8AcgAgAGUAbgB0AGUAcgBwAHIAaQBzAGUAXAAiACkAOwBcAG4AXABuAFYARQBFAFIARwBfADEANQBfADEAMwBfADEAXwAxAF8AXwAxAF8ARQBtAGkAcwBzAGkAbwBuAHMARgByAG8AbQBNAGEAbgB1AHIAZQBTAGUAbgB0AE8AZgBmAFMAaQB0AGUAXwBWAGEAcgBpAGEAYgBsAGUAXABuACAAIAA9AEwAQQBNAEIARABBACgAXAAiAEUAXAAiACkAOwBcAG4AXABuAFYARQBFAFIARwBfADEANQBfADEAMwBfADEAXwAxAF8AXwAxAF8ARQBtAGkAcwBzAGkAbwBuAHMARgByAG8AbQBNAGEAbgB1AHIAZQBTAGUAbgB0AE8AZgBmAFMAaQB0AGUAXwBVAG4AaQB0AFwAbgAgACAAPQBMAEEATQBCAEQAQQAoAFwAIgB0ACAATgAyAE8AXAAiACkAOwBcAG4AXABuAFYARQBFAFIARwBfADEANQBfADEAMwBfADEAXwAxAF8AXwAxAF8ARQBtAGkAcwBzAGkAbwBuAHMARgByAG8AbQBNAGEAbgB1AHIAZQBTAGUAbgB0AE8AZgBmAFMAaQB0AGUAXwBTAG8AdQByAGMAZQBcAG4AIAAgAD0ATABBAE0AQgBEAEEAKABcACIAVgBFAEUAUgBHACAAMgAwADIANgA6ACAAMQA1AC4AMQAzAC4AMQAuADEALAAgAEUAcQB1AGEAdABpAG8AbgAgACgAMQApAFwAIgApADsAXABuAFwAbgBWAEUARQBSAEcAXwAxADUAXwAxADMAXwAxAF8AMQBfAF8AMQBfAEUAbQBpAHMAcwBpAG8AbgBzAEYAcgBvAG0ATQBhAG4AdQByAGUAUwBlAG4AdABPAGYAZgBTAGkAdABlAF8ATgBJAFIAUgBlAGYAZQByAGUAbgBjAGUAXABuACAAIAA9AEwAQQBNAEIARABBACgAXAAiAFwAIgApADsAXABuAFwAbgBWAEUARQBSAEcAXwAxADUAXwAxADMAXwAxAF8AMQBfAF8AMQBfAEUAbQBpAHMAcwBpAG8AbgBzAEYAcgBvAG0ATQBhAG4AdQByAGUAUwBlAG4AdABPAGYAZgBTAGkAdABlAF8ATABhAHQAZQB4AEUAcQB1AGEAdABpAG8AbgBcAG4AIAAgAD0ATABBAE0AQgBEAEEAKABcACIARQA9AEUAXwB7AE4AMgBPAH0AKwBFAF8AewBhAGQAfQArAEUAXwB7AGwAZQBhAGMAaAB9AFwAIgApADsAXABuAFwAbgBWAEUARQBSAEcAXwAxADUAXwAxADMAXwAxAF8AMQBfAF8AMQBfAEUAbQBpAHMAcwBpAG8AbgBzAEYAcgBvAG0ATQBhAG4AdQByAGUAUwBlAG4AdABPAGYAZgBTAGkAdABlAF8AQQByAGcAdQBtAGUAbgB0AHMAXABuACAAIAA9AEwAQQBNAEIARABBACgAXABuACAAIAAgACAATQBBAEsARQBBAFIAUgBBAFkAKAAzACwAIAA0ACwAXABuACAAIAAgACAAIAAgAEwAQQBNAEIARABBACgAcgAsAGMALABcAG4AIAAgACAAIAAgACAAIAAgAEkATgBEAEUAWAAoAHsAXABuACAAIAAgACAAIAAgACAAIAAgACAAXAAiAEUAXwBOADIATwBcACIALAAgAFwAIgBkAGkAcgBlAGMAdAAgAG4AaQB0AHIAbwB1AHMAIABvAHgAaQBkAGUAIABlAG0AaQBzAHMAaQBvAG4AcwAgAGYAcgBvAG0AIABhAHAAcABsAGkAYwBhAHQAaQBvAG4AIABvAGYAIABtAGEAbgB1AHIAZQAgAHQAbwAgAHMAbwBpAGwAcwAgAG8AdQB0AHMAaQBkAGUAIABvAGYAIABzAGMAbwBwAGUAIAAxACAAYgBvAHUAbgBkAGEAcgB5AFwAIgAsACAAXAAiAHQAIABOADIATwBcACIALAAgAFwAIgBDAGEAbABjAHUAbABhAHQAZQBkAFwAIgA7AFwAbgAgACAAIAAgACAAIAAgACAAIAAgAFwAIgBFAF8AYQBkAFwAIgAsACAAXAAiAG4AaQB0AHIAbwB1AHMAIABvAHgAaQBkAGUAIABlAG0AaQBzAHMAaQBvAG4AcwAgAGYAcgBvAG0AIABhAHQAbQBvAHMAcABoAGUAcgBpAGMAIABkAGUAcABvAHMAaQB0AGkAbwBuACAAbwBmACAAbQBhAG4AdQByAGUAIAB0AG8AIABzAG8AaQBsAHMAXAAiACwAIABcACIAdAAgAE4AMgBPAFwAIgAsACAAXAAiAEMAYQBsAGMAdQBsAGEAdABlAGQAXAAiADsAXABuACAAIAAgACAAIAAgACAAIAAgACAAXAAiAEUAXwBsAGUAYQBjAGgAXAAiACwAIABcACIAbgBpAHQAcgBvAHUAcwAgAG8AeABpAGQAZQAgAGUAbQBpAHMAcwBpAG8AbgBzACAAZgByAG8AbQAgAG4AaQB0AHIAbwBnAGUAbgAgAGwAZQBhAGMAaABpAG4AZwAgAGEAbgBkACAAcgB1AG4AbwBmAGYAIABvAGYAIABtAGEAbgB1AHIAZQAgAHQAbwAgAHMAbwBpAGwAcwBcACIALAAgAFwAIgB0ACAATgAyAE8AXAAiACwAIABcACIAQwBhAGwAYwB1AGwAYQB0AGUAZABcACIAXABuACAAIAAgACAAIAAgACAAIAB9ACwAIAByACwAIABjACkAXABuACAAIAAgACAAIAAgACkAXABuACAAIAAgACAAKQBcAG4AIAAgACkAOwBcAG4AXABuAFwAbgAvACoAXABuAC0ALQAtAC0ALQAtAC0ALQAtAC0ALQAtAC0ALQAtAC0ALQAtAC0ALQAtAC0ALQAtAC0ALQAtAC0ALQAtAC0ALQAtAC0ALQAtAC0ALQBcAG4AVgBFAEUAUgBHAF8AMQA1AF8AMQAzAF8AMQBfADMAXwBfADEAXwBFAG0AaQBzAHMAaQBvAG4AcwBGAHIAbwBtAFMAbwBsAGkAZABXAGEAcwB0AGUAVAByAGUAYQB0AG0AZQBuAHQARgBhAGMAaQBsAGkAdAB5AFwAbgAtAC0ALQAtAC0ALQAtAC0ALQAtAC0ALQAtAC0ALQAtAC0ALQAtAC0ALQAtAC0ALQAtAC0ALQAtAC0ALQAtAC0ALQAtAC0ALQAtAC0AXABuACoALwBcAG4AXABuAFYARQBFAFIARwBfADEANQBfADEAMwBfADEAXwAzAF8AXwAxAF8ARQBtAGkAcwBzAGkAbwBuAHMARgByAG8AbQBTAG8AbABpAGQAVwBhAHMAdABlAFQAcgBlAGEAdABtAGUAbgB0AEYAYQBjAGkAbABpAHQAeQBcAG4AIAAgAD0ATABBAE0AQgBEAEEAKABcAG4AIAAgACAAIABFAF8ATgAyAE8ALAAgAEUAXwBhAGQALAAgAEUAXwBsAGUAYQBjAGgALABcAG4AIAAgACAAIABFAF8ATgAyAE8AIAArACAARQBfAGEAZAAgACsAIABFAF8AbABlAGEAYwBoAFwAbgAgACAAKQA7AFwAbgBcAG4AVgBFAEUAUgBHAF8AMQA1AF8AMQAzAF8AMQBfADMAXwBfADEAXwBFAG0AaQBzAHMAaQBvAG4AcwBGAHIAbwBtAFMAbwBsAGkAZABXAGEAcwB0AGUAVAByAGUAYQB0AG0AZQBuAHQARgBhAGMAaQBsAGkAdAB5AF8AVABpAHQAbABlAFwAbgAgACAAPQBMAEEATQBCAEQAQQAoAFwAIgBFAG0AaQBzAHMAaQBvAG4AcwAgAGYAcgBvAG0AIABzAG8AbABpAGQAIAB3AGEAcwB0AGUAIABzAGUAbgB0ACAAdABvACAAYQAgAHQAcgBlAGEAdABtAGUAbgB0ACAAZgBhAGMAaQBsAGkAdAB5AFwAIgApADsAXABuAFwAbgBWAEUARQBSAEcAXwAxADUAXwAxADMAXwAxAF8AMwBfAF8AMQBfAEUAbQBpAHMAcwBpAG8AbgBzAEYAcgBvAG0AUwBvAGwAaQBkAFcAYQBzAHQAZQBUAHIAZQBhAHQAbQBlAG4AdABGAGEAYwBpAGwAaQB0AHkAXwBWAGEAcgBpAGEAYgBsAGUAXABuACAAIAA9AEwAQQBNAEIARABBACgAXAAiAEUAXAAiACkAOwBcAG4AXABuAFYARQBFAFIARwBfADEANQBfADEAMwBfADEAXwAzAF8AXwAxAF8ARQBtAGkAcwBzAGkAbwBuAHMARgByAG8AbQBTAG8AbABpAGQAVwBhAHMAdABlAFQAcgBlAGEAdABtAGUAbgB0AEYAYQBjAGkAbABpAHQAeQBfAFUAbgBpAHQAXABuACAAIAA9AEwAQQBNAEIARABBACgAXAAiAHQAIABDAE8AMgBlAFwAIgApADsAXABuAFwAbgBWAEUARQBSAEcAXwAxADUAXwAxADMAXwAxAF8AMwBfAF8AMQBfAEUAbQBpAHMAcwBpAG8AbgBzAEYAcgBvAG0AUwBvAGwAaQBkAFcAYQBzAHQAZQBUAHIAZQBhAHQAbQBlAG4AdABGAGEAYwBpAGwAaQB0AHkAXwBTAG8AdQByAGMAZQBcAG4AIAAgAD0ATABBAE0AQgBEAEEAKABcACIAVgBFAEUAUgBHACAAMgAwADIANgA6ACAAMQA1AC4AMQAzAC4AMQAuADMAXAAiACkAOwBcAG4AXABuAFYARQBFAFIARwBfADEANQBfADEAMwBfADEAXwAzAF8AXwAxAF8ARQBtAGkAcwBzAGkAbwBuAHMARgByAG8AbQBTAG8AbABpAGQAVwBhAHMAdABlAFQAcgBlAGEAdABtAGUAbgB0AEYAYQBjAGkAbABpAHQAeQBfAE4ASQBSAFIAZQBmAGUAcgBlAG4AYwBlAFwAbgAgACAAPQBMAEEATQBCAEQAQQAoAFwAIgBcACIAKQA7AFwAbgBcAG4AVgBFAEUAUgBHAF8AMQA1AF8AMQAzAF8AMQBfADMAXwBfADEAXwBFAG0AaQBzAHMAaQBvAG4AcwBGAHIAbwBtAFMAbwBsAGkAZABXAGEAcwB0AGUAVAByAGUAYQB0AG0AZQBuAHQARgBhAGMAaQBsAGkAdAB5AF8ATABhAHQAZQB4AEUAcQB1AGEAdABpAG8AbgBcAG4AIAAgAD0ATABBAE0AQgBEAEEAKABcACIAXAAiACkAOwBcAG4AXABuAFYARQBFAFIARwBfADEANQBfADEAMwBfADEAXwAzAF8AXwAxAF8ARQBtAGkAcwBzAGkAbwBuAHMARgByAG8AbQBTAG8AbABpAGQAVwBhAHMAdABlAFQAcgBlAGEAdABtAGUAbgB0AEYAYQBjAGkAbABpAHQAeQBfAEEAcgBnAHUAbQBlAG4AdABzAFwAbgAgACAAPQBMAEEATQBCAEQAQQAoAFwAIgBcACIAKQA7AFwAbgBcAG4AXABuAC8AKgBcAG4ALQAtAC0ALQAtAC0ALQAtAC0ALQAtAC0ALQAtAC0ALQAtAC0ALQAtAC0ALQAtAC0ALQAtAC0ALQAtAC0ALQAtAC0ALQAtAC0ALQAtAFwAbgBWAEUARQBSAEcAXwAxADUAXwAxADQAXwAxAF8AMQBfAF8AMQBfAEUAbQBiAGUAZABkAGUAZABFAG0AaQBzAHMAaQBvAG4AcwBGAHIAbwBtAFUAcABzAHQAcgBlAGEAbQBGAHIAZQBpAGcAaAB0AFwAbgBFAG0AYgBlAGQAZABlAGQAIABlAG0AaQBzAHMAaQBvAG4AcwAgAGYAcgBvAG0AIAB1AHAAcwB0AHIAZQBhAG0AIABmAHIAZQBpAGcAaAB0AFwAbgBFAFwAbgB0ACAAQwBPADIAZQBcAG4ARQA9AFwAXABzAHUAbQBcAFwAbgBvAGwAaQBtAGkAdABzAF8AZgBcAFwAbABlAGYAdAAoACgAVwBfAGYAXABcAHQAaQBtAGUAcwAgAEQAXwBmACkAXABcAHQAaQBtAGUAcwAgAEUARgBfAGYAXABcAHIAaQBnAGgAdAApAFwAbgBXAF8AZgAgAD0AIAB0AG8AdABhAGwAIABtAGEAcwBzACAAbwBmACAAZwBvAG8AZABzACAAdAByAGEAbgBzAHAAbwByAHQAZQBkACAAcABlAHIAIABmAHIAZQBpAGcAaAB0ACAAdAB5AHAAZQAgAGYAXABuAEQAXwBmACAAPQAgAHQAbwB0AGEAbAAgAGQAaQBzAHQAYQBuAGMAZQAgAHQAcgBhAG4AcwBwAG8AcgB0AGUAZAAgAHAAZQByACAAZgByAGUAaQBnAGgAdAAgAHQAeQBwAGUAIABmAFwAbgBFAEYAXwBmACAAPQAgAGUAbQBpAHMAcwBpAG8AbgAgAGYAYQBjAHQAbwByACAAZgBvAHIAIABmAHIAZQBpAGcAaAB0ACAAdAB5AHAAZQAgAGYAXABuAC0ALQAtAC0ALQAtAC0ALQAtAC0ALQAtAC0ALQAtAC0ALQAtAC0ALQAtAC0ALQAtAC0ALQAtAC0ALQAtAC0ALQAtAC0ALQAtAC0ALQBcAG4AKgAvAFwAbgBcAG4AVgBFAEUAUgBHAF8AMQA1AF8AMQA0AF8AMQBfADEAXwBfADEAXwBFAG0AYgBlAGQAZABlAGQARQBtAGkAcwBzAGkAbwBuAHMARgByAG8AbQBVAHAAcwB0AHIAZQBhAG0ARgByAGUAaQBnAGgAdABcAG4AIAAgAD0ATABBAE0AQgBEAEEAKABcAG4AIAAgACAAIABXAF8AZgAsACAARABfAGYALAAgAEUARgBfAGYALABcAG4AIAAgACAAIAAoAFcAXwBmACAAKgAgAEQAXwBmACkAIAAqACAARQBGAF8AZgBcAG4AIAAgACkAOwBcAG4AXABuAFYARQBFAFIARwBfADEANQBfADEANABfADEAXwAxAF8AXwAxAF8ARQBtAGIAZQBkAGQAZQBkAEUAbQBpAHMAcwBpAG8AbgBzAEYAcgBvAG0AVQBwAHMAdAByAGUAYQBtAEYAcgBlAGkAZwBoAHQAXwBUAGkAdABsAGUAXABuACAAIAA9AEwAQQBNAEIARABBACgAXAAiAEUAbQBiAGUAZABkAGUAZAAgAGUAbQBpAHMAcwBpAG8AbgBzACAAZgByAG8AbQAgAHUAcABzAHQAcgBlAGEAbQAgAGYAcgBlAGkAZwBoAHQAXAAiACkAOwBcAG4AXABuAFYARQBFAFIARwBfADEANQBfADEANABfADEAXwAxAF8AXwAxAF8ARQBtAGIAZQBkAGQAZQBkAEUAbQBpAHMAcwBpAG8AbgBzAEYAcgBvAG0AVQBwAHMAdAByAGUAYQBtAEYAcgBlAGkAZwBoAHQAXwBWAGEAcgBpAGEAYgBsAGUAXABuACAAIAA9AEwAQQBNAEIARABBACgAXAAiAEUAXAAiACkAOwBcAG4AXABuAFYARQBFAFIARwBfADEANQBfADEANABfADEAXwAxAF8AXwAxAF8ARQBtAGIAZQBkAGQAZQBkAEUAbQBpAHMAcwBpAG8AbgBzAEYAcgBvAG0AVQBwAHMAdAByAGUAYQBtAEYAcgBlAGkAZwBoAHQAXwBVAG4AaQB0AFwAbgAgACAAPQBMAEEATQBCAEQAQQAoAFwAIgB0ACAAQwBPADIAZQBcACIAKQA7AFwAbgBcAG4AVgBFAEUAUgBHAF8AMQA1AF8AMQA0AF8AMQBfADEAXwBfADEAXwBFAG0AYgBlAGQAZABlAGQARQBtAGkAcwBzAGkAbwBuAHMARgByAG8AbQBVAHAAcwB0AHIAZQBhAG0ARgByAGUAaQBnAGgAdABfAFMAbwB1AHIAYwBlAFwAbgAgACAAPQBMAEEATQBCAEQAQQAoAFwAIgBWAEUARQBSAEcAIAAyADAAMgA2ADoAIAAxADUALgAxADQALgAxAC4AMQAsACAARQBxAHUAYQB0AGkAbwBuACAAKAAxACkAXAAiACkAOwBcAG4AXABuAFYARQBFAFIARwBfADEANQBfADEANABfADEAXwAxAF8AXwAxAF8ARQBtAGIAZQBkAGQAZQBkAEUAbQBpAHMAcwBpAG8AbgBzAEYAcgBvAG0AVQBwAHMAdAByAGUAYQBtAEYAcgBlAGkAZwBoAHQAXwBOAEkAUgBSAGUAZgBlAHIAZQBuAGMAZQBcAG4AIAAgAD0ATABBAE0AQgBEAEEAKABcACIAXAAiACkAOwBcAG4AXABuAFYARQBFAFIARwBfADEANQBfADEANABfADEAXwAxAF8AXwAxAF8ARQBtAGIAZQBkAGQAZQBkAEUAbQBpAHMAcwBpAG8AbgBzAEYAcgBvAG0AVQBwAHMAdAByAGUAYQBtAEYAcgBlAGkAZwBoAHQAXwBMAGEAdABlAHgARQBxAHUAYQB0AGkAbwBuAFwAbgAgACAAPQBMAEEATQBCAEQAQQAoAFwAIgBFAD0AXABcAHMAdQBtAFwAXABuAG8AbABpAG0AaQB0AHMAXwBmAFwAXABsAGUAZgB0ACgAKABXAF8AZgBcAFwAdABpAG0AZQBzACAARABfAGYAKQBcAFwAdABpAG0AZQBzACAARQBGAF8AZgBcAFwAcgBpAGcAaAB0ACkAXAAiACkAOwBcAG4AXABuAFYARQBFAFIARwBfADEANQBfADEANABfADEAXwAxAF8AXwAxAF8ARQBtAGIAZQBkAGQAZQBkAEUAbQBpAHMAcwBpAG8AbgBzAEYAcgBvAG0AVQBwAHMAdAByAGUAYQBtAEYAcgBlAGkAZwBoAHQAXwBBAHIAZwB1AG0AZQBuAHQAcwBcAG4AIAAgAD0ATABBAE0AQgBEAEEAKABcAG4AIAAgACAAIABNAEEASwBFAEEAUgBSAEEAWQAoADQALAAgADQALABcAG4AIAAgACAAIAAgACAATABBAE0AQgBEAEEAKAByACwAYwAsAFwAbgAgACAAIAAgACAAIAAgACAASQBOAEQARQBYACgAewBcAG4AIAAgACAAIAAgACAAIAAgACAAIABcACIAVwBfAGYAXAAiACwAIABcACIAdABvAHQAYQBsACAAbQBhAHMAcwAgAG8AZgAgAGcAbwBvAGQAcwAgAHQAcgBhAG4AcwBwAG8AcgB0AGUAZAAgAHAAZQByACAAZgByAGUAaQBnAGgAdAAgAHQAeQBwAGUAIABmAFwAIgAsACAAXAAiAHQAXAAiACwAIABcACIASQBuAHAAdQB0AFwAIgA7AFwAbgAgACAAIAAgACAAIAAgACAAIAAgAFwAIgBEAF8AZgBcACIALAAgAFwAIgB0AG8AdABhAGwAIABkAGkAcwB0AGEAbgBjAGUAIAB0AHIAYQBuAHMAcABvAHIAdABlAGQAIABwAGUAcgAgAGYAcgBlAGkAZwBoAHQAIAB0AHkAcABlACAAZgBcACIALAAgAFwAIgBrAG0AXAAiACwAIABcACIASQBuAHAAdQB0AFwAIgA7AFwAbgAgACAAIAAgACAAIAAgACAAIAAgAFwAIgBFAEYAXwBmAFwAIgAsACAAXAAiAGUAbQBpAHMAcwBpAG8AbgAgAGYAYQBjAHQAbwByACAAZgBvAHIAIABmAHIAZQBpAGcAaAB0ACAAdAB5AHAAZQAgAGYAXAAiACwAIABcACIAdAAgAEMATwAyAGUALwAoAHQAIABrAG0AKQBcACIALAAgAFwAIgBDAG8AbgBzAHQAYQBuAHQAXAAiADsAXABuACAAIAAgACAAIAAgACAAIAAgACAAXAAiAGYAXAAiACwAIABcACIAZgByAGUAaQBnAGgAdAAgAHQAeQBwAGUAXAAiACwAIABcACIAXAAiACwAIABcACIASQBuAHAAdQB0AFwAIgBcAG4AIAAgACAAIAAgACAAIAAgAH0ALAAgAHIALAAgAGMAKQBcAG4AIAAgACAAIAAgACAAKQBcAG4AIAAgACAAIAApAFwAbgAgACAAKQA7AFwAbgAiAH0ALAB7ACIAcABhAHQAaAAiADoAIgAvAHAAcgBvAGoAZQBjAHQAcwAvAFMAYwBvAHAAZQAzAF8ASQBuAHAAdQB0AEYAdQBuAGMAdABpAG8AbgBzACIALAAiAHQAZQB4AHQAIgA6ACIAXABuAEcAZQB0AEwAaQB2AGUAdwBlAGkAZwBoAHQAXwBQAGEAcwB0AHUAcgBlAEIAZQBlAGYAXABuAD0ATABBAE0AQgBEAEEAKABcAG4AIAAgAFAAdQByAGMAaABhAHMAZQBEAGEAdABlACwAIABMAGkAdgBlAHMAdABvAGMAawBDAGwAYQBzAHMALAAgAFMAbwB1AHIAYwBlAFIAZQBnAGkAbwBuACwAXABuACAAIABTAG8AdQByAGMAZQBSAGUAZwBpAG8AbgBMAGUAZgB0AEEAcgByAGEAeQAsACAAUwBvAHUAcgBjAGUAUgBlAGcAaQBvAG4AUgBpAGcAaAB0AEEAcgByAGEAeQAsACAAUwBlAGEAcwBvAG4AQQByAHIAYQB5ACwAIABMAGkAdgBlAHMAdABvAGMAawBDAGwAYQBzAHMAQQByAHIAYQB5ACwAIABMAGkAdgBlAHcAZQBpAGcAaAB0AEEAcgByAGEAeQAsAFwAbgAgACAATABFAFQAKABcAG4AIAAgACAAIABTAGUAYQBzAG8AbgAsACAASQBGAFMAKABcAG4AIAAgACAAIAAgACAATQBPAE4AVABIACgAUAB1AHIAYwBoAGEAcwBlAEQAYQB0AGUAKQAgAFwAdQAwADAAMwBjAD0AIAAyACwAIAAgAFwAIgBTAHUAbQBtAGUAcgBcACIALABcAG4AIAAgACAAIAAgACAATQBPAE4AVABIACgAUAB1AHIAYwBoAGEAcwBlAEQAYQB0AGUAKQAgAFwAdQAwADAAMwBjAD0AIAA1ACwAIAAgAFwAIgBBAHUAdAB1AG0AbgBcACIALABcAG4AIAAgACAAIAAgACAATQBPAE4AVABIACgAUAB1AHIAYwBoAGEAcwBlAEQAYQB0AGUAKQAgAFwAdQAwADAAMwBjAD0AIAA4ACwAIAAgAFwAIgBXAGkAbgB0AGUAcgBcACIALABcAG4AIAAgACAAIAAgACAATQBPAE4AVABIACgAUAB1AHIAYwBoAGEAcwBlAEQAYQB0AGUAKQAgAFwAdQAwADAAMwBjAD0AIAAxADEALAAgAFwAIgBTAHAAcgBpAG4AZwBcACIALABcAG4AIAAgACAAIAAgACAATQBPAE4AVABIACgAUAB1AHIAYwBoAGEAcwBlAEQAYQB0AGUAKQAgAD0AIAAxADIALAAgACAAXAAiAFMAdQBtAG0AZQByAFwAIgBcAG4AIAAgACAAIAApACwAXABuACAAIAAgACAAUwBvAHUAcgBjAGUAUgBlAGcAaQBvAG4AUgBpAGcAaAB0ACwAIABJAEYAKABJAFMATgBVAE0AQgBFAFIAKABGAEkATgBEACgAXAAiACAALQAgAFwAIgAsACAAUwBvAHUAcgBjAGUAUgBlAGcAaQBvAG4AKQApACwAIABNAEkARAAoAFMAbwB1AHIAYwBlAFIAZQBnAGkAbwBuACwAIABGAEkATgBEACgAXAAiACAALQAgAFwAIgAsACAAUwBvAHUAcgBjAGUAUgBlAGcAaQBvAG4AKQAgACsAIAAzACwAIABMAEUATgAoAFMAbwB1AHIAYwBlAFIAZQBnAGkAbwBuACkAKQAsACAAXAAiAG4ALwBhAFwAIgApACwAXABuACAAIAAgACAAUwBvAHUAcgBjAGUAUgBlAGcAaQBvAG4ATABlAGYAdAAsACAAIABJAEYAKABJAFMATgBVAE0AQgBFAFIAKABGAEkATgBEACgAXAAiACAALQAgAFwAIgAsACAAUwBvAHUAcgBjAGUAUgBlAGcAaQBvAG4AKQApACwAIABMAEUARgBUACgAUwBvAHUAcgBjAGUAUgBlAGcAaQBvAG4ALAAgAEYASQBOAEQAKABcACIAIAAtACAAXAAiACwAIABTAG8AdQByAGMAZQBSAGUAZwBpAG8AbgApACAALQAgADEAKQAsACAAUwBvAHUAcgBjAGUAUgBlAGcAaQBvAG4AKQAsAFwAbgAgACAAIAAgAEkARgBFAFIAUgBPAFIAKABcAG4AIAAgACAAIAAgACAAWABMAE8ATwBLAFUAUAAoADEALABcAG4AIAAgACAAIAAgACAAIAAgACgAUwBvAHUAcgBjAGUAUgBlAGcAaQBvAG4ATABlAGYAdABBAHIAcgBhAHkAIAA9ACAAUwBvAHUAcgBjAGUAUgBlAGcAaQBvAG4ATABlAGYAdAApACAAKgAgACgAUwBvAHUAcgBjAGUAUgBlAGcAaQBvAG4AUgBpAGcAaAB0AEEAcgByAGEAeQAgAD0AIABTAG8AdQByAGMAZQBSAGUAZwBpAG8AbgBSAGkAZwBoAHQAKQAgACoAIAAoAFMAZQBhAHMAbwBuAEEAcgByAGEAeQAgAD0AIABTAGUAYQBzAG8AbgApACwAXABuACAAIAAgACAAIAAgACAAIABYAEwATwBPAEsAVQBQACgATABpAHYAZQBzAHQAbwBjAGsAQwBsAGEAcwBzACwAIABMAGkAdgBlAHMAdABvAGMAawBDAGwAYQBzAHMAQQByAHIAYQB5ACwAIABMAGkAdgBlAHcAZQBpAGcAaAB0AEEAcgByAGEAeQAsACAAMAApACwAXABuACAAIAAgACAAIAAgADAAKQAsAFwAbgAgACAAIAAgADAAKQBcAG4AIAAgACkAXABuACkAOw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IAZQBlAGYAQwBhAHQAdABsAGUAXABuAC0ALQAtAC0ALQAtAC0ALQAtAC0ALQAtAC0ALQAtAC0ALQAtAC0ALQAtAC0ALQAtAC0ALQAtAC0ALQAtAC0ALQAtAC0ALQAtAC0ALQBcAG4AKgAvAFwAbgBcAG4AUwBvAHUAcgBjAGUARABhAHQAYQBfAEwAaQB2AGUAcwB0AG8AYwBrAF8AUAByAG8AZAB1AGMAdABfAEIAZQBlAGYAQwBhAHQAdABsAGUAXwBUAGkAdABsAGUAXABuACAAIAA9AEwAQQBNAEIARABBACgAXAAiAEIAZQBlAGYAIABjAGEAdAB0AGwAZQAgAHAAcgBvAGQAdQBjAHQAcwAgAGYAbwByACAAcwBjAG8AcABlACAAMwBcACIAKQA7AFwAbgBcAG4AUwBvAHUAcgBjAGUARABhAHQAYQBfAEwAaQB2AGUAcwB0AG8AYwBrAF8AUAByAG8AZAB1AGMAdABfAEIAZQBlAGYAQwBhAHQAdABsAGUAXwBWAGEAaQByAGEAYgBsAGUAXABuACAAIAA9AEwAQQBNAEIARABBACgAXAAiAFwAIgApADsAXABuAFwAbgBTAG8AdQByAGMAZQBEAGEAdABhAF8ATABpAHYAZQBzAHQAbwBjAGsAXwBQAHIAbwBkAHUAYwB0AF8AQgBlAGUAZgBDAGEAdAB0AGwAZQBfAFUAbgBpAHQAXABuACAAIAA9AEwAQQBNAEIARABBACgAXAAiAFwAIgApADsAXABuAFwAbgBTAG8AdQByAGMAZQBEAGEAdABhAF8ATABpAHYAZQBzAHQAbwBjAGsAXwBQAHIAbwBkAHUAYwB0AF8AQgBlAGUAZgBD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gBlAGUAZgBDAGEAdAB0AGwAZQBfAEQAYQB0AGEAXABuACAAIAA9AEwAQQBNAEIARABBACgAXABuACAAIAAgACAATQBBAEsARQBBAFIAUgBBAFkAKAA5ACwAIAAyACwAIABcAG4AIAAgACAAIAAgACAATABBAE0AQgBEAEEAKAByACwAYwAsACAAXABuACAAIAAgACAAIAAgACAAIABJAE4ARABFAFgAKAB7AFwAbgAgACAAIAAgACAAIAAgACAAIAAgAFwAIgBQAHIAbwBkAHUAYwB0AFwAIgAsACAAXAAiAFMAbwB1AHIAYwBlACAAcgBlAGcAaQBvAG4AXAAiADsAXABuACAAIAAgACAAIAAgACAAIAAgACAAIAAgAFwAIgBDAGEAdAB0AGwAZQAsACAAZgBvAHIAIABtAGEAbgB1AGYAYQBjAHQAdQByAGkAbgBnACAAYgBlAGUAZgBcACIALAAgAFwAIgBBAHUAcwB0AHIAYQBsAGkAYQBcACIAOwBcAG4AIAAgACAAIAAgACAAIAAgACAAIAAgACAAXAAiAEMAYQB0AHQAbABlACwAIABmAG8AcgAgAHAAcgBpAG0AZQAgAGIAZQBlAGYAXAAiACwAIABcACIATgBTAFcAXAAiADsAXABuACAAIAAgACAAIAAgACAAIAAgACAAIAAgAFwAIgBDAGEAdAB0AGwAZQAsACAAdwBlAGEAbgBlAHIAcwBcACIALAAgAFwAIgBOAFQ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QwBoAGkAYwBrAGUAbgBzAFwAbgAtAC0ALQAtAC0ALQAtAC0ALQAtAC0ALQAtAC0ALQAtAC0ALQAtAC0ALQAtAC0ALQAtAC0ALQAtAC0ALQAtAC0ALQAtAC0ALQAtAC0AXABuACoALwBcAG4AXABuAFMAbwB1AHIAYwBlAEQAYQB0AGEAXwBMAGkAdgBlAHMAdABvAGMAawBfAFAAcgBvAGQAdQBjAHQAXwBDAGgAaQBjAGsAZQBuAHMAXwBUAGkAdABsAGUAXABuACAAIAA9AEwAQQBNAEIARABBACgAXAAiAEMAaABpAGMAawBlAG4AcwAgAHAAcgBvAGQAdQBjAHQAcwAgAGYAbwByACAAcwBjAG8AcABlACAAMwBcACIAKQA7AFwAbgBcAG4AUwBvAHUAcgBjAGUARABhAHQAYQBfAEwAaQB2AGUAcwB0AG8AYwBrAF8AUAByAG8AZAB1AGMAdABfAEMAaABpAGMAawBlAG4AcwBfAFYAYQBpAHIAYQBiAGwAZQBcAG4AIAAgAD0ATABBAE0AQgBEAEEAKABcACIAXAAiACkAOwBcAG4AXABuAFMAbwB1AHIAYwBlAEQAYQB0AGEAXwBMAGkAdgBlAHMAdABvAGMAawBfAFAAcgBvAGQAdQBjAHQAXwBDAGgAaQBjAGsAZQBuAHMAXwBVAG4AaQB0AFwAbgAgACAAPQBMAEEATQBCAEQAQQAoAFwAIgBcACIAKQA7AFwAbgBcAG4AUwBvAHUAcgBjAGUARABhAHQAYQBfAEwAaQB2AGUAcwB0AG8AYwBrAF8AUAByAG8AZAB1AGMAdABfAEMAaABpAGMAawBlAG4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wBoAGkAYwBrAGUAbg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MAaABpAGMAawBlAG4AcwBcACIALAAgAFwAIgBBAHUAcwB0AHIAYQBsAGkAY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RABhAGkAcgB5AGMAYQB0AHQAbABlAFwAbgAtAC0ALQAtAC0ALQAtAC0ALQAtAC0ALQAtAC0ALQAtAC0ALQAtAC0ALQAtAC0ALQAtAC0ALQAtAC0ALQAtAC0ALQAtAC0ALQAtAC0AXABuACoALwBcAG4AXABuAFMAbwB1AHIAYwBlAEQAYQB0AGEAXwBMAGkAdgBlAHMAdABvAGMAawBfAFAAcgBvAGQAdQBjAHQAXwBEAGEAaQByAHkAYwBhAHQAdABsAGUAXwBUAGkAdABsAGUAXABuACAAIAA9AEwAQQBNAEIARABBACgAXAAiAEQAYQBpAHIAeQAgAGMAYQB0AHQAbABlACAAcAByAG8AZAB1AGMAdABzACAAZgBvAHIAIABzAGMAbwBwAGUAIAAzAFwAIgApADsAXABuAFwAbgBTAG8AdQByAGMAZQBEAGEAdABhAF8ATABpAHYAZQBzAHQAbwBjAGsAXwBQAHIAbwBkAHUAYwB0AF8ARABhAGkAcgB5AGMAYQB0AHQAbABlAF8AVgBhAGkAcgBhAGIAbABlAFwAbgAgACAAPQBMAEEATQBCAEQAQQAoAFwAIgBcACIAKQA7AFwAbgBcAG4AUwBvAHUAcgBjAGUARABhAHQAYQBfAEwAaQB2AGUAcwB0AG8AYwBrAF8AUAByAG8AZAB1AGMAdABfAEQAYQBpAHIAeQBjAGEAdAB0AGwAZQBfAFUAbgBpAHQAXABuACAAIAA9AEwAQQBNAEIARABBACgAXAAiAFwAIgApADsAXABuAFwAbgBTAG8AdQByAGMAZQBEAGEAdABhAF8ATABpAHYAZQBzAHQAbwBjAGsAXwBQAHIAbwBkAHUAYwB0AF8ARABhAGkAcgB5AG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EAGEAaQByAHkAYwBhAHQAdABsAGU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RABhAGkAcgB5ACAAYwBvAHcAcwBcACIALAAgAFwAIgBWAEkAQw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UABpAGcAcwBcAG4ALQAtAC0ALQAtAC0ALQAtAC0ALQAtAC0ALQAtAC0ALQAtAC0ALQAtAC0ALQAtAC0ALQAtAC0ALQAtAC0ALQAtAC0ALQAtAC0ALQAtAFwAbgAqAC8AXABuAFwAbgBTAG8AdQByAGMAZQBEAGEAdABhAF8ATABpAHYAZQBzAHQAbwBjAGsAXwBQAHIAbwBkAHUAYwB0AF8AUABpAGcAcwBfAFQAaQB0AGwAZQBcAG4AIAAgAD0ATABBAE0AQgBEAEEAKABcACIAUABpAGcAcwAgAHAAcgBvAGQAdQBjAHQAcwAgAGYAbwByACAAcwBjAG8AcABlACAAMwBcACIAKQA7AFwAbgBcAG4AUwBvAHUAcgBjAGUARABhAHQAYQBfAEwAaQB2AGUAcwB0AG8AYwBrAF8AUAByAG8AZAB1AGMAdABfAFAAaQBnAHMAXwBWAGEAaQByAGEAYgBsAGUAXABuACAAIAA9AEwAQQBNAEIARABBACgAXAAiAFwAIgApADsAXABuAFwAbgBTAG8AdQByAGMAZQBEAGEAdABhAF8ATABpAHYAZQBzAHQAbwBjAGsAXwBQAHIAbwBkAHUAYwB0AF8AUABpAGcAcwBfAFUAbgBpAHQAXABuACAAIAA9AEwAQQBNAEIARABBACgAXAAiAFwAIgApADsAXABuAFwAbgBTAG8AdQByAGMAZQBEAGEAdABhAF8ATABpAHYAZQBzAHQAbwBjAGsAXwBQAHIAbwBkAHUAYwB0AF8AUABpAGc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ABpAGc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QAGkAZwBzAFwAIgAsACAAXAAiAEEAdQBzAHQAcgBhAGwAaQBh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FMAaABlAGUAcABcAG4ALQAtAC0ALQAtAC0ALQAtAC0ALQAtAC0ALQAtAC0ALQAtAC0ALQAtAC0ALQAtAC0ALQAtAC0ALQAtAC0ALQAtAC0ALQAtAC0ALQAtAFwAbgAqAC8AXABuAFwAbgBTAG8AdQByAGMAZQBEAGEAdABhAF8ATABpAHYAZQBzAHQAbwBjAGsAXwBQAHIAbwBkAHUAYwB0AF8AUwBoAGUAZQBwAF8AVABpAHQAbABlAFwAbgAgACAAPQBMAEEATQBCAEQAQQAoAFwAIgBTAGgAZQBlAHAAIABwAHIAbwBkAHUAYwB0AHMAIABmAG8AcgAgAHMAYwBvAHAAZQAgADMAXAAiACkAOwBcAG4AXABuAFMAbwB1AHIAYwBlAEQAYQB0AGEAXwBMAGkAdgBlAHMAdABvAGMAawBfAFAAcgBvAGQAdQBjAHQAXwBTAGgAZQBlAHAAXwBWAGEAaQByAGEAYgBsAGUAXABuACAAIAA9AEwAQQBNAEIARABBACgAXAAiAFwAIgApADsAXABuAFwAbgBTAG8AdQByAGMAZQBEAGEAdABhAF8ATABpAHYAZQBzAHQAbwBjAGsAXwBQAHIAbwBkAHUAYwB0AF8AUwBoAGUAZQBwAF8AVQBuAGkAdABcAG4AIAAgAD0ATABBAE0AQgBEAEEAKABcACIAXAAiACkAOwBcAG4AXABuAFMAbwB1AHIAYwBlAEQAYQB0AGEAXwBMAGkAdgBlAHMAdABvAGMAawBfAFAAcgBvAGQAdQBjAHQAXwBTAGgAZQBlAHA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MAaABlAGUAcABfAEQAYQB0AGEAXABuACAAIAA9AEwAQQBNAEIARABBACgAXABuACAAIAAgACAATQBBAEsARQBBAFIAUgBBAFkAKAA4ACwAIAAyACwAIABcAG4AIAAgACAAIAAgACAATABBAE0AQgBEAEEAKAByACwAYwAsACAAXABuACAAIAAgACAAIAAgACAAIABJAE4ARABFAFgAKAB7AFwAbgAgACAAIAAgACAAIAAgACAAIAAgAFwAIgBQAHIAbwBkAHUAYwB0AFwAIgAsACAAXAAiAFMAbwB1AHIAYwBlACAAcgBlAGcAaQBvAG4AXAAiADsAXABuACAAIAAgACAAIAAgACAAIAAgACAAIAAgAFwAIgBTAGgAZQBlAHAALAAgAGYAbwByACAAbQB1AHQAdABvAG4AXAAiACwAIABcACIAQQB1AHMAdAByAGEAbABpAGEAXAAiADsAXABuACAAIAAgACAAIAAgACAAIAAgACAAIAAgAFwAIgBTAGgAZQBlAHAALAAgAGYAbwByACAAcAByAGkAbQBlACAAbABhAG0AYgBcACIALAAgAFwAIgBOAFMAVw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QwBvAG0AbQBvAG4AQwByAG8AcABwAGkAbgBnAF8AQwBhAGwAYwB1AGwAYQB0AGUASABhAHIAdgBlAHMAdABJAG4AZABlAHgAXABuAD0ATABBAE0AQgBEAEEAKABcAG4AIAAgACAAIABDAHIAbwBwAFQAeQBwAGUALAAgAEMAcgBvAHAAVAB5AHAAZQBBAHIAcgBhAHkALAAgAFIAZQBzAGkAZAB1AGUAQwByAG8AcABSAGEAdABpAG8AQQByAHIAYQB5ACwAXABuACAAIAAgACAAMQAvACgAMQArAEMAbwBtAG0AbwBuAF8ASQBuAHAAdQB0AEYAdQBuAGMAdABpAG8AbgBzAC4AVQB0AGkAbABpAHQAeQBfAEwAbwBvAGsAdQBwAFYAYQBsAHUAZQBJAG4AVABhAGIAbABlAE4AdQBtAGIAZQByACgAQwByAG8AcABUAHkAcABlACwAIABDAHIAbwBwAFQAeQBwAGUAQQByAHIAYQB5ACwAIABSAGUAcwBpAGQAdQBlAEMAcgBvAHAAUgBhAHQAaQBvAEEAcgByAGEAeQApACkAXABuACkAOwBcAG4AXABuAEMAbwBtAG0AbwBuAEMAcgBvAHAAcABpAG4AZwBfAEMAYQBsAGMAdQBsAGEAdABlAFIAZQBzAGkAZAB1AGUAQwByAG8AcABSAGEAdABpAG8AXABuAD0ATABBAE0AQgBEAEEAKABcAG4AIAAgACAAIABIAGEAcgB2AGUAcwB0AEkAbgBkAGUAeAAsAFwAbgAgACAAIAAgACgAMQAtAEgAYQByAHYAZQBzAHQASQBuAGQAZQB4ACkALwBIAGEAcgB2AGUAcwB0AEkAbgBkAGUAeABcAG4AKQA7AFwAbgBcAG4AXABuAEMAbwBtAG0AbwBuAEMAcgBvAHAAcABpAG4AZwBfAEMAYQBsAGMAdQBsAGEAdABlAEYAcgBhAGMAdABpAG8AbgBSAGUAcwBpAGQAdQBlAFIAZQBtAG8AdgBlAGQAXABuAD0ATABBAE0AQgBEAEEAKABcAG4AIAAgACAAIABUAG8AdABhAGwAUgBlAHMAaQBkAHUAZQAsACAAQQBtAG8AdQBuAHQAUgBlAG0AbwB2AGUAZAAsAFwAbgAgACAAIAAgACgAQQBtAG8AdQBuAHQAUgBlAG0AbwB2AGUAZAAqADEAMABeADMAKQAvACgAVABvAHQAYQBsAFIAZQBzAGkAZAB1AGUAKgAxADAAXgAzACkAXABuACkAIgB9AF0AfQ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57</vt:i4>
      </vt:variant>
      <vt:variant>
        <vt:lpstr>Named Ranges</vt:lpstr>
      </vt:variant>
      <vt:variant>
        <vt:i4>474</vt:i4>
      </vt:variant>
    </vt:vector>
  </HeadingPairs>
  <TitlesOfParts>
    <vt:vector size="531" baseType="lpstr">
      <vt:lpstr>Home</vt:lpstr>
      <vt:lpstr>Results - Activity period</vt:lpstr>
      <vt:lpstr>Results - Product EI</vt:lpstr>
      <vt:lpstr>Input - Enterprise</vt:lpstr>
      <vt:lpstr>Input - Site</vt:lpstr>
      <vt:lpstr>Input - Dairy</vt:lpstr>
      <vt:lpstr>Input - Livestock sales</vt:lpstr>
      <vt:lpstr>Input - Dairy cattle purchases</vt:lpstr>
      <vt:lpstr>Input - Pasture</vt:lpstr>
      <vt:lpstr>Input - Fert Prod System</vt:lpstr>
      <vt:lpstr>Input - Fertiliser</vt:lpstr>
      <vt:lpstr>Input - Fuel</vt:lpstr>
      <vt:lpstr>Input - Electricity</vt:lpstr>
      <vt:lpstr>Input - Common farm inputs</vt:lpstr>
      <vt:lpstr>Input - Crop pasture farm input</vt:lpstr>
      <vt:lpstr>Input - Livestock farm Inputs</vt:lpstr>
      <vt:lpstr>Input - Freight</vt:lpstr>
      <vt:lpstr>Input - Solid waste</vt:lpstr>
      <vt:lpstr>Input - Manure sent off-site</vt:lpstr>
      <vt:lpstr>3.3.1.1-2 Enteric Methane</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5.1.1.1-2 Inorganic fert N2O</vt:lpstr>
      <vt:lpstr>5.1.1.3-4 Inorganic fert CO2</vt:lpstr>
      <vt:lpstr>5.2.1.1-2 Organic Fert N2O</vt:lpstr>
      <vt:lpstr>5.3.1.1-2 Lime CO2</vt:lpstr>
      <vt:lpstr>5.4.1.1-4 Atmos deposition</vt:lpstr>
      <vt:lpstr>5.5.1.1-2 Leaching and runoff</vt:lpstr>
      <vt:lpstr>6.2.1.1-2 Pasture residue N2O</vt:lpstr>
      <vt:lpstr>6.3.1.1-2 Leach runoff pasture</vt:lpstr>
      <vt:lpstr>8.1.1.1-2 Transport fuel</vt:lpstr>
      <vt:lpstr>8.2.1.1-2 Stationary fuel</vt:lpstr>
      <vt:lpstr>9.1.1.1-2 Refrigerant use</vt:lpstr>
      <vt:lpstr>10.1.1-2 Solid waste treatment</vt:lpstr>
      <vt:lpstr>14.1.1-2 Purchased electricity</vt:lpstr>
      <vt:lpstr>15 Scope 3</vt:lpstr>
      <vt:lpstr>Calcs - Manure sent off-site</vt:lpstr>
      <vt:lpstr>Constants - Dairy</vt:lpstr>
      <vt:lpstr>Constants - Ag Residue</vt:lpstr>
      <vt:lpstr>Constants - Common Livestock</vt:lpstr>
      <vt:lpstr>Constants - Electricity</vt:lpstr>
      <vt:lpstr>Constants - Fertiliser</vt:lpstr>
      <vt:lpstr>Constants - Fuel</vt:lpstr>
      <vt:lpstr>Constants - Scope 3</vt:lpstr>
      <vt:lpstr>Constants - Common</vt:lpstr>
      <vt:lpstr>Results</vt:lpstr>
      <vt:lpstr>Input - Refrigerants</vt:lpstr>
      <vt:lpstr>Constants - Refrigerants</vt:lpstr>
      <vt:lpstr>Constants - Solid Waste</vt:lpstr>
      <vt:lpstr>Acknowledgements</vt:lpstr>
      <vt:lpstr>Input - Data quality</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M1_Table_AE_j</vt:lpstr>
      <vt:lpstr>M1_Table_AE_j_Consumer_1</vt:lpstr>
      <vt:lpstr>M1_Table_AE_j_Consumer_2</vt:lpstr>
      <vt:lpstr>M1_Table_AE_j124</vt:lpstr>
      <vt:lpstr>M1_Table_CP_j</vt:lpstr>
      <vt:lpstr>M1_Table_CPI_j</vt:lpstr>
      <vt:lpstr>'3.3.1.1-2 Enteric Methane'!M1_Table_D_j</vt:lpstr>
      <vt:lpstr>M1_Table_D_j</vt:lpstr>
      <vt:lpstr>M1_Table_D_j124</vt:lpstr>
      <vt:lpstr>M1_Table_D_j35</vt:lpstr>
      <vt:lpstr>M1_Table_D_j35_Consumer_1</vt:lpstr>
      <vt:lpstr>'3.3.1.1-2 Enteric Methane'!M1_Table_DMD_j</vt:lpstr>
      <vt:lpstr>M1_Table_DMD_j</vt:lpstr>
      <vt:lpstr>M1_Table_DPW_j</vt:lpstr>
      <vt:lpstr>M1_Table_DPW_j_Consumer_1</vt:lpstr>
      <vt:lpstr>M1_Table_DPW_j_Consumer_2</vt:lpstr>
      <vt:lpstr>M1_Table_DPW_j_Consumer_3</vt:lpstr>
      <vt:lpstr>M1_Table_DPW_j35</vt:lpstr>
      <vt:lpstr>M1_Table_E_CH4</vt:lpstr>
      <vt:lpstr>M1_Table_E_CH4_Consumer_1</vt:lpstr>
      <vt:lpstr>M1_Table_E_CO2</vt:lpstr>
      <vt:lpstr>M1_Table_E_enteric</vt:lpstr>
      <vt:lpstr>M1_Table_E_enteric_Consumer_1</vt:lpstr>
      <vt:lpstr>'6.3.1.1-2 Leach runoff pasture'!M1_Table_E_N2O</vt:lpstr>
      <vt:lpstr>M1_Table_E_N2O</vt:lpstr>
      <vt:lpstr>'6.3.1.1-2 Leach runoff pasture'!M1_Table_E_N2O_Consumer_1</vt:lpstr>
      <vt:lpstr>M1_Table_E_N2O_dir</vt:lpstr>
      <vt:lpstr>M1_Table_E_N2O_dir_Consumer_1</vt:lpstr>
      <vt:lpstr>M1_Table_EF_N2O_leach</vt:lpstr>
      <vt:lpstr>M1_Table_FVS_j_m</vt:lpstr>
      <vt:lpstr>M1_Table_FVS_j_m_Consumer_1</vt:lpstr>
      <vt:lpstr>M1_Table_FVS_j_m4</vt:lpstr>
      <vt:lpstr>'3.3.1.1-2 Enteric Methane'!M1_Table_I_j</vt:lpstr>
      <vt:lpstr>M1_Table_I_j</vt:lpstr>
      <vt:lpstr>M1_Table_I_j_Consumer_1</vt:lpstr>
      <vt:lpstr>M1_Table_L_j</vt:lpstr>
      <vt:lpstr>'3.3.1.1-2 Enteric Methane'!M1_Table_LWG_j</vt:lpstr>
      <vt:lpstr>M1_Table_LWG_j</vt:lpstr>
      <vt:lpstr>M1_Table_LWG_j_Consumer_1</vt:lpstr>
      <vt:lpstr>M1_Table_M_j</vt:lpstr>
      <vt:lpstr>'6.3.1.1-2 Leach runoff pasture'!M1_Table_M_leach_cp</vt:lpstr>
      <vt:lpstr>M1_Table_M_leach_M14</vt:lpstr>
      <vt:lpstr>M1_Table_M_vol_m14</vt:lpstr>
      <vt:lpstr>'3.3.1.1-2 Enteric Methane'!M1_Table_MI_j</vt:lpstr>
      <vt:lpstr>M1_Table_MI_j</vt:lpstr>
      <vt:lpstr>M1_Table_MI_j_Consumer_1</vt:lpstr>
      <vt:lpstr>M1_Table_MMS_j_m</vt:lpstr>
      <vt:lpstr>M1_Table_MMS_j_m_Consumer_1</vt:lpstr>
      <vt:lpstr>M1_Table_MMS_j_m14</vt:lpstr>
      <vt:lpstr>M1_Table_MMS_j_m4</vt:lpstr>
      <vt:lpstr>M1_Table_MN_atmos</vt:lpstr>
      <vt:lpstr>M1_Table_MN_j_m</vt:lpstr>
      <vt:lpstr>M1_Table_MN_j_m_Consumer_1</vt:lpstr>
      <vt:lpstr>M1_Table_MN_j_m_Consumer_2</vt:lpstr>
      <vt:lpstr>M1_Table_MN_j_m14</vt:lpstr>
      <vt:lpstr>M1_Table_MN_j_m14_Consumer_1</vt:lpstr>
      <vt:lpstr>M1_Table_MN_j_m14_Consumer_2</vt:lpstr>
      <vt:lpstr>M1_Table_MN_j_m4</vt:lpstr>
      <vt:lpstr>M1_Table_MN_leach_j_m</vt:lpstr>
      <vt:lpstr>M1_Table_MN_leach_j_m4</vt:lpstr>
      <vt:lpstr>M1_Table_MN_soil_scope1</vt:lpstr>
      <vt:lpstr>M1_Table_MN_soil_scope3</vt:lpstr>
      <vt:lpstr>M1_Table_MNSoil_scope3_fert</vt:lpstr>
      <vt:lpstr>'3.3.1.1-2 Enteric Methane'!M1_Table_MP_j_from_solids</vt:lpstr>
      <vt:lpstr>M1_Table_MP_j_from_solids</vt:lpstr>
      <vt:lpstr>M1_Table_MP_j_from_solids_Consumer_1</vt:lpstr>
      <vt:lpstr>M1_Table_MPW_j35</vt:lpstr>
      <vt:lpstr>'3.3.1.1-2 Enteric Methane'!M1_Table_MS_j</vt:lpstr>
      <vt:lpstr>M1_Table_MS_j</vt:lpstr>
      <vt:lpstr>M1_Table_NE_j</vt:lpstr>
      <vt:lpstr>M1_Table_NR_j</vt:lpstr>
      <vt:lpstr>'3.3.1.1-2 Enteric Methane'!M1_Table_qm_j</vt:lpstr>
      <vt:lpstr>M1_Table_qm_j</vt:lpstr>
      <vt:lpstr>M1_Table_SS_m</vt:lpstr>
      <vt:lpstr>M1_Table_VS_j</vt:lpstr>
      <vt:lpstr>'3.3.1.1-2 Enteric Methane'!M1_Table_W_j</vt:lpstr>
      <vt:lpstr>M1_Table_W_j</vt:lpstr>
      <vt:lpstr>M1_Table_W_j_Consumer_1</vt:lpstr>
      <vt:lpstr>M1_Table_Z_j</vt:lpstr>
      <vt:lpstr>M1_Table_Z_j_Consumer_1</vt:lpstr>
      <vt:lpstr>M2_Table_AE_j</vt:lpstr>
      <vt:lpstr>M2_Table_AE_j124</vt:lpstr>
      <vt:lpstr>M2_Table_CP_j</vt:lpstr>
      <vt:lpstr>M2_Table_CPI_j</vt:lpstr>
      <vt:lpstr>'3.3.1.1-2 Enteric Methane'!M2_Table_D_j</vt:lpstr>
      <vt:lpstr>M2_Table_D_j</vt:lpstr>
      <vt:lpstr>M2_Table_D_j124</vt:lpstr>
      <vt:lpstr>'3.3.1.1-2 Enteric Methane'!M2_Table_DMD_j</vt:lpstr>
      <vt:lpstr>M2_Table_DMD_j</vt:lpstr>
      <vt:lpstr>M2_Table_DPW_j</vt:lpstr>
      <vt:lpstr>M2_Table_E_N2O_dir</vt:lpstr>
      <vt:lpstr>M2_Table_E_N2O_dir_Consumer_1</vt:lpstr>
      <vt:lpstr>M2_Table_EF_N2O_leach</vt:lpstr>
      <vt:lpstr>M2_Table_FertApplications</vt:lpstr>
      <vt:lpstr>M2_Table_FVS_j_m4</vt:lpstr>
      <vt:lpstr>'3.3.1.1-2 Enteric Methane'!M2_Table_I_j</vt:lpstr>
      <vt:lpstr>M2_Table_I_j</vt:lpstr>
      <vt:lpstr>M2_Table_I_j_Consumer_1</vt:lpstr>
      <vt:lpstr>M2_Table_L_j</vt:lpstr>
      <vt:lpstr>'3.3.1.1-2 Enteric Methane'!M2_Table_LWG_j</vt:lpstr>
      <vt:lpstr>M2_Table_LWG_j</vt:lpstr>
      <vt:lpstr>M2_Table_LWG_j_Consumer_1</vt:lpstr>
      <vt:lpstr>M2_Table_M_j</vt:lpstr>
      <vt:lpstr>'6.3.1.1-2 Leach runoff pasture'!M2_Table_M_leach_cp</vt:lpstr>
      <vt:lpstr>M2_Table_M_leach_M14</vt:lpstr>
      <vt:lpstr>M2_Table_M_vol_m14</vt:lpstr>
      <vt:lpstr>'3.3.1.1-2 Enteric Methane'!M2_Table_MI_j</vt:lpstr>
      <vt:lpstr>M2_Table_MI_j</vt:lpstr>
      <vt:lpstr>M2_Table_MMS_j_m</vt:lpstr>
      <vt:lpstr>M2_Table_MMS_j_m_Consumer_1</vt:lpstr>
      <vt:lpstr>M2_Table_MMS_j_m14</vt:lpstr>
      <vt:lpstr>M2_Table_MMS_j_m4</vt:lpstr>
      <vt:lpstr>M2_Table_MN_atmos</vt:lpstr>
      <vt:lpstr>M2_Table_MN_j_m</vt:lpstr>
      <vt:lpstr>M2_Table_MN_j_m_Consumer_1</vt:lpstr>
      <vt:lpstr>M2_Table_MN_j_m_Consumer_2</vt:lpstr>
      <vt:lpstr>M2_Table_MN_j_m14</vt:lpstr>
      <vt:lpstr>M2_Table_MN_j_m14_Consumer_1</vt:lpstr>
      <vt:lpstr>M2_Table_MN_j_m14_Consumer_2</vt:lpstr>
      <vt:lpstr>M2_Table_MN_j_m4</vt:lpstr>
      <vt:lpstr>M2_Table_MN_leach_j_m</vt:lpstr>
      <vt:lpstr>M2_Table_MN_leach_j_m4</vt:lpstr>
      <vt:lpstr>M2_Table_MN_soil_scope1</vt:lpstr>
      <vt:lpstr>M2_Table_MN_soil_scope3</vt:lpstr>
      <vt:lpstr>M2_Table_MNSoil_scope3_fert</vt:lpstr>
      <vt:lpstr>'3.3.1.1-2 Enteric Methane'!M2_Table_MP_j_from_solids</vt:lpstr>
      <vt:lpstr>M2_Table_MP_j_from_solids</vt:lpstr>
      <vt:lpstr>M2_Table_MP_j_from_solids_Consumer_1</vt:lpstr>
      <vt:lpstr>M2_Table_NE_j</vt:lpstr>
      <vt:lpstr>M2_Table_NR_j</vt:lpstr>
      <vt:lpstr>'3.3.1.1-2 Enteric Methane'!M2_Table_qm_j</vt:lpstr>
      <vt:lpstr>M2_Table_qm_j</vt:lpstr>
      <vt:lpstr>M2_Table_SS_m</vt:lpstr>
      <vt:lpstr>M2_Table_VS_j</vt:lpstr>
      <vt:lpstr>'3.3.1.1-2 Enteric Methane'!M2_Table_W_j</vt:lpstr>
      <vt:lpstr>M2_Table_W_j</vt:lpstr>
      <vt:lpstr>M2_Table_W_j_Consumer_1</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Result_Enterprise_Method1</vt:lpstr>
      <vt:lpstr>Result_Enterprise_Method2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Result_NetEmissions_Method1</vt:lpstr>
      <vt:lpstr>Result_NetEmissions_Method2</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'3.3.1.1-2 Enteric Methane'!SourceData_Dairy_FatContentInMilk_Data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'3.3.1.1-2 Enteric Methane'!SourceData_Dairy_ProteinContentInMilk_Data</vt:lpstr>
      <vt:lpstr>SourceData_Dairy_ProteinContentInMilk_Data</vt:lpstr>
      <vt:lpstr>Table_E_ad_inorganic</vt:lpstr>
      <vt:lpstr>Table_E_ad_organic</vt:lpstr>
      <vt:lpstr>Table_E_CO2e</vt:lpstr>
      <vt:lpstr>Table_E_g</vt:lpstr>
      <vt:lpstr>Table_E_g_Consumer_1</vt:lpstr>
      <vt:lpstr>Table_E_g_offsite</vt:lpstr>
      <vt:lpstr>Table_E_g_onsite</vt:lpstr>
      <vt:lpstr>Table_E_lime</vt:lpstr>
      <vt:lpstr>Table_E_R</vt:lpstr>
      <vt:lpstr>Table_EF_m</vt:lpstr>
      <vt:lpstr>Table_EF_m_Consumer_1</vt:lpstr>
      <vt:lpstr>Table_FracGASM_m</vt:lpstr>
      <vt:lpstr>Table_FracGASM_m_Consumer_1</vt:lpstr>
      <vt:lpstr>Table_M_leach_inorganic_j</vt:lpstr>
      <vt:lpstr>Table_M_leach_organic_j</vt:lpstr>
      <vt:lpstr>Table_M_vol_inorganic_j_f</vt:lpstr>
      <vt:lpstr>Table_M_vol_organic_j_f</vt:lpstr>
      <vt:lpstr>Table_MN_j_f</vt:lpstr>
      <vt:lpstr>Table_MNSoil_j_f</vt:lpstr>
      <vt:lpstr>'3.3.1.1-2 Enteric Methane'!Table_MP_j</vt:lpstr>
      <vt:lpstr>Table_MP_j</vt:lpstr>
      <vt:lpstr>Table_MP_j_Consumer_1</vt:lpstr>
      <vt:lpstr>Table_MPW_manure_j35</vt:lpstr>
      <vt:lpstr>'3.3.1.1-2 Enteric Methane'!Table_MR_j</vt:lpstr>
      <vt:lpstr>Table_MR_j</vt:lpstr>
      <vt:lpstr>Table_MR_j_Consumer_1</vt:lpstr>
      <vt:lpstr>Table_MU_j_f</vt:lpstr>
      <vt:lpstr>'3.3.1.1-2 Enteric Methane'!Table_N_j</vt:lpstr>
      <vt:lpstr>Table_N_j</vt:lpstr>
      <vt:lpstr>Table_N_j_Consumer_1</vt:lpstr>
      <vt:lpstr>Table_NPW_j35</vt:lpstr>
      <vt:lpstr>Table_PF_fert</vt:lpstr>
      <vt:lpstr>Table_PF_scope</vt:lpstr>
      <vt:lpstr>Table_V_w_t_offsite</vt:lpstr>
      <vt:lpstr>Table_V_w_t_onsite</vt:lpstr>
      <vt:lpstr>Table_WR_j</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VEERG_3_3_1_1__1_TotalAnnualMethaneFromEntericFermentationVariation_Result_Method1</vt:lpstr>
      <vt:lpstr>VEERG_3_3_1_1__1_TotalAnnualMethaneFromEntericFermentationVariation_Result_Method2</vt:lpstr>
      <vt:lpstr>VEERG_4_3_1_1__1_TotalAnnualMethaneFromManureManagement_Result_Method1</vt:lpstr>
      <vt:lpstr>VEERG_4_3_1_1__1_TotalAnnualMethaneFromManureManagement_Result_Method2</vt:lpstr>
      <vt:lpstr>VEERG_4_3_1_10__1_AtmosphericDepositionEmissionsFromUrineAndDungOnPasture_Result_Method1</vt:lpstr>
      <vt:lpstr>VEERG_4_3_1_10__1_AtmosphericDepositionEmissionsFromUrineAndDungOnPasture_Result_Method2</vt:lpstr>
      <vt:lpstr>VEERG_4_3_1_12__1_LeachingAndRunoffEmissionsFromUrineAndDungOnPasture_Result_Method1</vt:lpstr>
      <vt:lpstr>VEERG_4_3_1_12__1_LeachingAndRunoffEmissionsFromUrineAndDungOnPasture_Result_Method2</vt:lpstr>
      <vt:lpstr>VEERG_4_3_1_3__1_TotalAnnualDirectNitrousOxideEmissionsFromMMS_Result_Method1</vt:lpstr>
      <vt:lpstr>VEERG_4_3_1_3__1_TotalAnnualDirectNitrousOxideEmissionsFromMMS_Result_Method2</vt:lpstr>
      <vt:lpstr>VEERG_4_3_1_5__1_AnnualAtmosphericDepositionEmissionsFromMMS_Result_Method1</vt:lpstr>
      <vt:lpstr>VEERG_4_3_1_5__1_AnnualAtmosphericDepositionEmissionsFromMMS_Result_Method2</vt:lpstr>
      <vt:lpstr>VEERG_4_3_1_6__1_AnnualEmissionsFromLeachingAndRunoffFromMMS_Result_Method1</vt:lpstr>
      <vt:lpstr>VEERG_4_3_1_6__1_AnnualEmissionsFromLeachingAndRunoffFromMMS_Result_Method2</vt:lpstr>
      <vt:lpstr>VEERG_4_3_1_6__2_MassOfNitrogenLostToLeachingAndRunoffFromSolidStorage_Result_Method1</vt:lpstr>
      <vt:lpstr>VEERG_4_3_1_6__2_MassOfNitrogenLostToLeachingAndRunoffFromSolidStorage_Result_Method2</vt:lpstr>
      <vt:lpstr>VEERG_4_3_1_8__1_MassOfNitrogenAppliedToSoilsScope1_Result_Method1</vt:lpstr>
      <vt:lpstr>VEERG_4_3_1_8__1_MassOfNitrogenAppliedToSoilsScope1_Result_Method2</vt:lpstr>
      <vt:lpstr>VEERG_4_3_1_8__2_MassOfNitrogenAppliedToSoilsScope3_Result_Method1</vt:lpstr>
      <vt:lpstr>VEERG_4_3_1_8__2_MassOfNitrogenAppliedToSoilsScope3_Result_Method2</vt:lpstr>
      <vt:lpstr>VEERG_4_3_1_9__1_DirectNitrousOxideEmissionsOnPasture_Result_Method1</vt:lpstr>
      <vt:lpstr>VEERG_4_3_1_9__1_DirectNitrousOxideEmissionsOnPasture_Result_Method2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VEERG_5_2_1_1__1_OrganicFertiliserApplicationN2OEmissions_Result_Method1</vt:lpstr>
      <vt:lpstr>VEERG_5_2_1_1__1_OrganicFertiliserApplicationN2OEmissions_Result_Method2</vt:lpstr>
      <vt:lpstr>VEERG_5_2_1_1__2_MassOfNitrogenInOrganicFertiliser_Result_Method1</vt:lpstr>
      <vt:lpstr>VEERG_5_3_1_1__1_LimeApplicationCO2Emissions_Result_Method1</vt:lpstr>
      <vt:lpstr>VEERG_5_4_1_1__1_InorganicFertiliserAtmosphericDepositionN2OEmissions_Result_Method1</vt:lpstr>
      <vt:lpstr>'15 Scope 3'!VEERG_5_4_1_3__1_OrganicFertiliserAtmosphericDepositionN2OEmissions_Result_Method1</vt:lpstr>
      <vt:lpstr>'Calcs - Manure sent off-site'!VEERG_5_4_1_3__1_OrganicFertiliserAtmosphericDepositionN2OEmissions_Result_Method1</vt:lpstr>
      <vt:lpstr>'Constants - Scope 3'!VEERG_5_4_1_3__1_OrganicFertiliserAtmosphericDepositionN2OEmissions_Result_Method1</vt:lpstr>
      <vt:lpstr>'Input - Common farm inputs'!VEERG_5_4_1_3__1_OrganicFertiliserAtmosphericDepositionN2OEmissions_Result_Method1</vt:lpstr>
      <vt:lpstr>'Input - Crop pasture farm input'!VEERG_5_4_1_3__1_OrganicFertiliserAtmosphericDepositionN2OEmissions_Result_Method1</vt:lpstr>
      <vt:lpstr>'Input - Dairy cattle purchases'!VEERG_5_4_1_3__1_OrganicFertiliserAtmosphericDepositionN2OEmissions_Result_Method1</vt:lpstr>
      <vt:lpstr>'Input - Freight'!VEERG_5_4_1_3__1_OrganicFertiliserAtmosphericDepositionN2OEmissions_Result_Method1</vt:lpstr>
      <vt:lpstr>'Input - Livestock farm Inputs'!VEERG_5_4_1_3__1_OrganicFertiliserAtmosphericDepositionN2OEmissions_Result_Method1</vt:lpstr>
      <vt:lpstr>'Input - Manure sent off-site'!VEERG_5_4_1_3__1_OrganicFertiliserAtmosphericDepositionN2OEmissions_Result_Method1</vt:lpstr>
      <vt:lpstr>VEERG_5_4_1_3__1_OrganicFertiliserAtmosphericDepositionN2OEmissions_Result_Method1</vt:lpstr>
      <vt:lpstr>VEERG_5_4_1_3__1_OrganicFertiliserAtmosphericDepositionN2OEmissions_Result_Method2</vt:lpstr>
      <vt:lpstr>'15 Scope 3'!VEERG_5_5_1_1__1_FertiliserLeachingAndRunoffN2OEmissions_Result_Method1</vt:lpstr>
      <vt:lpstr>'Calcs - Manure sent off-site'!VEERG_5_5_1_1__1_FertiliserLeachingAndRunoffN2OEmissions_Result_Method1</vt:lpstr>
      <vt:lpstr>'Constants - Scope 3'!VEERG_5_5_1_1__1_FertiliserLeachingAndRunoffN2OEmissions_Result_Method1</vt:lpstr>
      <vt:lpstr>'Input - Common farm inputs'!VEERG_5_5_1_1__1_FertiliserLeachingAndRunoffN2OEmissions_Result_Method1</vt:lpstr>
      <vt:lpstr>'Input - Crop pasture farm input'!VEERG_5_5_1_1__1_FertiliserLeachingAndRunoffN2OEmissions_Result_Method1</vt:lpstr>
      <vt:lpstr>'Input - Dairy cattle purchases'!VEERG_5_5_1_1__1_FertiliserLeachingAndRunoffN2OEmissions_Result_Method1</vt:lpstr>
      <vt:lpstr>'Input - Freight'!VEERG_5_5_1_1__1_FertiliserLeachingAndRunoffN2OEmissions_Result_Method1</vt:lpstr>
      <vt:lpstr>'Input - Livestock farm Inputs'!VEERG_5_5_1_1__1_FertiliserLeachingAndRunoffN2OEmissions_Result_Method1</vt:lpstr>
      <vt:lpstr>'Input - Manure sent off-site'!VEERG_5_5_1_1__1_FertiliserLeachingAndRunoffN2OEmissions_Result_Method1</vt:lpstr>
      <vt:lpstr>VEERG_5_5_1_1__1_FertiliserLeachingAndRunoffN2OEmissions_result_Method1</vt:lpstr>
      <vt:lpstr>VEERG_5_5_1_1__1_FertiliserLeachingAndRunoffN2OEmissions_Result_Method2</vt:lpstr>
      <vt:lpstr>VEERG_6_2_1_1__1__NitrousOxideEmissionsFromPastureResidues_Result_Method1</vt:lpstr>
      <vt:lpstr>VEERG_6_2_1_1__1__NitrousOxideEmissionsFromPastureResidues_Result_Method2</vt:lpstr>
      <vt:lpstr>VEERG_6_3_1_1__1__LeachingAndRunoffEmissionsCropAndPastureResidue_PastureOnly_Result_Method1</vt:lpstr>
      <vt:lpstr>VEERG_6_3_1_1__1__LeachingAndRunoffEmissionsCropAndPastureResidue_PastureOnly_Result_Method2</vt:lpstr>
      <vt:lpstr>'6.3.1.1-2 Leach runoff pasture'!VEERG_6_3_1_1__1__LeachingAndRunoffEmissionsCropAndPastureResidue_Result_Method1</vt:lpstr>
      <vt:lpstr>'6.3.1.1-2 Leach runoff pasture'!VEERG_6_3_1_1__1__LeachingAndRunoffEmissionsCropAndPastureResidue_Result_Method2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VEERG_9_1_1__1_RefrigerantLeaking_Result_Blend1_Name_Method1</vt:lpstr>
      <vt:lpstr>VEERG_9_1_1__1_RefrigerantLeaking_Result_Blend1_Value_Method1</vt:lpstr>
      <vt:lpstr>VEERG_9_1_1__1_RefrigerantLeaking_Result_Blend10_Name_Method1</vt:lpstr>
      <vt:lpstr>VEERG_9_1_1__1_RefrigerantLeaking_Result_Blend10_Value_Method1</vt:lpstr>
      <vt:lpstr>VEERG_9_1_1__1_RefrigerantLeaking_Result_Blend2_Name_Method1</vt:lpstr>
      <vt:lpstr>VEERG_9_1_1__1_RefrigerantLeaking_Result_Blend2_Value_Method1</vt:lpstr>
      <vt:lpstr>VEERG_9_1_1__1_RefrigerantLeaking_Result_Blend3_Name_Method1</vt:lpstr>
      <vt:lpstr>VEERG_9_1_1__1_RefrigerantLeaking_Result_Blend3_Value_Method1</vt:lpstr>
      <vt:lpstr>VEERG_9_1_1__1_RefrigerantLeaking_Result_Blend4_Name_Method1</vt:lpstr>
      <vt:lpstr>VEERG_9_1_1__1_RefrigerantLeaking_Result_Blend4_Value_Method1</vt:lpstr>
      <vt:lpstr>VEERG_9_1_1__1_RefrigerantLeaking_Result_Blend5_Name_Method1</vt:lpstr>
      <vt:lpstr>VEERG_9_1_1__1_RefrigerantLeaking_Result_Blend5_Value_Method1</vt:lpstr>
      <vt:lpstr>VEERG_9_1_1__1_RefrigerantLeaking_Result_Blend6_Name_Method1</vt:lpstr>
      <vt:lpstr>VEERG_9_1_1__1_RefrigerantLeaking_Result_Blend6_Value_Method1</vt:lpstr>
      <vt:lpstr>VEERG_9_1_1__1_RefrigerantLeaking_Result_Blend7_Name_Method1</vt:lpstr>
      <vt:lpstr>VEERG_9_1_1__1_RefrigerantLeaking_Result_Blend7_Value_Method1</vt:lpstr>
      <vt:lpstr>VEERG_9_1_1__1_RefrigerantLeaking_Result_Blend8_Name_Method1</vt:lpstr>
      <vt:lpstr>VEERG_9_1_1__1_RefrigerantLeaking_Result_Blend8_Value_Method1</vt:lpstr>
      <vt:lpstr>VEERG_9_1_1__1_RefrigerantLeaking_Result_Blend9_Name_Method1</vt:lpstr>
      <vt:lpstr>VEERG_9_1_1__1_RefrigerantLeaking_Result_Blend9_Value_Method1</vt:lpstr>
      <vt:lpstr>VEERG_9_1_1__1_RefrigerantLeakingGWP_Result_Method1</vt:lpstr>
      <vt:lpstr>X_Cell_Dairy_Breed</vt:lpstr>
      <vt:lpstr>X_Cell_Dairy_ManureAppliedIrrigationMethod</vt:lpstr>
      <vt:lpstr>X_Cell_Dairy_ManureAppliedProductionSystem</vt:lpstr>
      <vt:lpstr>X_Cell_Dairy_MilkProductionAmount</vt:lpstr>
      <vt:lpstr>X_Cell_Dairy_MilkProductionUnit</vt:lpstr>
      <vt:lpstr>X_Cell_Dairy_MilkSolidsFatContent_Method1</vt:lpstr>
      <vt:lpstr>X_Cell_Dairy_MilkSolidsFatContent_Method2</vt:lpstr>
      <vt:lpstr>X_Cell_Dairy_MilkSolidsProteinContent_Method1</vt:lpstr>
      <vt:lpstr>X_Cell_Dairy_MilkSolidsProteinContent_Method2</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X_Cell_Enterprise_LiveweightSold</vt:lpstr>
      <vt:lpstr>X_Cell_Enterprise_ManureSoldTonnes</vt:lpstr>
      <vt:lpstr>X_Cell_Enterprise_ManureUsedAsFertiliserTonnes</vt:lpstr>
      <vt:lpstr>X_Cell_Enterprise_MilkProduced</vt:lpstr>
      <vt:lpstr>X_Cell_Enterprise_MilkProducedUnit</vt:lpstr>
      <vt:lpstr>X_Cell_Enterprise_PercentIncomeFromLiveweight</vt:lpstr>
      <vt:lpstr>X_Cell_Enterprise_PercentIncomeFromManure</vt:lpstr>
      <vt:lpstr>X_Cell_Enterprise_PercentIncomeFromMilk</vt:lpstr>
      <vt:lpstr>X_Cell_Enterprise_ProductionTimeframeEnd</vt:lpstr>
      <vt:lpstr>X_Cell_Enterprise_ProductionTimeframeStart</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X_Cell_Pasture_AreaRemovedOrRenewed</vt:lpstr>
      <vt:lpstr>X_Cell_Pasture_AreaUnderPasture</vt:lpstr>
      <vt:lpstr>X_Cell_Pasture_IrrigationMethod</vt:lpstr>
      <vt:lpstr>X_Cell_Pasture_PastureType</vt:lpstr>
      <vt:lpstr>X_Cell_Pasture_YieldPerHectare</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2026-08-31T06:06:34Z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